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Réalisé\2026\"/>
    </mc:Choice>
  </mc:AlternateContent>
  <xr:revisionPtr revIDLastSave="0" documentId="13_ncr:1_{6C12642F-0289-4FEC-B482-33FECDC7300A}" xr6:coauthVersionLast="47" xr6:coauthVersionMax="47" xr10:uidLastSave="{00000000-0000-0000-0000-000000000000}"/>
  <bookViews>
    <workbookView xWindow="-120" yWindow="-120" windowWidth="29040" windowHeight="15720"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 r:id="rId16"/>
  </externalReferences>
  <definedNames>
    <definedName name="_xlnm._FilterDatabase" localSheetId="10" hidden="1">BV_Data_An_Cour!$A$1:$X$481</definedName>
    <definedName name="_xlnm._FilterDatabase" localSheetId="12" hidden="1">BV_Data_An_Prec!$A$1:$X$1055</definedName>
    <definedName name="_xlnm._FilterDatabase" localSheetId="11" hidden="1">Data_Validation!$A$1:$G$953</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S481" i="15" l="1"/>
  <c r="R481" i="15"/>
  <c r="Q481" i="15"/>
  <c r="O481" i="15" s="1"/>
  <c r="M481" i="15"/>
  <c r="L481" i="15"/>
  <c r="X481" i="15" s="1"/>
  <c r="S480" i="15"/>
  <c r="R480" i="15"/>
  <c r="Q480" i="15"/>
  <c r="O480" i="15" s="1"/>
  <c r="M480" i="15"/>
  <c r="L480" i="15"/>
  <c r="X480" i="15" s="1"/>
  <c r="A99" i="12"/>
  <c r="Q99" i="12" a="1"/>
  <c r="F99" i="12" a="1"/>
  <c r="D99" i="12" a="1"/>
  <c r="P480" i="15" l="1"/>
  <c r="P481" i="15"/>
  <c r="N480" i="15"/>
  <c r="N481" i="15"/>
  <c r="T480" i="15"/>
  <c r="U480" i="15"/>
  <c r="T481" i="15"/>
  <c r="V480" i="15"/>
  <c r="U481" i="15"/>
  <c r="W480" i="15"/>
  <c r="V481" i="15"/>
  <c r="W481" i="15"/>
  <c r="R99" i="12"/>
  <c r="A103" i="20" l="1"/>
  <c r="A103" i="3" l="1"/>
  <c r="A100" i="9"/>
  <c r="S479" i="15" l="1"/>
  <c r="R479" i="15"/>
  <c r="Q479" i="15"/>
  <c r="P479" i="15" s="1"/>
  <c r="M479" i="15"/>
  <c r="L479" i="15"/>
  <c r="X479" i="15" s="1"/>
  <c r="S478" i="15"/>
  <c r="R478" i="15"/>
  <c r="Q478" i="15"/>
  <c r="P478" i="15" s="1"/>
  <c r="M478" i="15"/>
  <c r="L478" i="15"/>
  <c r="X478" i="15" s="1"/>
  <c r="S477" i="15"/>
  <c r="R477" i="15"/>
  <c r="Q477" i="15"/>
  <c r="O477" i="15" s="1"/>
  <c r="M477" i="15"/>
  <c r="L477" i="15"/>
  <c r="X477" i="15" s="1"/>
  <c r="S476" i="15"/>
  <c r="R476" i="15"/>
  <c r="Q476" i="15"/>
  <c r="O476" i="15" s="1"/>
  <c r="M476" i="15"/>
  <c r="L476" i="15"/>
  <c r="X476" i="15" s="1"/>
  <c r="S475" i="15"/>
  <c r="R475" i="15"/>
  <c r="Q475" i="15"/>
  <c r="N475" i="15" s="1"/>
  <c r="M475" i="15"/>
  <c r="L475" i="15"/>
  <c r="X475" i="15" s="1"/>
  <c r="S474" i="15"/>
  <c r="R474" i="15"/>
  <c r="Q474" i="15"/>
  <c r="P474" i="15" s="1"/>
  <c r="M474" i="15"/>
  <c r="L474" i="15"/>
  <c r="X474" i="15" s="1"/>
  <c r="S473" i="15"/>
  <c r="R473" i="15"/>
  <c r="Q473" i="15"/>
  <c r="P473" i="15" s="1"/>
  <c r="M473" i="15"/>
  <c r="L473" i="15"/>
  <c r="X473" i="15" s="1"/>
  <c r="S472" i="15"/>
  <c r="R472" i="15"/>
  <c r="Q472" i="15"/>
  <c r="P472" i="15" s="1"/>
  <c r="M472" i="15"/>
  <c r="L472" i="15"/>
  <c r="T472" i="15" s="1"/>
  <c r="S471" i="15"/>
  <c r="R471" i="15"/>
  <c r="Q471" i="15"/>
  <c r="O471" i="15" s="1"/>
  <c r="M471" i="15"/>
  <c r="L471" i="15"/>
  <c r="X471" i="15" s="1"/>
  <c r="S470" i="15"/>
  <c r="R470" i="15"/>
  <c r="Q470" i="15"/>
  <c r="P470" i="15" s="1"/>
  <c r="M470" i="15"/>
  <c r="L470" i="15"/>
  <c r="X470" i="15" s="1"/>
  <c r="S469" i="15"/>
  <c r="R469" i="15"/>
  <c r="Q469" i="15"/>
  <c r="P469" i="15" s="1"/>
  <c r="M469" i="15"/>
  <c r="L469" i="15"/>
  <c r="X469" i="15" s="1"/>
  <c r="S468" i="15"/>
  <c r="R468" i="15"/>
  <c r="Q468" i="15"/>
  <c r="N468" i="15" s="1"/>
  <c r="M468" i="15"/>
  <c r="L468" i="15"/>
  <c r="T468" i="15" s="1"/>
  <c r="S467" i="15"/>
  <c r="R467" i="15"/>
  <c r="Q467" i="15"/>
  <c r="O467" i="15" s="1"/>
  <c r="M467" i="15"/>
  <c r="L467" i="15"/>
  <c r="X467" i="15" s="1"/>
  <c r="N477" i="15" l="1"/>
  <c r="P477" i="15"/>
  <c r="N479" i="15"/>
  <c r="O479" i="15"/>
  <c r="N478" i="15"/>
  <c r="O478" i="15"/>
  <c r="T477" i="15"/>
  <c r="T478" i="15"/>
  <c r="V477" i="15"/>
  <c r="U478" i="15"/>
  <c r="T479" i="15"/>
  <c r="U477" i="15"/>
  <c r="W477" i="15"/>
  <c r="V478" i="15"/>
  <c r="U479" i="15"/>
  <c r="W478" i="15"/>
  <c r="V479" i="15"/>
  <c r="W479" i="15"/>
  <c r="O472" i="15"/>
  <c r="W469" i="15"/>
  <c r="P471" i="15"/>
  <c r="P476" i="15"/>
  <c r="O475" i="15"/>
  <c r="P467" i="15"/>
  <c r="O468" i="15"/>
  <c r="T469" i="15"/>
  <c r="U470" i="15"/>
  <c r="V470" i="15"/>
  <c r="U469" i="15"/>
  <c r="V469" i="15"/>
  <c r="T475" i="15"/>
  <c r="U475" i="15"/>
  <c r="U474" i="15"/>
  <c r="W472" i="15"/>
  <c r="V474" i="15"/>
  <c r="N476" i="15"/>
  <c r="U468" i="15"/>
  <c r="V468" i="15"/>
  <c r="W468" i="15"/>
  <c r="N470" i="15"/>
  <c r="V473" i="15"/>
  <c r="P475" i="15"/>
  <c r="N469" i="15"/>
  <c r="O469" i="15"/>
  <c r="W473" i="15"/>
  <c r="T476" i="15"/>
  <c r="P468" i="15"/>
  <c r="T470" i="15"/>
  <c r="V467" i="15"/>
  <c r="W467" i="15"/>
  <c r="U471" i="15"/>
  <c r="W470" i="15"/>
  <c r="V471" i="15"/>
  <c r="U472" i="15"/>
  <c r="T473" i="15"/>
  <c r="T471" i="15"/>
  <c r="X468" i="15"/>
  <c r="N467" i="15"/>
  <c r="W471" i="15"/>
  <c r="V472" i="15"/>
  <c r="U473" i="15"/>
  <c r="T474" i="15"/>
  <c r="X472" i="15"/>
  <c r="O470" i="15"/>
  <c r="N471" i="15"/>
  <c r="W474" i="15"/>
  <c r="V475" i="15"/>
  <c r="U476" i="15"/>
  <c r="N472" i="15"/>
  <c r="W475" i="15"/>
  <c r="V476" i="15"/>
  <c r="N473" i="15"/>
  <c r="W476" i="15"/>
  <c r="T467" i="15"/>
  <c r="U467" i="15"/>
  <c r="O473" i="15"/>
  <c r="N474" i="15"/>
  <c r="O474" i="15"/>
  <c r="R192" i="9"/>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500" i="3" l="1"/>
  <c r="AL500" i="3"/>
  <c r="AI500" i="3"/>
  <c r="AF500" i="3"/>
  <c r="AC500" i="3"/>
  <c r="Z500" i="3"/>
  <c r="W500" i="3"/>
  <c r="T500" i="3"/>
  <c r="Q500" i="3"/>
  <c r="N500" i="3"/>
  <c r="K500" i="3"/>
  <c r="H500" i="3"/>
  <c r="E498" i="3"/>
  <c r="E497" i="3"/>
  <c r="E496" i="3"/>
  <c r="AO495" i="3"/>
  <c r="AL495" i="3"/>
  <c r="AI495" i="3"/>
  <c r="AF495" i="3"/>
  <c r="AC495" i="3"/>
  <c r="Z495" i="3"/>
  <c r="W495" i="3"/>
  <c r="T495" i="3"/>
  <c r="Q495" i="3"/>
  <c r="N495" i="3"/>
  <c r="K495" i="3"/>
  <c r="H495" i="3"/>
  <c r="B489" i="3"/>
  <c r="E483" i="3"/>
  <c r="E482" i="3"/>
  <c r="E481" i="3"/>
  <c r="AO477" i="3"/>
  <c r="AL477" i="3"/>
  <c r="AI477" i="3"/>
  <c r="AF477" i="3"/>
  <c r="AC477" i="3"/>
  <c r="Z477" i="3"/>
  <c r="W477" i="3"/>
  <c r="T477" i="3"/>
  <c r="Q477" i="3"/>
  <c r="N477" i="3"/>
  <c r="K477" i="3"/>
  <c r="H477" i="3"/>
  <c r="AO476" i="3"/>
  <c r="AL476" i="3"/>
  <c r="AI476" i="3"/>
  <c r="AF476" i="3"/>
  <c r="AC476" i="3"/>
  <c r="Z476" i="3"/>
  <c r="W476" i="3"/>
  <c r="T476" i="3"/>
  <c r="Q476" i="3"/>
  <c r="N476" i="3"/>
  <c r="K476" i="3"/>
  <c r="H476" i="3"/>
  <c r="E476" i="3" s="1"/>
  <c r="AO473" i="3"/>
  <c r="AL473" i="3"/>
  <c r="AI473" i="3"/>
  <c r="AF473" i="3"/>
  <c r="AC473" i="3"/>
  <c r="Z473" i="3"/>
  <c r="W473" i="3"/>
  <c r="T473" i="3"/>
  <c r="Q473" i="3"/>
  <c r="N473" i="3"/>
  <c r="K473" i="3"/>
  <c r="H473" i="3"/>
  <c r="E469" i="3"/>
  <c r="E468" i="3"/>
  <c r="E467" i="3"/>
  <c r="E466" i="3"/>
  <c r="AO465" i="3"/>
  <c r="AL465" i="3"/>
  <c r="AI465" i="3"/>
  <c r="AF465" i="3"/>
  <c r="AC465" i="3"/>
  <c r="Z465" i="3"/>
  <c r="W465" i="3"/>
  <c r="T465" i="3"/>
  <c r="Q465" i="3"/>
  <c r="N465" i="3"/>
  <c r="K465" i="3"/>
  <c r="H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E460" i="3"/>
  <c r="AO459" i="3"/>
  <c r="AL459" i="3"/>
  <c r="AI459" i="3"/>
  <c r="AF459" i="3"/>
  <c r="AC459" i="3"/>
  <c r="Z459" i="3"/>
  <c r="W459" i="3"/>
  <c r="T459" i="3"/>
  <c r="Q459" i="3"/>
  <c r="N459" i="3"/>
  <c r="K459" i="3"/>
  <c r="H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24" i="3"/>
  <c r="AL424" i="3"/>
  <c r="AI424" i="3"/>
  <c r="AF424" i="3"/>
  <c r="AC424" i="3"/>
  <c r="Z424" i="3"/>
  <c r="W424" i="3"/>
  <c r="T424" i="3"/>
  <c r="Q424" i="3"/>
  <c r="N424" i="3"/>
  <c r="K424" i="3"/>
  <c r="H424" i="3"/>
  <c r="B406" i="3"/>
  <c r="AO399" i="3"/>
  <c r="AN399" i="3" s="1"/>
  <c r="AL399" i="3"/>
  <c r="AK399" i="3" s="1"/>
  <c r="AI399" i="3"/>
  <c r="AH399" i="3" s="1"/>
  <c r="AF399" i="3"/>
  <c r="AE399" i="3" s="1"/>
  <c r="AC399" i="3"/>
  <c r="AB399" i="3"/>
  <c r="Z399" i="3"/>
  <c r="Y399" i="3" s="1"/>
  <c r="W399" i="3"/>
  <c r="V399" i="3" s="1"/>
  <c r="T399" i="3"/>
  <c r="S399" i="3" s="1"/>
  <c r="Q399" i="3"/>
  <c r="P399" i="3" s="1"/>
  <c r="N399" i="3"/>
  <c r="M399" i="3" s="1"/>
  <c r="K399" i="3"/>
  <c r="J399" i="3" s="1"/>
  <c r="H399" i="3"/>
  <c r="G399" i="3" s="1"/>
  <c r="E398" i="3"/>
  <c r="E397" i="3"/>
  <c r="E396" i="3"/>
  <c r="E395" i="3"/>
  <c r="E394" i="3"/>
  <c r="E393" i="3"/>
  <c r="E392" i="3"/>
  <c r="E391" i="3"/>
  <c r="E390" i="3"/>
  <c r="E389" i="3"/>
  <c r="E388" i="3"/>
  <c r="E387" i="3"/>
  <c r="E386" i="3"/>
  <c r="E385" i="3"/>
  <c r="E399" i="3" s="1"/>
  <c r="D399" i="3" s="1"/>
  <c r="E384" i="3"/>
  <c r="E383" i="3"/>
  <c r="E382" i="3"/>
  <c r="AO381" i="3"/>
  <c r="AL381" i="3"/>
  <c r="AL401" i="3" s="1"/>
  <c r="AK401" i="3" s="1"/>
  <c r="AK381" i="3"/>
  <c r="AI381" i="3"/>
  <c r="AI401" i="3" s="1"/>
  <c r="AH401" i="3" s="1"/>
  <c r="AF381" i="3"/>
  <c r="AC381" i="3"/>
  <c r="Z381" i="3"/>
  <c r="W381" i="3"/>
  <c r="W401" i="3" s="1"/>
  <c r="V401" i="3" s="1"/>
  <c r="T381" i="3"/>
  <c r="T401" i="3" s="1"/>
  <c r="S401" i="3" s="1"/>
  <c r="Q381" i="3"/>
  <c r="Q401" i="3" s="1"/>
  <c r="P401" i="3" s="1"/>
  <c r="N381" i="3"/>
  <c r="K381" i="3"/>
  <c r="J381" i="3"/>
  <c r="H381" i="3"/>
  <c r="E380" i="3"/>
  <c r="E379" i="3"/>
  <c r="E378" i="3"/>
  <c r="E377" i="3"/>
  <c r="E376" i="3"/>
  <c r="E375" i="3"/>
  <c r="E374" i="3"/>
  <c r="E373" i="3"/>
  <c r="E372" i="3"/>
  <c r="E371" i="3"/>
  <c r="E370" i="3"/>
  <c r="E369" i="3"/>
  <c r="AO366" i="3"/>
  <c r="AM366" i="3"/>
  <c r="AN366" i="3" s="1"/>
  <c r="AL366" i="3"/>
  <c r="AL403" i="3" s="1"/>
  <c r="AJ366" i="3"/>
  <c r="AK366" i="3" s="1"/>
  <c r="AI366" i="3"/>
  <c r="AI403" i="3" s="1"/>
  <c r="AG366" i="3"/>
  <c r="AH366" i="3" s="1"/>
  <c r="AF366" i="3"/>
  <c r="AD366" i="3"/>
  <c r="AE366" i="3" s="1"/>
  <c r="AC366" i="3"/>
  <c r="AA366" i="3"/>
  <c r="AB366" i="3" s="1"/>
  <c r="Z366" i="3"/>
  <c r="X366" i="3"/>
  <c r="Y366" i="3" s="1"/>
  <c r="W366" i="3"/>
  <c r="V366" i="3"/>
  <c r="U366" i="3"/>
  <c r="T366" i="3"/>
  <c r="T403" i="3" s="1"/>
  <c r="R366" i="3"/>
  <c r="S366" i="3" s="1"/>
  <c r="Q366" i="3"/>
  <c r="O366" i="3"/>
  <c r="P366" i="3" s="1"/>
  <c r="N366" i="3"/>
  <c r="L366" i="3"/>
  <c r="M366" i="3" s="1"/>
  <c r="K366" i="3"/>
  <c r="J366" i="3"/>
  <c r="I366" i="3"/>
  <c r="H366" i="3"/>
  <c r="F366" i="3"/>
  <c r="G366" i="3" s="1"/>
  <c r="AN364" i="3"/>
  <c r="AK364" i="3"/>
  <c r="AH364" i="3"/>
  <c r="AE364" i="3"/>
  <c r="AB364" i="3"/>
  <c r="Y364" i="3"/>
  <c r="V364" i="3"/>
  <c r="S364" i="3"/>
  <c r="P364" i="3"/>
  <c r="M364" i="3"/>
  <c r="J364" i="3"/>
  <c r="G364" i="3"/>
  <c r="E364" i="3"/>
  <c r="E366" i="3" s="1"/>
  <c r="C364" i="3"/>
  <c r="C366" i="3" s="1"/>
  <c r="D366" i="3" s="1"/>
  <c r="E352" i="3"/>
  <c r="E351" i="3"/>
  <c r="E350" i="3"/>
  <c r="AO349" i="3"/>
  <c r="AL349" i="3"/>
  <c r="AI349" i="3"/>
  <c r="AF349" i="3"/>
  <c r="AC349" i="3"/>
  <c r="Z349" i="3"/>
  <c r="W349" i="3"/>
  <c r="T349" i="3"/>
  <c r="Q349" i="3"/>
  <c r="N349" i="3"/>
  <c r="K349" i="3"/>
  <c r="H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0" i="3"/>
  <c r="AL340" i="3"/>
  <c r="AI340" i="3"/>
  <c r="AF340" i="3"/>
  <c r="AC340" i="3"/>
  <c r="Z340" i="3"/>
  <c r="W340" i="3"/>
  <c r="T340" i="3"/>
  <c r="Q340" i="3"/>
  <c r="N340" i="3"/>
  <c r="K340" i="3"/>
  <c r="H340"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I353" i="3" s="1"/>
  <c r="AF335" i="3"/>
  <c r="AF353" i="3" s="1"/>
  <c r="AC335" i="3"/>
  <c r="AC353" i="3" s="1"/>
  <c r="Z335" i="3"/>
  <c r="W335" i="3"/>
  <c r="T335" i="3"/>
  <c r="T353" i="3" s="1"/>
  <c r="Q335" i="3"/>
  <c r="N335" i="3"/>
  <c r="N353" i="3" s="1"/>
  <c r="K335" i="3"/>
  <c r="K353" i="3" s="1"/>
  <c r="H335" i="3"/>
  <c r="E333" i="3"/>
  <c r="AO332" i="3"/>
  <c r="AL332" i="3"/>
  <c r="AI332" i="3"/>
  <c r="AF332" i="3"/>
  <c r="AC332" i="3"/>
  <c r="Z332" i="3"/>
  <c r="W332" i="3"/>
  <c r="T332" i="3"/>
  <c r="Q332" i="3"/>
  <c r="N332" i="3"/>
  <c r="K332" i="3"/>
  <c r="H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E328" i="3"/>
  <c r="E327" i="3"/>
  <c r="E326" i="3"/>
  <c r="E325" i="3"/>
  <c r="AO324" i="3"/>
  <c r="AL324" i="3"/>
  <c r="AI324" i="3"/>
  <c r="AF324" i="3"/>
  <c r="AC324" i="3"/>
  <c r="Z324" i="3"/>
  <c r="W324" i="3"/>
  <c r="T324" i="3"/>
  <c r="Q324" i="3"/>
  <c r="N324" i="3"/>
  <c r="K324" i="3"/>
  <c r="H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N316" i="3"/>
  <c r="AK316" i="3"/>
  <c r="AH316" i="3"/>
  <c r="AE316" i="3"/>
  <c r="AB316" i="3"/>
  <c r="Y316" i="3"/>
  <c r="V316" i="3"/>
  <c r="S316" i="3"/>
  <c r="P316" i="3"/>
  <c r="M316" i="3"/>
  <c r="J316" i="3"/>
  <c r="G316" i="3"/>
  <c r="E316" i="3"/>
  <c r="C316" i="3"/>
  <c r="D316" i="3" s="1"/>
  <c r="AO312" i="3"/>
  <c r="AM312" i="3"/>
  <c r="AL312" i="3"/>
  <c r="AJ312" i="3"/>
  <c r="AI312" i="3"/>
  <c r="AG312" i="3"/>
  <c r="AF312" i="3"/>
  <c r="AD312" i="3"/>
  <c r="AC312" i="3"/>
  <c r="AA312" i="3"/>
  <c r="Z312" i="3"/>
  <c r="X312" i="3"/>
  <c r="W312" i="3"/>
  <c r="U312" i="3"/>
  <c r="T312" i="3"/>
  <c r="R312" i="3"/>
  <c r="Q312" i="3"/>
  <c r="O312" i="3"/>
  <c r="N312" i="3"/>
  <c r="L312" i="3"/>
  <c r="K312" i="3"/>
  <c r="I312" i="3"/>
  <c r="H312" i="3"/>
  <c r="F312" i="3"/>
  <c r="AO311" i="3"/>
  <c r="AM311" i="3"/>
  <c r="AL311" i="3"/>
  <c r="AJ311" i="3"/>
  <c r="AK311" i="3" s="1"/>
  <c r="AI311" i="3"/>
  <c r="AG311" i="3"/>
  <c r="AF311" i="3"/>
  <c r="AD311" i="3"/>
  <c r="AC311" i="3"/>
  <c r="AA311" i="3"/>
  <c r="Z311" i="3"/>
  <c r="X311" i="3"/>
  <c r="W311" i="3"/>
  <c r="U311" i="3"/>
  <c r="T311" i="3"/>
  <c r="R311" i="3"/>
  <c r="S311" i="3" s="1"/>
  <c r="Q311" i="3"/>
  <c r="O311" i="3"/>
  <c r="N311" i="3"/>
  <c r="L311" i="3"/>
  <c r="K311" i="3"/>
  <c r="I311" i="3"/>
  <c r="H311" i="3"/>
  <c r="F311" i="3"/>
  <c r="AO307" i="3"/>
  <c r="AN307" i="3"/>
  <c r="AL307" i="3"/>
  <c r="AK307" i="3"/>
  <c r="AI307" i="3"/>
  <c r="AH307" i="3"/>
  <c r="AF307" i="3"/>
  <c r="AE307" i="3"/>
  <c r="AC307" i="3"/>
  <c r="AB307" i="3"/>
  <c r="Z307" i="3"/>
  <c r="Y307" i="3"/>
  <c r="W307" i="3"/>
  <c r="V307" i="3"/>
  <c r="T307" i="3"/>
  <c r="S307" i="3"/>
  <c r="Q307" i="3"/>
  <c r="P307" i="3"/>
  <c r="N307" i="3"/>
  <c r="M307" i="3"/>
  <c r="K307" i="3"/>
  <c r="J307" i="3"/>
  <c r="H307" i="3"/>
  <c r="G307" i="3"/>
  <c r="C307" i="3"/>
  <c r="D307" i="3" s="1"/>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N305" i="3"/>
  <c r="AK305" i="3"/>
  <c r="AH305" i="3"/>
  <c r="AE305" i="3"/>
  <c r="AB305" i="3"/>
  <c r="Y305" i="3"/>
  <c r="V305" i="3"/>
  <c r="S305" i="3"/>
  <c r="P305" i="3"/>
  <c r="M305" i="3"/>
  <c r="J305" i="3"/>
  <c r="G305" i="3"/>
  <c r="E305" i="3"/>
  <c r="C305" i="3"/>
  <c r="D305" i="3" s="1"/>
  <c r="AO304" i="3"/>
  <c r="AM304" i="3"/>
  <c r="AL304" i="3"/>
  <c r="AJ304" i="3"/>
  <c r="AI304" i="3"/>
  <c r="AG304" i="3"/>
  <c r="AF304" i="3"/>
  <c r="AD304" i="3"/>
  <c r="AC304" i="3"/>
  <c r="AA304" i="3"/>
  <c r="Z304" i="3"/>
  <c r="X304" i="3"/>
  <c r="W304" i="3"/>
  <c r="U304" i="3"/>
  <c r="T304" i="3"/>
  <c r="R304" i="3"/>
  <c r="Q304" i="3"/>
  <c r="O304" i="3"/>
  <c r="N304" i="3"/>
  <c r="L304" i="3"/>
  <c r="K304" i="3"/>
  <c r="I304" i="3"/>
  <c r="H304" i="3"/>
  <c r="F304" i="3"/>
  <c r="AO303" i="3"/>
  <c r="AM303" i="3"/>
  <c r="AL303" i="3"/>
  <c r="AJ303" i="3"/>
  <c r="AI303" i="3"/>
  <c r="AG303" i="3"/>
  <c r="AF303" i="3"/>
  <c r="AD303" i="3"/>
  <c r="AC303" i="3"/>
  <c r="AA303" i="3"/>
  <c r="Z303" i="3"/>
  <c r="X303" i="3"/>
  <c r="W303" i="3"/>
  <c r="U303" i="3"/>
  <c r="T303" i="3"/>
  <c r="R303" i="3"/>
  <c r="Q303" i="3"/>
  <c r="O303" i="3"/>
  <c r="N303" i="3"/>
  <c r="L303" i="3"/>
  <c r="K303" i="3"/>
  <c r="I303" i="3"/>
  <c r="H303" i="3"/>
  <c r="F303" i="3"/>
  <c r="AO302" i="3"/>
  <c r="AM302" i="3"/>
  <c r="AL302" i="3"/>
  <c r="AJ302" i="3"/>
  <c r="AI302" i="3"/>
  <c r="AG302" i="3"/>
  <c r="AF302" i="3"/>
  <c r="AD302" i="3"/>
  <c r="AC302" i="3"/>
  <c r="AA302" i="3"/>
  <c r="Z302" i="3"/>
  <c r="X302" i="3"/>
  <c r="W302" i="3"/>
  <c r="U302" i="3"/>
  <c r="T302" i="3"/>
  <c r="R302" i="3"/>
  <c r="Q302" i="3"/>
  <c r="O302" i="3"/>
  <c r="N302" i="3"/>
  <c r="L302" i="3"/>
  <c r="K302" i="3"/>
  <c r="I302" i="3"/>
  <c r="H302" i="3"/>
  <c r="F302" i="3"/>
  <c r="AO301" i="3"/>
  <c r="AM301" i="3"/>
  <c r="AL301" i="3"/>
  <c r="AJ301" i="3"/>
  <c r="AK301" i="3" s="1"/>
  <c r="AI301" i="3"/>
  <c r="AG301" i="3"/>
  <c r="AF301" i="3"/>
  <c r="AD301" i="3"/>
  <c r="AC301" i="3"/>
  <c r="AA301" i="3"/>
  <c r="Z301" i="3"/>
  <c r="X301" i="3"/>
  <c r="W301" i="3"/>
  <c r="U301" i="3"/>
  <c r="T301" i="3"/>
  <c r="R301" i="3"/>
  <c r="S301" i="3" s="1"/>
  <c r="Q301" i="3"/>
  <c r="O301" i="3"/>
  <c r="N301" i="3"/>
  <c r="L301" i="3"/>
  <c r="K301" i="3"/>
  <c r="I301" i="3"/>
  <c r="H301" i="3"/>
  <c r="F301" i="3"/>
  <c r="AO300" i="3"/>
  <c r="AM300" i="3"/>
  <c r="AL300" i="3"/>
  <c r="AJ300" i="3"/>
  <c r="AI300" i="3"/>
  <c r="AG300" i="3"/>
  <c r="AF300" i="3"/>
  <c r="AD300" i="3"/>
  <c r="AC300" i="3"/>
  <c r="AA300" i="3"/>
  <c r="Z300" i="3"/>
  <c r="X300" i="3"/>
  <c r="W300" i="3"/>
  <c r="U300" i="3"/>
  <c r="T300" i="3"/>
  <c r="R300" i="3"/>
  <c r="Q300" i="3"/>
  <c r="O300" i="3"/>
  <c r="N300" i="3"/>
  <c r="L300" i="3"/>
  <c r="K300" i="3"/>
  <c r="I300" i="3"/>
  <c r="H300" i="3"/>
  <c r="F300" i="3"/>
  <c r="AO299" i="3"/>
  <c r="AM299" i="3"/>
  <c r="AL299" i="3"/>
  <c r="AJ299" i="3"/>
  <c r="AI299" i="3"/>
  <c r="AG299" i="3"/>
  <c r="AF299" i="3"/>
  <c r="AD299" i="3"/>
  <c r="AC299" i="3"/>
  <c r="AA299" i="3"/>
  <c r="Z299" i="3"/>
  <c r="X299" i="3"/>
  <c r="W299" i="3"/>
  <c r="U299" i="3"/>
  <c r="T299" i="3"/>
  <c r="R299" i="3"/>
  <c r="Q299" i="3"/>
  <c r="O299" i="3"/>
  <c r="O308" i="3" s="1"/>
  <c r="N299" i="3"/>
  <c r="L299" i="3"/>
  <c r="K299" i="3"/>
  <c r="I299" i="3"/>
  <c r="H299" i="3"/>
  <c r="F299" i="3"/>
  <c r="B295" i="3"/>
  <c r="B360" i="3" s="1"/>
  <c r="E288" i="3"/>
  <c r="E287" i="3"/>
  <c r="E286" i="3"/>
  <c r="AO285" i="3"/>
  <c r="AL285" i="3"/>
  <c r="AI285" i="3"/>
  <c r="AF285" i="3"/>
  <c r="AC285" i="3"/>
  <c r="Z285" i="3"/>
  <c r="W285" i="3"/>
  <c r="T285" i="3"/>
  <c r="Q285" i="3"/>
  <c r="N285" i="3"/>
  <c r="K285" i="3"/>
  <c r="H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6" i="3"/>
  <c r="AL276" i="3"/>
  <c r="AI276" i="3"/>
  <c r="AF276" i="3"/>
  <c r="AC276" i="3"/>
  <c r="Z276" i="3"/>
  <c r="W276" i="3"/>
  <c r="T276" i="3"/>
  <c r="Q276" i="3"/>
  <c r="N276" i="3"/>
  <c r="K276" i="3"/>
  <c r="H276"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Z289" i="3" s="1"/>
  <c r="Y289" i="3" s="1"/>
  <c r="W271" i="3"/>
  <c r="T271" i="3"/>
  <c r="Q271" i="3"/>
  <c r="Q289" i="3" s="1"/>
  <c r="P289" i="3" s="1"/>
  <c r="N271" i="3"/>
  <c r="K271" i="3"/>
  <c r="H271" i="3"/>
  <c r="E269" i="3"/>
  <c r="AO268" i="3"/>
  <c r="AL268" i="3"/>
  <c r="AI268" i="3"/>
  <c r="AF268" i="3"/>
  <c r="AC268" i="3"/>
  <c r="Z268" i="3"/>
  <c r="W268" i="3"/>
  <c r="T268" i="3"/>
  <c r="Q268" i="3"/>
  <c r="N268" i="3"/>
  <c r="K268" i="3"/>
  <c r="H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E264" i="3"/>
  <c r="E263" i="3"/>
  <c r="E262" i="3"/>
  <c r="AO261" i="3"/>
  <c r="AL261" i="3"/>
  <c r="AI261" i="3"/>
  <c r="AF261" i="3"/>
  <c r="AC261" i="3"/>
  <c r="Z261" i="3"/>
  <c r="W261" i="3"/>
  <c r="T261" i="3"/>
  <c r="Q261" i="3"/>
  <c r="N261" i="3"/>
  <c r="K261" i="3"/>
  <c r="H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2" i="3"/>
  <c r="AL252" i="3"/>
  <c r="AI252" i="3"/>
  <c r="AF252" i="3"/>
  <c r="AC252" i="3"/>
  <c r="Z252" i="3"/>
  <c r="W252" i="3"/>
  <c r="T252" i="3"/>
  <c r="Q252" i="3"/>
  <c r="N252" i="3"/>
  <c r="K252" i="3"/>
  <c r="H252" i="3"/>
  <c r="E251" i="3"/>
  <c r="E252" i="3" s="1"/>
  <c r="D251" i="3"/>
  <c r="C251" i="3"/>
  <c r="AO249" i="3"/>
  <c r="AL249" i="3"/>
  <c r="AI249" i="3"/>
  <c r="AF249" i="3"/>
  <c r="AC249" i="3"/>
  <c r="Z249" i="3"/>
  <c r="W249" i="3"/>
  <c r="T249" i="3"/>
  <c r="Q249" i="3"/>
  <c r="N249" i="3"/>
  <c r="K249" i="3"/>
  <c r="H249" i="3"/>
  <c r="E248" i="3"/>
  <c r="E249" i="3" s="1"/>
  <c r="D248" i="3"/>
  <c r="C248" i="3"/>
  <c r="AO245" i="3"/>
  <c r="AO254" i="3" s="1"/>
  <c r="AN245" i="3"/>
  <c r="AN254" i="3" s="1"/>
  <c r="AL245" i="3"/>
  <c r="AK245" i="3"/>
  <c r="AK254" i="3" s="1"/>
  <c r="AI245" i="3"/>
  <c r="AI254" i="3" s="1"/>
  <c r="AH245" i="3"/>
  <c r="AH254" i="3" s="1"/>
  <c r="AF245" i="3"/>
  <c r="AF254" i="3" s="1"/>
  <c r="AE245" i="3"/>
  <c r="AE254" i="3" s="1"/>
  <c r="AC245" i="3"/>
  <c r="AC254" i="3" s="1"/>
  <c r="AB245" i="3"/>
  <c r="AB254" i="3" s="1"/>
  <c r="Z245" i="3"/>
  <c r="Z254" i="3" s="1"/>
  <c r="Y245" i="3"/>
  <c r="Y254" i="3" s="1"/>
  <c r="W245" i="3"/>
  <c r="W254" i="3" s="1"/>
  <c r="V245" i="3"/>
  <c r="T245" i="3"/>
  <c r="S245" i="3"/>
  <c r="S254" i="3" s="1"/>
  <c r="Q245" i="3"/>
  <c r="P245" i="3"/>
  <c r="P254" i="3" s="1"/>
  <c r="N245" i="3"/>
  <c r="N254" i="3" s="1"/>
  <c r="M245" i="3"/>
  <c r="M254" i="3" s="1"/>
  <c r="K245" i="3"/>
  <c r="K254" i="3" s="1"/>
  <c r="J245" i="3"/>
  <c r="H245" i="3"/>
  <c r="G245" i="3"/>
  <c r="G254" i="3" s="1"/>
  <c r="C245" i="3"/>
  <c r="B240" i="3"/>
  <c r="E232" i="3"/>
  <c r="E231" i="3"/>
  <c r="E230" i="3"/>
  <c r="AO229" i="3"/>
  <c r="AL229" i="3"/>
  <c r="AI229" i="3"/>
  <c r="AF229" i="3"/>
  <c r="AC229" i="3"/>
  <c r="Z229" i="3"/>
  <c r="W229" i="3"/>
  <c r="T229" i="3"/>
  <c r="Q229" i="3"/>
  <c r="N229" i="3"/>
  <c r="K229" i="3"/>
  <c r="H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0" i="3"/>
  <c r="AL220" i="3"/>
  <c r="AI220" i="3"/>
  <c r="AF220" i="3"/>
  <c r="AC220" i="3"/>
  <c r="Z220" i="3"/>
  <c r="W220" i="3"/>
  <c r="T220" i="3"/>
  <c r="Q220" i="3"/>
  <c r="N220" i="3"/>
  <c r="K220" i="3"/>
  <c r="H220"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O233" i="3" s="1"/>
  <c r="AL215" i="3"/>
  <c r="AI215" i="3"/>
  <c r="AI233" i="3" s="1"/>
  <c r="AF215" i="3"/>
  <c r="AC215" i="3"/>
  <c r="Z215" i="3"/>
  <c r="Z233" i="3" s="1"/>
  <c r="W215" i="3"/>
  <c r="T215" i="3"/>
  <c r="Q215" i="3"/>
  <c r="Q233" i="3" s="1"/>
  <c r="N215" i="3"/>
  <c r="N233" i="3" s="1"/>
  <c r="K215" i="3"/>
  <c r="H215" i="3"/>
  <c r="H233" i="3" s="1"/>
  <c r="E213" i="3"/>
  <c r="AO212" i="3"/>
  <c r="AL212" i="3"/>
  <c r="AI212" i="3"/>
  <c r="AF212" i="3"/>
  <c r="AC212" i="3"/>
  <c r="Z212" i="3"/>
  <c r="W212" i="3"/>
  <c r="T212" i="3"/>
  <c r="Q212" i="3"/>
  <c r="N212" i="3"/>
  <c r="K212" i="3"/>
  <c r="H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E208" i="3"/>
  <c r="E207" i="3"/>
  <c r="E206" i="3"/>
  <c r="AO205" i="3"/>
  <c r="AL205" i="3"/>
  <c r="AI205" i="3"/>
  <c r="AF205" i="3"/>
  <c r="AC205" i="3"/>
  <c r="Z205" i="3"/>
  <c r="W205" i="3"/>
  <c r="T205" i="3"/>
  <c r="Q205" i="3"/>
  <c r="N205" i="3"/>
  <c r="K205" i="3"/>
  <c r="H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AO188" i="3"/>
  <c r="AL188" i="3"/>
  <c r="AI188" i="3"/>
  <c r="AF188" i="3"/>
  <c r="AC188" i="3"/>
  <c r="Z188" i="3"/>
  <c r="W188" i="3"/>
  <c r="T188" i="3"/>
  <c r="Q188" i="3"/>
  <c r="N188" i="3"/>
  <c r="K188" i="3"/>
  <c r="H188" i="3"/>
  <c r="AN186" i="3"/>
  <c r="AK186" i="3"/>
  <c r="AH186" i="3"/>
  <c r="AE186" i="3"/>
  <c r="AB186" i="3"/>
  <c r="Y186" i="3"/>
  <c r="V186" i="3"/>
  <c r="S186" i="3"/>
  <c r="P186" i="3"/>
  <c r="M186" i="3"/>
  <c r="J186" i="3"/>
  <c r="G186" i="3"/>
  <c r="D186" i="3"/>
  <c r="AO185" i="3"/>
  <c r="AN185" i="3"/>
  <c r="AM185" i="3"/>
  <c r="AL185" i="3"/>
  <c r="AK185" i="3"/>
  <c r="AJ185" i="3"/>
  <c r="AI185" i="3"/>
  <c r="AH185" i="3"/>
  <c r="AG185" i="3"/>
  <c r="AF185" i="3"/>
  <c r="AE185" i="3"/>
  <c r="AD185" i="3"/>
  <c r="AC185" i="3"/>
  <c r="AB185" i="3"/>
  <c r="AA185" i="3"/>
  <c r="Z185" i="3"/>
  <c r="Y185" i="3"/>
  <c r="X185" i="3"/>
  <c r="W185" i="3"/>
  <c r="V185" i="3"/>
  <c r="U185" i="3"/>
  <c r="T185" i="3"/>
  <c r="S185" i="3"/>
  <c r="R185" i="3"/>
  <c r="Q185" i="3"/>
  <c r="P185" i="3"/>
  <c r="O185" i="3"/>
  <c r="N185" i="3"/>
  <c r="M185" i="3"/>
  <c r="L185" i="3"/>
  <c r="K185" i="3"/>
  <c r="J185" i="3"/>
  <c r="I185" i="3"/>
  <c r="H185" i="3"/>
  <c r="G185" i="3"/>
  <c r="F185"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F182"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AO176" i="3"/>
  <c r="AN176" i="3"/>
  <c r="AM176" i="3"/>
  <c r="AL176" i="3"/>
  <c r="AK176" i="3"/>
  <c r="AJ176" i="3"/>
  <c r="AI176" i="3"/>
  <c r="AH176" i="3"/>
  <c r="AG176" i="3"/>
  <c r="AF176" i="3"/>
  <c r="AE176" i="3"/>
  <c r="AD176" i="3"/>
  <c r="AC176" i="3"/>
  <c r="AB176" i="3"/>
  <c r="AA176" i="3"/>
  <c r="Z176" i="3"/>
  <c r="Y176" i="3"/>
  <c r="X176" i="3"/>
  <c r="W176" i="3"/>
  <c r="V176" i="3"/>
  <c r="U176" i="3"/>
  <c r="U189" i="3" s="1"/>
  <c r="T176" i="3"/>
  <c r="S176" i="3"/>
  <c r="R176" i="3"/>
  <c r="Q176" i="3"/>
  <c r="P176" i="3"/>
  <c r="O176" i="3"/>
  <c r="N176" i="3"/>
  <c r="M176" i="3"/>
  <c r="L176" i="3"/>
  <c r="K176" i="3"/>
  <c r="J176" i="3"/>
  <c r="I176" i="3"/>
  <c r="H176" i="3"/>
  <c r="G176" i="3"/>
  <c r="F176" i="3"/>
  <c r="B172" i="3"/>
  <c r="AO166" i="3"/>
  <c r="AL166" i="3"/>
  <c r="AI166" i="3"/>
  <c r="AF166" i="3"/>
  <c r="AC166" i="3"/>
  <c r="Z166" i="3"/>
  <c r="W166" i="3"/>
  <c r="T166" i="3"/>
  <c r="Q166" i="3"/>
  <c r="N166" i="3"/>
  <c r="K166" i="3"/>
  <c r="H166" i="3"/>
  <c r="E165" i="3"/>
  <c r="E164" i="3"/>
  <c r="E163" i="3"/>
  <c r="AO162" i="3"/>
  <c r="AO480" i="3" s="1"/>
  <c r="AL162" i="3"/>
  <c r="AL480" i="3" s="1"/>
  <c r="AI162" i="3"/>
  <c r="AI480" i="3" s="1"/>
  <c r="AF162" i="3"/>
  <c r="AF480" i="3" s="1"/>
  <c r="AC162" i="3"/>
  <c r="AC480" i="3" s="1"/>
  <c r="Z162" i="3"/>
  <c r="Z480" i="3" s="1"/>
  <c r="W162" i="3"/>
  <c r="W480" i="3" s="1"/>
  <c r="T162" i="3"/>
  <c r="T480" i="3" s="1"/>
  <c r="Q162" i="3"/>
  <c r="Q480" i="3" s="1"/>
  <c r="N162" i="3"/>
  <c r="N480" i="3" s="1"/>
  <c r="K162" i="3"/>
  <c r="K480" i="3" s="1"/>
  <c r="H162" i="3"/>
  <c r="AO161" i="3"/>
  <c r="AL161" i="3"/>
  <c r="AL479" i="3" s="1"/>
  <c r="AI161" i="3"/>
  <c r="AI479" i="3" s="1"/>
  <c r="AF161" i="3"/>
  <c r="AF479" i="3" s="1"/>
  <c r="AC161" i="3"/>
  <c r="AC479" i="3" s="1"/>
  <c r="Z161" i="3"/>
  <c r="Z479" i="3" s="1"/>
  <c r="W161" i="3"/>
  <c r="W479" i="3" s="1"/>
  <c r="T161" i="3"/>
  <c r="T479" i="3" s="1"/>
  <c r="Q161" i="3"/>
  <c r="Q479" i="3" s="1"/>
  <c r="N161" i="3"/>
  <c r="N479" i="3" s="1"/>
  <c r="K161" i="3"/>
  <c r="K479" i="3" s="1"/>
  <c r="H161" i="3"/>
  <c r="H479" i="3" s="1"/>
  <c r="AO160" i="3"/>
  <c r="AO478" i="3" s="1"/>
  <c r="AL160" i="3"/>
  <c r="AL478" i="3" s="1"/>
  <c r="AI160" i="3"/>
  <c r="AI478" i="3" s="1"/>
  <c r="AF160" i="3"/>
  <c r="AF478" i="3" s="1"/>
  <c r="AC160" i="3"/>
  <c r="AC478" i="3" s="1"/>
  <c r="Z160" i="3"/>
  <c r="Z478" i="3" s="1"/>
  <c r="W160" i="3"/>
  <c r="W478" i="3" s="1"/>
  <c r="T160" i="3"/>
  <c r="T478" i="3" s="1"/>
  <c r="Q160" i="3"/>
  <c r="N160" i="3"/>
  <c r="K160" i="3"/>
  <c r="K478" i="3" s="1"/>
  <c r="H160" i="3"/>
  <c r="E156" i="3"/>
  <c r="E155" i="3"/>
  <c r="E154" i="3"/>
  <c r="AO153" i="3"/>
  <c r="AL153" i="3"/>
  <c r="AI153" i="3"/>
  <c r="AF153" i="3"/>
  <c r="AC153" i="3"/>
  <c r="Z153" i="3"/>
  <c r="W153" i="3"/>
  <c r="T153" i="3"/>
  <c r="Q153" i="3"/>
  <c r="N153" i="3"/>
  <c r="K153" i="3"/>
  <c r="H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O157" i="3" s="1"/>
  <c r="AL140" i="3"/>
  <c r="AI140" i="3"/>
  <c r="AI157" i="3" s="1"/>
  <c r="AF140" i="3"/>
  <c r="AC140" i="3"/>
  <c r="Z140" i="3"/>
  <c r="Z157" i="3" s="1"/>
  <c r="W140" i="3"/>
  <c r="W157" i="3" s="1"/>
  <c r="T140" i="3"/>
  <c r="Q140" i="3"/>
  <c r="N140" i="3"/>
  <c r="K140" i="3"/>
  <c r="H140" i="3"/>
  <c r="H157" i="3" s="1"/>
  <c r="E138" i="3"/>
  <c r="AO137" i="3"/>
  <c r="AL137" i="3"/>
  <c r="AI137" i="3"/>
  <c r="AF137" i="3"/>
  <c r="AC137" i="3"/>
  <c r="Z137" i="3"/>
  <c r="W137" i="3"/>
  <c r="T137" i="3"/>
  <c r="Q137" i="3"/>
  <c r="N137" i="3"/>
  <c r="K137" i="3"/>
  <c r="H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E133" i="3"/>
  <c r="E132" i="3"/>
  <c r="E131" i="3"/>
  <c r="E130" i="3"/>
  <c r="AO129" i="3"/>
  <c r="AL129" i="3"/>
  <c r="AI129" i="3"/>
  <c r="AF129" i="3"/>
  <c r="AC129" i="3"/>
  <c r="Z129" i="3"/>
  <c r="W129" i="3"/>
  <c r="T129" i="3"/>
  <c r="Q129" i="3"/>
  <c r="N129" i="3"/>
  <c r="K129" i="3"/>
  <c r="H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E125" i="3"/>
  <c r="E124" i="3"/>
  <c r="E123" i="3"/>
  <c r="AO122" i="3"/>
  <c r="AL122" i="3"/>
  <c r="AI122" i="3"/>
  <c r="AF122" i="3"/>
  <c r="AC122" i="3"/>
  <c r="Z122" i="3"/>
  <c r="W122" i="3"/>
  <c r="T122" i="3"/>
  <c r="Q122" i="3"/>
  <c r="N122" i="3"/>
  <c r="K122" i="3"/>
  <c r="H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AC126" i="3" s="1"/>
  <c r="Z116" i="3"/>
  <c r="W116" i="3"/>
  <c r="T116" i="3"/>
  <c r="Q116" i="3"/>
  <c r="N116" i="3"/>
  <c r="K116" i="3"/>
  <c r="H116" i="3"/>
  <c r="AO108" i="3"/>
  <c r="AL108" i="3"/>
  <c r="AI108" i="3"/>
  <c r="AF108" i="3"/>
  <c r="AC108" i="3"/>
  <c r="Z108" i="3"/>
  <c r="W108" i="3"/>
  <c r="T108" i="3"/>
  <c r="Q108" i="3"/>
  <c r="N108" i="3"/>
  <c r="K108" i="3"/>
  <c r="H108" i="3"/>
  <c r="AO107" i="3"/>
  <c r="AL107" i="3"/>
  <c r="AI107" i="3"/>
  <c r="AF107" i="3"/>
  <c r="AC107" i="3"/>
  <c r="Z107" i="3"/>
  <c r="W107" i="3"/>
  <c r="T107" i="3"/>
  <c r="Q107" i="3"/>
  <c r="N107" i="3"/>
  <c r="K107" i="3"/>
  <c r="H107" i="3"/>
  <c r="AO106" i="3"/>
  <c r="AO109" i="3" s="1"/>
  <c r="AM117" i="3" s="1"/>
  <c r="AL106" i="3"/>
  <c r="AI106" i="3"/>
  <c r="AF106" i="3"/>
  <c r="AF109" i="3" s="1"/>
  <c r="AD117" i="3" s="1"/>
  <c r="AC106" i="3"/>
  <c r="AC109" i="3" s="1"/>
  <c r="AA117" i="3" s="1"/>
  <c r="Z106" i="3"/>
  <c r="W106" i="3"/>
  <c r="T106" i="3"/>
  <c r="Q106" i="3"/>
  <c r="N106" i="3"/>
  <c r="N109" i="3" s="1"/>
  <c r="L117" i="3" s="1"/>
  <c r="K106" i="3"/>
  <c r="K109" i="3" s="1"/>
  <c r="H106" i="3"/>
  <c r="H109" i="3" s="1"/>
  <c r="AO104" i="3"/>
  <c r="AM104" i="3"/>
  <c r="AL104" i="3"/>
  <c r="AJ104" i="3"/>
  <c r="AI104" i="3"/>
  <c r="AG104" i="3"/>
  <c r="AF104" i="3"/>
  <c r="AD104" i="3"/>
  <c r="AC104" i="3"/>
  <c r="AA104" i="3"/>
  <c r="Z104" i="3"/>
  <c r="X104" i="3"/>
  <c r="W104" i="3"/>
  <c r="U104" i="3"/>
  <c r="T104" i="3"/>
  <c r="R104" i="3"/>
  <c r="Q104" i="3"/>
  <c r="O104" i="3"/>
  <c r="N104" i="3"/>
  <c r="L104" i="3"/>
  <c r="K104" i="3"/>
  <c r="I104" i="3"/>
  <c r="H104" i="3"/>
  <c r="F104" i="3"/>
  <c r="AO99" i="3"/>
  <c r="AM99" i="3"/>
  <c r="AL99" i="3"/>
  <c r="AJ99" i="3"/>
  <c r="AI99" i="3"/>
  <c r="AG99" i="3"/>
  <c r="AF99" i="3"/>
  <c r="AD99" i="3"/>
  <c r="AC99" i="3"/>
  <c r="AA99" i="3"/>
  <c r="Z99" i="3"/>
  <c r="X99" i="3"/>
  <c r="W99" i="3"/>
  <c r="U99" i="3"/>
  <c r="T99" i="3"/>
  <c r="R99" i="3"/>
  <c r="Q99" i="3"/>
  <c r="O99" i="3"/>
  <c r="N99" i="3"/>
  <c r="L99" i="3"/>
  <c r="K99" i="3"/>
  <c r="I99" i="3"/>
  <c r="H99" i="3"/>
  <c r="F99" i="3"/>
  <c r="AO98" i="3"/>
  <c r="AM98" i="3"/>
  <c r="AL98" i="3"/>
  <c r="AJ98" i="3"/>
  <c r="AI98" i="3"/>
  <c r="AG98" i="3"/>
  <c r="AF98" i="3"/>
  <c r="AD98" i="3"/>
  <c r="AC98" i="3"/>
  <c r="AA98" i="3"/>
  <c r="Z98" i="3"/>
  <c r="X98" i="3"/>
  <c r="W98" i="3"/>
  <c r="U98" i="3"/>
  <c r="T98" i="3"/>
  <c r="R98" i="3"/>
  <c r="Q98" i="3"/>
  <c r="O98" i="3"/>
  <c r="N98" i="3"/>
  <c r="L98" i="3"/>
  <c r="K98" i="3"/>
  <c r="I98" i="3"/>
  <c r="H98" i="3"/>
  <c r="F98" i="3"/>
  <c r="AO97" i="3"/>
  <c r="AO100" i="3" s="1"/>
  <c r="AM97" i="3"/>
  <c r="AL97" i="3"/>
  <c r="AL100" i="3" s="1"/>
  <c r="AJ97" i="3"/>
  <c r="AI97" i="3"/>
  <c r="AI100" i="3" s="1"/>
  <c r="AG97" i="3"/>
  <c r="AG100" i="3" s="1"/>
  <c r="AG112" i="3" s="1"/>
  <c r="AF97" i="3"/>
  <c r="AD97" i="3"/>
  <c r="AC97" i="3"/>
  <c r="AC100" i="3" s="1"/>
  <c r="AA97" i="3"/>
  <c r="Z97" i="3"/>
  <c r="Z100" i="3" s="1"/>
  <c r="X97" i="3"/>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4" i="3" s="1"/>
  <c r="AI85" i="3"/>
  <c r="AF85" i="3"/>
  <c r="AC85" i="3"/>
  <c r="Z85" i="3"/>
  <c r="W85" i="3"/>
  <c r="T85" i="3"/>
  <c r="Q85" i="3"/>
  <c r="N85" i="3"/>
  <c r="K85" i="3"/>
  <c r="H85" i="3"/>
  <c r="E84" i="3"/>
  <c r="E83" i="3"/>
  <c r="E82" i="3"/>
  <c r="AO81" i="3"/>
  <c r="AO474" i="3" s="1"/>
  <c r="AL81" i="3"/>
  <c r="AL474" i="3" s="1"/>
  <c r="AI81" i="3"/>
  <c r="AI474" i="3" s="1"/>
  <c r="AF81" i="3"/>
  <c r="AF474" i="3" s="1"/>
  <c r="AC81" i="3"/>
  <c r="AC474" i="3" s="1"/>
  <c r="Z81" i="3"/>
  <c r="Z474" i="3" s="1"/>
  <c r="W81" i="3"/>
  <c r="W474" i="3" s="1"/>
  <c r="T81" i="3"/>
  <c r="T474" i="3" s="1"/>
  <c r="Q81" i="3"/>
  <c r="Q474" i="3" s="1"/>
  <c r="N81" i="3"/>
  <c r="N474" i="3" s="1"/>
  <c r="K81" i="3"/>
  <c r="K474" i="3" s="1"/>
  <c r="H81" i="3"/>
  <c r="E80" i="3"/>
  <c r="E79" i="3"/>
  <c r="AO78" i="3"/>
  <c r="AO475" i="3" s="1"/>
  <c r="AL78" i="3"/>
  <c r="AL475" i="3" s="1"/>
  <c r="AI78" i="3"/>
  <c r="AI475" i="3" s="1"/>
  <c r="AF78" i="3"/>
  <c r="AF475" i="3" s="1"/>
  <c r="AC78" i="3"/>
  <c r="AC475" i="3" s="1"/>
  <c r="Z78" i="3"/>
  <c r="W78" i="3"/>
  <c r="T78" i="3"/>
  <c r="Q78" i="3"/>
  <c r="N78" i="3"/>
  <c r="N475" i="3" s="1"/>
  <c r="K78" i="3"/>
  <c r="K475" i="3" s="1"/>
  <c r="H78" i="3"/>
  <c r="H475" i="3" s="1"/>
  <c r="E74" i="3"/>
  <c r="E73" i="3"/>
  <c r="E72" i="3"/>
  <c r="AO71" i="3"/>
  <c r="AL71" i="3"/>
  <c r="AI71" i="3"/>
  <c r="AF71" i="3"/>
  <c r="AC71" i="3"/>
  <c r="Z71" i="3"/>
  <c r="W71" i="3"/>
  <c r="T71" i="3"/>
  <c r="Q71" i="3"/>
  <c r="N71" i="3"/>
  <c r="K71" i="3"/>
  <c r="K452" i="3" s="1"/>
  <c r="H71" i="3"/>
  <c r="AO70" i="3"/>
  <c r="AL70" i="3"/>
  <c r="AI70" i="3"/>
  <c r="AF70" i="3"/>
  <c r="AC70" i="3"/>
  <c r="Z70" i="3"/>
  <c r="W70" i="3"/>
  <c r="T70" i="3"/>
  <c r="Q70" i="3"/>
  <c r="N70" i="3"/>
  <c r="K70" i="3"/>
  <c r="K451" i="3" s="1"/>
  <c r="H70" i="3"/>
  <c r="AO69" i="3"/>
  <c r="AL69" i="3"/>
  <c r="AI69" i="3"/>
  <c r="AF69" i="3"/>
  <c r="AC69" i="3"/>
  <c r="Z69" i="3"/>
  <c r="W69" i="3"/>
  <c r="T69" i="3"/>
  <c r="Q69" i="3"/>
  <c r="N69" i="3"/>
  <c r="K69" i="3"/>
  <c r="K450" i="3" s="1"/>
  <c r="H69" i="3"/>
  <c r="H450" i="3" s="1"/>
  <c r="AO68" i="3"/>
  <c r="AL68" i="3"/>
  <c r="AI68" i="3"/>
  <c r="AF68" i="3"/>
  <c r="AC68" i="3"/>
  <c r="Z68" i="3"/>
  <c r="W68" i="3"/>
  <c r="T68" i="3"/>
  <c r="Q68" i="3"/>
  <c r="N68" i="3"/>
  <c r="K68" i="3"/>
  <c r="K449" i="3" s="1"/>
  <c r="H68" i="3"/>
  <c r="H449" i="3" s="1"/>
  <c r="AO67" i="3"/>
  <c r="AL67" i="3"/>
  <c r="AI67" i="3"/>
  <c r="AF67" i="3"/>
  <c r="AC67" i="3"/>
  <c r="Z67" i="3"/>
  <c r="W67" i="3"/>
  <c r="T67" i="3"/>
  <c r="Q67" i="3"/>
  <c r="N67" i="3"/>
  <c r="K67" i="3"/>
  <c r="K448" i="3" s="1"/>
  <c r="H67" i="3"/>
  <c r="H448" i="3" s="1"/>
  <c r="AO66" i="3"/>
  <c r="AL66" i="3"/>
  <c r="AI66" i="3"/>
  <c r="AF66" i="3"/>
  <c r="AC66" i="3"/>
  <c r="Z66" i="3"/>
  <c r="W66" i="3"/>
  <c r="T66" i="3"/>
  <c r="Q66" i="3"/>
  <c r="N66" i="3"/>
  <c r="K66" i="3"/>
  <c r="K447" i="3" s="1"/>
  <c r="H66" i="3"/>
  <c r="H447" i="3" s="1"/>
  <c r="AO65" i="3"/>
  <c r="AL65" i="3"/>
  <c r="AI65" i="3"/>
  <c r="AF65" i="3"/>
  <c r="AC65" i="3"/>
  <c r="Z65" i="3"/>
  <c r="W65" i="3"/>
  <c r="T65" i="3"/>
  <c r="Q65" i="3"/>
  <c r="N65" i="3"/>
  <c r="K65" i="3"/>
  <c r="K446" i="3" s="1"/>
  <c r="H65" i="3"/>
  <c r="AO64" i="3"/>
  <c r="AL64" i="3"/>
  <c r="AI64" i="3"/>
  <c r="AF64" i="3"/>
  <c r="AC64" i="3"/>
  <c r="Z64" i="3"/>
  <c r="W64" i="3"/>
  <c r="T64" i="3"/>
  <c r="Q64" i="3"/>
  <c r="N64" i="3"/>
  <c r="K64" i="3"/>
  <c r="H64" i="3"/>
  <c r="H445" i="3" s="1"/>
  <c r="AO63" i="3"/>
  <c r="AL63" i="3"/>
  <c r="AI63" i="3"/>
  <c r="AF63" i="3"/>
  <c r="AC63" i="3"/>
  <c r="Z63" i="3"/>
  <c r="W63" i="3"/>
  <c r="T63" i="3"/>
  <c r="Q63" i="3"/>
  <c r="N63" i="3"/>
  <c r="K63" i="3"/>
  <c r="H63" i="3"/>
  <c r="H443" i="3" s="1"/>
  <c r="AO62" i="3"/>
  <c r="AL62" i="3"/>
  <c r="AI62" i="3"/>
  <c r="AF62" i="3"/>
  <c r="AC62" i="3"/>
  <c r="Z62" i="3"/>
  <c r="W62" i="3"/>
  <c r="T62" i="3"/>
  <c r="Q62" i="3"/>
  <c r="N62" i="3"/>
  <c r="K62" i="3"/>
  <c r="K442" i="3" s="1"/>
  <c r="H62" i="3"/>
  <c r="H442" i="3" s="1"/>
  <c r="AO61" i="3"/>
  <c r="AL61" i="3"/>
  <c r="AI61" i="3"/>
  <c r="AF61" i="3"/>
  <c r="AC61" i="3"/>
  <c r="Z61" i="3"/>
  <c r="W61" i="3"/>
  <c r="T61" i="3"/>
  <c r="Q61" i="3"/>
  <c r="N61" i="3"/>
  <c r="K61" i="3"/>
  <c r="K441" i="3" s="1"/>
  <c r="H61" i="3"/>
  <c r="H441" i="3" s="1"/>
  <c r="AO60" i="3"/>
  <c r="AL60" i="3"/>
  <c r="AI60" i="3"/>
  <c r="AF60" i="3"/>
  <c r="AC60" i="3"/>
  <c r="Z60" i="3"/>
  <c r="W60" i="3"/>
  <c r="T60" i="3"/>
  <c r="Q60" i="3"/>
  <c r="N60" i="3"/>
  <c r="K60" i="3"/>
  <c r="K440" i="3" s="1"/>
  <c r="H60" i="3"/>
  <c r="H440" i="3" s="1"/>
  <c r="AO59" i="3"/>
  <c r="AL59" i="3"/>
  <c r="AI59" i="3"/>
  <c r="AF59" i="3"/>
  <c r="AC59" i="3"/>
  <c r="Z59" i="3"/>
  <c r="W59" i="3"/>
  <c r="T59" i="3"/>
  <c r="Q59" i="3"/>
  <c r="N59" i="3"/>
  <c r="K59" i="3"/>
  <c r="K439" i="3" s="1"/>
  <c r="H59" i="3"/>
  <c r="H439" i="3" s="1"/>
  <c r="AO58" i="3"/>
  <c r="AL58" i="3"/>
  <c r="AI58" i="3"/>
  <c r="AI75" i="3" s="1"/>
  <c r="AF58" i="3"/>
  <c r="AC58" i="3"/>
  <c r="Z58" i="3"/>
  <c r="W58" i="3"/>
  <c r="T58" i="3"/>
  <c r="Q58" i="3"/>
  <c r="N58" i="3"/>
  <c r="K58" i="3"/>
  <c r="H58" i="3"/>
  <c r="H438" i="3" s="1"/>
  <c r="E56" i="3"/>
  <c r="AO55" i="3"/>
  <c r="AL55" i="3"/>
  <c r="AI55" i="3"/>
  <c r="AF55" i="3"/>
  <c r="AC55" i="3"/>
  <c r="Z55" i="3"/>
  <c r="W55" i="3"/>
  <c r="T55" i="3"/>
  <c r="Q55" i="3"/>
  <c r="N55" i="3"/>
  <c r="N435" i="3" s="1"/>
  <c r="K55" i="3"/>
  <c r="K435" i="3" s="1"/>
  <c r="H55" i="3"/>
  <c r="AO54" i="3"/>
  <c r="AL54" i="3"/>
  <c r="AI54" i="3"/>
  <c r="AF54" i="3"/>
  <c r="AC54" i="3"/>
  <c r="Z54" i="3"/>
  <c r="W54" i="3"/>
  <c r="T54" i="3"/>
  <c r="Q54" i="3"/>
  <c r="N54" i="3"/>
  <c r="K54" i="3"/>
  <c r="K434" i="3" s="1"/>
  <c r="H54" i="3"/>
  <c r="AO53" i="3"/>
  <c r="AL53" i="3"/>
  <c r="AI53" i="3"/>
  <c r="AF53" i="3"/>
  <c r="AC53" i="3"/>
  <c r="Z53" i="3"/>
  <c r="W53" i="3"/>
  <c r="T53" i="3"/>
  <c r="Q53" i="3"/>
  <c r="N53" i="3"/>
  <c r="N433" i="3" s="1"/>
  <c r="K53" i="3"/>
  <c r="K433" i="3" s="1"/>
  <c r="H53" i="3"/>
  <c r="AO52" i="3"/>
  <c r="AL52" i="3"/>
  <c r="AI52" i="3"/>
  <c r="AF52" i="3"/>
  <c r="AC52" i="3"/>
  <c r="Z52" i="3"/>
  <c r="W52" i="3"/>
  <c r="T52" i="3"/>
  <c r="Q52" i="3"/>
  <c r="N52" i="3"/>
  <c r="N432" i="3" s="1"/>
  <c r="K52" i="3"/>
  <c r="K432" i="3" s="1"/>
  <c r="H52" i="3"/>
  <c r="E51" i="3"/>
  <c r="E50" i="3"/>
  <c r="E49" i="3"/>
  <c r="E48" i="3"/>
  <c r="AO47" i="3"/>
  <c r="AL47" i="3"/>
  <c r="AI47" i="3"/>
  <c r="AF47" i="3"/>
  <c r="AF427" i="3" s="1"/>
  <c r="AC47" i="3"/>
  <c r="Z47" i="3"/>
  <c r="W47" i="3"/>
  <c r="W427" i="3" s="1"/>
  <c r="T47" i="3"/>
  <c r="Q47" i="3"/>
  <c r="N47" i="3"/>
  <c r="K47" i="3"/>
  <c r="H47" i="3"/>
  <c r="AO46" i="3"/>
  <c r="AL46" i="3"/>
  <c r="AI46" i="3"/>
  <c r="AF46" i="3"/>
  <c r="AF426" i="3" s="1"/>
  <c r="AC46" i="3"/>
  <c r="Z46" i="3"/>
  <c r="W46" i="3"/>
  <c r="W426" i="3" s="1"/>
  <c r="T46" i="3"/>
  <c r="Q46" i="3"/>
  <c r="N46" i="3"/>
  <c r="K46" i="3"/>
  <c r="H46" i="3"/>
  <c r="AO45" i="3"/>
  <c r="AL45" i="3"/>
  <c r="AI45" i="3"/>
  <c r="AF45" i="3"/>
  <c r="AF425" i="3" s="1"/>
  <c r="AC45" i="3"/>
  <c r="Z45" i="3"/>
  <c r="W45" i="3"/>
  <c r="W425"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9" i="3" s="1"/>
  <c r="AL40" i="3"/>
  <c r="AL419" i="3" s="1"/>
  <c r="AI40" i="3"/>
  <c r="AI419" i="3" s="1"/>
  <c r="AF40" i="3"/>
  <c r="AF419" i="3" s="1"/>
  <c r="AC40" i="3"/>
  <c r="AC419" i="3" s="1"/>
  <c r="Z40" i="3"/>
  <c r="W40" i="3"/>
  <c r="T40" i="3"/>
  <c r="Q40" i="3"/>
  <c r="Q419" i="3" s="1"/>
  <c r="N40" i="3"/>
  <c r="K40" i="3"/>
  <c r="H40" i="3"/>
  <c r="H419" i="3" s="1"/>
  <c r="AO39" i="3"/>
  <c r="AO418" i="3" s="1"/>
  <c r="AL39" i="3"/>
  <c r="AL418" i="3" s="1"/>
  <c r="AI39" i="3"/>
  <c r="AI418" i="3" s="1"/>
  <c r="AF39" i="3"/>
  <c r="AF418" i="3" s="1"/>
  <c r="AC39" i="3"/>
  <c r="AC418" i="3" s="1"/>
  <c r="Z39" i="3"/>
  <c r="W39" i="3"/>
  <c r="T39" i="3"/>
  <c r="Q39" i="3"/>
  <c r="Q418" i="3" s="1"/>
  <c r="N39" i="3"/>
  <c r="K39" i="3"/>
  <c r="H39" i="3"/>
  <c r="AO38" i="3"/>
  <c r="AO417" i="3" s="1"/>
  <c r="AL38" i="3"/>
  <c r="AL417" i="3" s="1"/>
  <c r="AI38" i="3"/>
  <c r="AI417" i="3" s="1"/>
  <c r="AF38" i="3"/>
  <c r="AF417" i="3" s="1"/>
  <c r="AC38" i="3"/>
  <c r="AC417" i="3" s="1"/>
  <c r="Z38" i="3"/>
  <c r="W38" i="3"/>
  <c r="T38" i="3"/>
  <c r="Q38" i="3"/>
  <c r="Q417" i="3" s="1"/>
  <c r="N38" i="3"/>
  <c r="K38" i="3"/>
  <c r="H38" i="3"/>
  <c r="H417" i="3" s="1"/>
  <c r="AO37" i="3"/>
  <c r="AO416" i="3" s="1"/>
  <c r="AL37" i="3"/>
  <c r="AL416" i="3" s="1"/>
  <c r="AI37" i="3"/>
  <c r="AI416" i="3" s="1"/>
  <c r="AF37" i="3"/>
  <c r="AF416" i="3" s="1"/>
  <c r="AC37" i="3"/>
  <c r="AC416" i="3" s="1"/>
  <c r="Z37" i="3"/>
  <c r="W37" i="3"/>
  <c r="T37" i="3"/>
  <c r="Q37" i="3"/>
  <c r="Q416" i="3" s="1"/>
  <c r="N37" i="3"/>
  <c r="K37" i="3"/>
  <c r="H37" i="3"/>
  <c r="H416" i="3" s="1"/>
  <c r="AO36" i="3"/>
  <c r="AO415" i="3" s="1"/>
  <c r="AL36" i="3"/>
  <c r="AL415" i="3" s="1"/>
  <c r="AI36" i="3"/>
  <c r="AI415" i="3" s="1"/>
  <c r="AF36" i="3"/>
  <c r="AF415" i="3" s="1"/>
  <c r="AC36" i="3"/>
  <c r="AC415" i="3" s="1"/>
  <c r="Z36" i="3"/>
  <c r="W36" i="3"/>
  <c r="T36" i="3"/>
  <c r="Q36" i="3"/>
  <c r="Q415" i="3" s="1"/>
  <c r="N36" i="3"/>
  <c r="K36" i="3"/>
  <c r="H36" i="3"/>
  <c r="H415" i="3" s="1"/>
  <c r="AO35" i="3"/>
  <c r="AO414" i="3" s="1"/>
  <c r="AL35" i="3"/>
  <c r="AI35" i="3"/>
  <c r="AI414" i="3" s="1"/>
  <c r="AF35" i="3"/>
  <c r="AF414" i="3" s="1"/>
  <c r="AC35" i="3"/>
  <c r="AC414" i="3" s="1"/>
  <c r="Z35" i="3"/>
  <c r="W35" i="3"/>
  <c r="T35" i="3"/>
  <c r="Q35" i="3"/>
  <c r="Q414" i="3" s="1"/>
  <c r="N35" i="3"/>
  <c r="K35" i="3"/>
  <c r="H35" i="3"/>
  <c r="H414" i="3" s="1"/>
  <c r="AO34" i="3"/>
  <c r="AO413" i="3" s="1"/>
  <c r="AL34" i="3"/>
  <c r="AL413" i="3" s="1"/>
  <c r="AI34" i="3"/>
  <c r="AI413" i="3" s="1"/>
  <c r="AF34" i="3"/>
  <c r="AF413" i="3" s="1"/>
  <c r="AC34" i="3"/>
  <c r="AC413" i="3" s="1"/>
  <c r="Z34" i="3"/>
  <c r="W34" i="3"/>
  <c r="T34" i="3"/>
  <c r="Q34" i="3"/>
  <c r="Q413" i="3" s="1"/>
  <c r="N34" i="3"/>
  <c r="K34" i="3"/>
  <c r="H34" i="3"/>
  <c r="H413"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C14" i="3"/>
  <c r="D14" i="3" s="1"/>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T16" i="3" s="1"/>
  <c r="R9" i="3"/>
  <c r="Q9" i="3"/>
  <c r="Q16" i="3" s="1"/>
  <c r="O9" i="3"/>
  <c r="N9" i="3"/>
  <c r="L9" i="3"/>
  <c r="K9" i="3"/>
  <c r="K16" i="3" s="1"/>
  <c r="I9" i="3"/>
  <c r="H9" i="3"/>
  <c r="F9" i="3"/>
  <c r="AO8" i="3"/>
  <c r="AL8" i="3"/>
  <c r="AI8" i="3"/>
  <c r="AF8" i="3"/>
  <c r="AC8" i="3"/>
  <c r="Z8" i="3"/>
  <c r="W8" i="3"/>
  <c r="T8" i="3"/>
  <c r="Q8" i="3"/>
  <c r="N8" i="3"/>
  <c r="K8" i="3"/>
  <c r="H8" i="3"/>
  <c r="S312" i="3" l="1"/>
  <c r="G187" i="3"/>
  <c r="Q157" i="3"/>
  <c r="AH299" i="3"/>
  <c r="P300" i="3"/>
  <c r="AH300" i="3"/>
  <c r="AH301" i="3"/>
  <c r="P302" i="3"/>
  <c r="AH302" i="3"/>
  <c r="P303" i="3"/>
  <c r="J311" i="3"/>
  <c r="J312" i="3"/>
  <c r="AL126" i="3"/>
  <c r="AB99" i="3"/>
  <c r="S187" i="3"/>
  <c r="AB312" i="3"/>
  <c r="H183" i="3"/>
  <c r="Q139" i="3"/>
  <c r="P304" i="3"/>
  <c r="H214" i="3"/>
  <c r="AH304" i="3"/>
  <c r="S302" i="3"/>
  <c r="S303" i="3"/>
  <c r="AK303" i="3"/>
  <c r="T30" i="3"/>
  <c r="AE187" i="3"/>
  <c r="N440" i="3"/>
  <c r="K413" i="3"/>
  <c r="K415" i="3"/>
  <c r="K416" i="3"/>
  <c r="K417" i="3"/>
  <c r="K419" i="3"/>
  <c r="Z426" i="3"/>
  <c r="Q434" i="3"/>
  <c r="K414" i="3"/>
  <c r="K418" i="3"/>
  <c r="J9" i="3"/>
  <c r="K401" i="3"/>
  <c r="J401" i="3" s="1"/>
  <c r="E381" i="3"/>
  <c r="Z425" i="3"/>
  <c r="N443" i="3"/>
  <c r="Y97" i="3"/>
  <c r="G98" i="3"/>
  <c r="G99" i="3"/>
  <c r="Y99" i="3"/>
  <c r="P181" i="3"/>
  <c r="AN181" i="3"/>
  <c r="AO446" i="3"/>
  <c r="AO448" i="3"/>
  <c r="AO449" i="3"/>
  <c r="AO450" i="3"/>
  <c r="AO451" i="3"/>
  <c r="AO452" i="3"/>
  <c r="Q180" i="3"/>
  <c r="AC180" i="3"/>
  <c r="AO180" i="3"/>
  <c r="E477" i="3"/>
  <c r="Z427" i="3"/>
  <c r="N445" i="3"/>
  <c r="N446" i="3"/>
  <c r="N447" i="3"/>
  <c r="N448" i="3"/>
  <c r="N449" i="3"/>
  <c r="N450" i="3"/>
  <c r="AH381" i="3"/>
  <c r="N441" i="3"/>
  <c r="AH99" i="3"/>
  <c r="N439" i="3"/>
  <c r="J10" i="3"/>
  <c r="Y98" i="3"/>
  <c r="H235" i="3"/>
  <c r="AC484" i="3"/>
  <c r="AC485" i="3" s="1"/>
  <c r="AH104" i="3"/>
  <c r="Q438" i="3"/>
  <c r="Q442" i="3"/>
  <c r="Q450" i="3"/>
  <c r="E459" i="3"/>
  <c r="W289" i="3"/>
  <c r="V289" i="3" s="1"/>
  <c r="T434" i="3"/>
  <c r="Q443" i="3"/>
  <c r="Q449" i="3"/>
  <c r="Z109" i="3"/>
  <c r="N414" i="3"/>
  <c r="N418" i="3"/>
  <c r="V97" i="3"/>
  <c r="AN97" i="3"/>
  <c r="V98" i="3"/>
  <c r="AN98" i="3"/>
  <c r="V99" i="3"/>
  <c r="AN99" i="3"/>
  <c r="M311" i="3"/>
  <c r="AE311" i="3"/>
  <c r="AE312" i="3"/>
  <c r="T432" i="3"/>
  <c r="T435" i="3"/>
  <c r="Q441" i="3"/>
  <c r="Q448" i="3"/>
  <c r="N416" i="3"/>
  <c r="N419" i="3"/>
  <c r="K233" i="3"/>
  <c r="K484" i="3"/>
  <c r="K485" i="3" s="1"/>
  <c r="T433" i="3"/>
  <c r="Q440" i="3"/>
  <c r="Q446" i="3"/>
  <c r="Q447" i="3"/>
  <c r="N413" i="3"/>
  <c r="N415" i="3"/>
  <c r="N417" i="3"/>
  <c r="T270" i="3"/>
  <c r="S270" i="3" s="1"/>
  <c r="Q193" i="3"/>
  <c r="Q196" i="3"/>
  <c r="E265" i="3"/>
  <c r="G299" i="3"/>
  <c r="Y300" i="3"/>
  <c r="G301" i="3"/>
  <c r="Y301" i="3"/>
  <c r="G302" i="3"/>
  <c r="G303" i="3"/>
  <c r="Y304" i="3"/>
  <c r="Z334" i="3"/>
  <c r="AC334" i="3"/>
  <c r="AC355" i="3" s="1"/>
  <c r="AC427" i="3"/>
  <c r="N451" i="3"/>
  <c r="N452" i="3"/>
  <c r="AC425" i="3"/>
  <c r="Q439" i="3"/>
  <c r="Q445" i="3"/>
  <c r="Q451" i="3"/>
  <c r="I189" i="3"/>
  <c r="AG189" i="3"/>
  <c r="Y9" i="3"/>
  <c r="G10" i="3"/>
  <c r="G18" i="3"/>
  <c r="Y18" i="3"/>
  <c r="G20" i="3"/>
  <c r="Y20" i="3"/>
  <c r="AF484" i="3"/>
  <c r="AF485" i="3" s="1"/>
  <c r="AO470" i="3"/>
  <c r="AO334" i="3"/>
  <c r="AO425" i="3"/>
  <c r="Z439" i="3"/>
  <c r="Z445" i="3"/>
  <c r="Z448" i="3"/>
  <c r="Z452" i="3"/>
  <c r="H425" i="3"/>
  <c r="H427" i="3"/>
  <c r="AF434" i="3"/>
  <c r="AC441" i="3"/>
  <c r="AC447" i="3"/>
  <c r="AC450" i="3"/>
  <c r="M184" i="3"/>
  <c r="M18" i="3"/>
  <c r="AE18" i="3"/>
  <c r="AE20" i="3"/>
  <c r="T413" i="3"/>
  <c r="T414" i="3"/>
  <c r="T415" i="3"/>
  <c r="T416" i="3"/>
  <c r="T417" i="3"/>
  <c r="T418" i="3"/>
  <c r="T419" i="3"/>
  <c r="K425" i="3"/>
  <c r="K426" i="3"/>
  <c r="K427" i="3"/>
  <c r="AI432" i="3"/>
  <c r="AI433" i="3"/>
  <c r="AI434" i="3"/>
  <c r="AI435" i="3"/>
  <c r="AF443" i="3"/>
  <c r="AF445" i="3"/>
  <c r="AF446" i="3"/>
  <c r="N196" i="3"/>
  <c r="Z196" i="3"/>
  <c r="AL196" i="3"/>
  <c r="AI425" i="3"/>
  <c r="AO426" i="3"/>
  <c r="Z442" i="3"/>
  <c r="Z446" i="3"/>
  <c r="Z447" i="3"/>
  <c r="Z451" i="3"/>
  <c r="AF432" i="3"/>
  <c r="AF435" i="3"/>
  <c r="AC445" i="3"/>
  <c r="AC446" i="3"/>
  <c r="AC449" i="3"/>
  <c r="Y184" i="3"/>
  <c r="W413" i="3"/>
  <c r="W414" i="3"/>
  <c r="W415" i="3"/>
  <c r="W416" i="3"/>
  <c r="W417" i="3"/>
  <c r="W418" i="3"/>
  <c r="N425" i="3"/>
  <c r="N426" i="3"/>
  <c r="N427" i="3"/>
  <c r="AL432" i="3"/>
  <c r="AL433" i="3"/>
  <c r="AL434" i="3"/>
  <c r="AI447" i="3"/>
  <c r="AI448" i="3"/>
  <c r="AI449" i="3"/>
  <c r="AI450" i="3"/>
  <c r="Q470" i="3"/>
  <c r="AO427" i="3"/>
  <c r="Z443" i="3"/>
  <c r="Z449" i="3"/>
  <c r="Z450" i="3"/>
  <c r="R116" i="3"/>
  <c r="H426" i="3"/>
  <c r="AF433" i="3"/>
  <c r="AC439" i="3"/>
  <c r="AC448" i="3"/>
  <c r="AC451" i="3"/>
  <c r="E260" i="3"/>
  <c r="P20" i="3"/>
  <c r="AH20" i="3"/>
  <c r="Z413" i="3"/>
  <c r="Z414" i="3"/>
  <c r="Z415" i="3"/>
  <c r="Z416" i="3"/>
  <c r="Z417" i="3"/>
  <c r="Z418" i="3"/>
  <c r="Z419" i="3"/>
  <c r="AO435" i="3"/>
  <c r="AL438" i="3"/>
  <c r="AL441" i="3"/>
  <c r="AL442" i="3"/>
  <c r="AL443" i="3"/>
  <c r="AL445" i="3"/>
  <c r="N484" i="3"/>
  <c r="AN178" i="3"/>
  <c r="Q183" i="3"/>
  <c r="S9" i="3"/>
  <c r="AK9" i="3"/>
  <c r="AK10" i="3"/>
  <c r="H451" i="3"/>
  <c r="H452" i="3"/>
  <c r="AC470" i="3"/>
  <c r="AF470" i="3"/>
  <c r="V311" i="3"/>
  <c r="AN311" i="3"/>
  <c r="V312" i="3"/>
  <c r="AI470" i="3"/>
  <c r="AE104" i="3"/>
  <c r="AI426" i="3"/>
  <c r="W432" i="3"/>
  <c r="W435" i="3"/>
  <c r="T438" i="3"/>
  <c r="T439" i="3"/>
  <c r="J181" i="3"/>
  <c r="V181" i="3"/>
  <c r="AH181" i="3"/>
  <c r="V184" i="3"/>
  <c r="AH184" i="3"/>
  <c r="V187" i="3"/>
  <c r="Z432" i="3"/>
  <c r="Z433" i="3"/>
  <c r="Z434" i="3"/>
  <c r="Z435" i="3"/>
  <c r="K177" i="3"/>
  <c r="W196" i="3"/>
  <c r="AE299" i="3"/>
  <c r="M300" i="3"/>
  <c r="H484" i="3"/>
  <c r="AO112" i="3"/>
  <c r="AN157" i="3" s="1"/>
  <c r="AC139" i="3"/>
  <c r="M178" i="3"/>
  <c r="Y178" i="3"/>
  <c r="AK178" i="3"/>
  <c r="K193" i="3"/>
  <c r="W193" i="3"/>
  <c r="AI193" i="3"/>
  <c r="AH9" i="3"/>
  <c r="P10" i="3"/>
  <c r="E464" i="3"/>
  <c r="E116" i="3"/>
  <c r="N180" i="3"/>
  <c r="Z180" i="3"/>
  <c r="AL180" i="3"/>
  <c r="Z186" i="3"/>
  <c r="AL186" i="3"/>
  <c r="W246" i="3"/>
  <c r="Q484" i="3"/>
  <c r="P178" i="3"/>
  <c r="E280" i="3"/>
  <c r="AK304" i="3"/>
  <c r="T484" i="3"/>
  <c r="K112" i="3"/>
  <c r="AC112" i="3"/>
  <c r="AO139" i="3"/>
  <c r="P184" i="3"/>
  <c r="AB184" i="3"/>
  <c r="AN184" i="3"/>
  <c r="AB187" i="3"/>
  <c r="W484" i="3"/>
  <c r="M97" i="3"/>
  <c r="M98" i="3"/>
  <c r="AE98" i="3"/>
  <c r="AL214" i="3"/>
  <c r="V20" i="3"/>
  <c r="AN20" i="3"/>
  <c r="E128" i="3"/>
  <c r="G189" i="3"/>
  <c r="C182" i="3"/>
  <c r="AO214" i="3"/>
  <c r="AO235" i="3" s="1"/>
  <c r="K246" i="3"/>
  <c r="AF270" i="3"/>
  <c r="C192" i="3"/>
  <c r="C195" i="3"/>
  <c r="AK312" i="3"/>
  <c r="E98" i="3"/>
  <c r="H186" i="3"/>
  <c r="T186" i="3"/>
  <c r="D192" i="3"/>
  <c r="K214" i="3"/>
  <c r="AK97" i="3"/>
  <c r="S98" i="3"/>
  <c r="AK98" i="3"/>
  <c r="AK99" i="3"/>
  <c r="T139" i="3"/>
  <c r="J189" i="3"/>
  <c r="J190" i="3" s="1"/>
  <c r="AH178" i="3"/>
  <c r="H196" i="3"/>
  <c r="T196" i="3"/>
  <c r="AF196" i="3"/>
  <c r="AN312" i="3"/>
  <c r="D185" i="3"/>
  <c r="E301" i="3"/>
  <c r="AE10" i="3"/>
  <c r="AB20" i="3"/>
  <c r="Z139" i="3"/>
  <c r="K180" i="3"/>
  <c r="W180" i="3"/>
  <c r="AI180" i="3"/>
  <c r="K186" i="3"/>
  <c r="W186" i="3"/>
  <c r="AI186" i="3"/>
  <c r="G311" i="3"/>
  <c r="E61" i="3"/>
  <c r="N186" i="3"/>
  <c r="E9" i="3"/>
  <c r="D9" i="3" s="1"/>
  <c r="W177" i="3"/>
  <c r="AF180" i="3"/>
  <c r="S184" i="3"/>
  <c r="AE184" i="3"/>
  <c r="C18" i="3"/>
  <c r="AH311" i="3"/>
  <c r="P312" i="3"/>
  <c r="AH312" i="3"/>
  <c r="X16" i="3"/>
  <c r="X27" i="3" s="1"/>
  <c r="I16" i="3"/>
  <c r="J24" i="3" s="1"/>
  <c r="AJ100" i="3"/>
  <c r="AK117" i="3" s="1"/>
  <c r="AN104" i="3"/>
  <c r="J254" i="3"/>
  <c r="K255" i="3" s="1"/>
  <c r="E311" i="3"/>
  <c r="E343" i="3"/>
  <c r="H16" i="3"/>
  <c r="F34" i="3" s="1"/>
  <c r="C9" i="3"/>
  <c r="E26" i="3"/>
  <c r="M9" i="3"/>
  <c r="AD16" i="3"/>
  <c r="AE26" i="3" s="1"/>
  <c r="AB10" i="3"/>
  <c r="R16" i="3"/>
  <c r="S26" i="3" s="1"/>
  <c r="S18" i="3"/>
  <c r="C185" i="3"/>
  <c r="AE9" i="3"/>
  <c r="AK18" i="3"/>
  <c r="S20" i="3"/>
  <c r="AD35" i="3"/>
  <c r="F117" i="3"/>
  <c r="AF186" i="3"/>
  <c r="AK184" i="3"/>
  <c r="Z214" i="3"/>
  <c r="Z235" i="3" s="1"/>
  <c r="E219" i="3"/>
  <c r="N183" i="3"/>
  <c r="AC246" i="3"/>
  <c r="AE300" i="3"/>
  <c r="AL334" i="3"/>
  <c r="AI27" i="3"/>
  <c r="AI30" i="3" s="1"/>
  <c r="AH10" i="3"/>
  <c r="E18" i="3"/>
  <c r="AB181" i="3"/>
  <c r="F16" i="3"/>
  <c r="G24" i="3" s="1"/>
  <c r="U116" i="3"/>
  <c r="AF193" i="3"/>
  <c r="AO27" i="3"/>
  <c r="AM35" i="3" s="1"/>
  <c r="G9" i="3"/>
  <c r="W16" i="3"/>
  <c r="W30" i="3" s="1"/>
  <c r="AL16" i="3"/>
  <c r="AJ34" i="3" s="1"/>
  <c r="J20" i="3"/>
  <c r="AC183" i="3"/>
  <c r="AO183" i="3"/>
  <c r="Y187" i="3"/>
  <c r="E268" i="3"/>
  <c r="N470" i="3"/>
  <c r="AC255" i="3"/>
  <c r="Q270" i="3"/>
  <c r="P270" i="3" s="1"/>
  <c r="AO353" i="3"/>
  <c r="AO355" i="3" s="1"/>
  <c r="AL435" i="3"/>
  <c r="AO484" i="3"/>
  <c r="S99" i="3"/>
  <c r="Y104" i="3"/>
  <c r="E122" i="3"/>
  <c r="E166" i="3"/>
  <c r="W167" i="3"/>
  <c r="Z177" i="3"/>
  <c r="G181" i="3"/>
  <c r="T180" i="3"/>
  <c r="AE181" i="3"/>
  <c r="P187" i="3"/>
  <c r="AN187" i="3"/>
  <c r="E202" i="3"/>
  <c r="E267" i="3"/>
  <c r="AF308" i="3"/>
  <c r="AF313" i="3" s="1"/>
  <c r="AF318" i="3" s="1"/>
  <c r="M301" i="3"/>
  <c r="AE301" i="3"/>
  <c r="M302" i="3"/>
  <c r="AE302" i="3"/>
  <c r="M303" i="3"/>
  <c r="AE303" i="3"/>
  <c r="M304" i="3"/>
  <c r="AE304" i="3"/>
  <c r="AD308" i="3"/>
  <c r="AD313" i="3" s="1"/>
  <c r="W334" i="3"/>
  <c r="E331" i="3"/>
  <c r="E340" i="3"/>
  <c r="E342" i="3"/>
  <c r="E463" i="3"/>
  <c r="AM16" i="3"/>
  <c r="AN25" i="3" s="1"/>
  <c r="S10" i="3"/>
  <c r="C20" i="3"/>
  <c r="Q425" i="3"/>
  <c r="Q426" i="3"/>
  <c r="Q427" i="3"/>
  <c r="AO432" i="3"/>
  <c r="AO433" i="3"/>
  <c r="AO434" i="3"/>
  <c r="AI439" i="3"/>
  <c r="AI440" i="3"/>
  <c r="AF447" i="3"/>
  <c r="AF448" i="3"/>
  <c r="AF449" i="3"/>
  <c r="AF450" i="3"/>
  <c r="AF451" i="3"/>
  <c r="AC86" i="3"/>
  <c r="X117" i="3"/>
  <c r="Z126" i="3"/>
  <c r="AC157" i="3"/>
  <c r="AC167" i="3"/>
  <c r="D195" i="3"/>
  <c r="E204" i="3"/>
  <c r="AC233" i="3"/>
  <c r="Z246" i="3"/>
  <c r="V254" i="3"/>
  <c r="W255" i="3" s="1"/>
  <c r="AG308" i="3"/>
  <c r="E345" i="3"/>
  <c r="E20" i="3"/>
  <c r="E25" i="3"/>
  <c r="T425" i="3"/>
  <c r="T426" i="3"/>
  <c r="T427" i="3"/>
  <c r="H432" i="3"/>
  <c r="H433" i="3"/>
  <c r="H434" i="3"/>
  <c r="H435" i="3"/>
  <c r="AI441" i="3"/>
  <c r="AI442" i="3"/>
  <c r="AI443" i="3"/>
  <c r="AI445" i="3"/>
  <c r="AI446" i="3"/>
  <c r="AI86" i="3"/>
  <c r="J104" i="3"/>
  <c r="AB104" i="3"/>
  <c r="E135" i="3"/>
  <c r="E141" i="3"/>
  <c r="E153" i="3"/>
  <c r="AF167" i="3"/>
  <c r="AB178" i="3"/>
  <c r="AL183" i="3"/>
  <c r="N193" i="3"/>
  <c r="Z193" i="3"/>
  <c r="AL193" i="3"/>
  <c r="E216" i="3"/>
  <c r="E229" i="3"/>
  <c r="H246" i="3"/>
  <c r="Z270" i="3"/>
  <c r="Z291" i="3" s="1"/>
  <c r="Y291" i="3" s="1"/>
  <c r="N270" i="3"/>
  <c r="M270" i="3" s="1"/>
  <c r="E279" i="3"/>
  <c r="AI308" i="3"/>
  <c r="AI313" i="3" s="1"/>
  <c r="AI318" i="3" s="1"/>
  <c r="AH353" i="3" s="1"/>
  <c r="Q308" i="3"/>
  <c r="Q313" i="3" s="1"/>
  <c r="Q318" i="3" s="1"/>
  <c r="C311" i="3"/>
  <c r="Q334" i="3"/>
  <c r="E465" i="3"/>
  <c r="K57" i="3"/>
  <c r="AO439" i="3"/>
  <c r="AO440" i="3"/>
  <c r="AL446" i="3"/>
  <c r="AL447" i="3"/>
  <c r="AL448" i="3"/>
  <c r="AL449" i="3"/>
  <c r="AL451" i="3"/>
  <c r="E152" i="3"/>
  <c r="S181" i="3"/>
  <c r="E188" i="3"/>
  <c r="AF246" i="3"/>
  <c r="AC270" i="3"/>
  <c r="AB270" i="3" s="1"/>
  <c r="E276" i="3"/>
  <c r="E282" i="3"/>
  <c r="S299" i="3"/>
  <c r="AK300" i="3"/>
  <c r="Y311" i="3"/>
  <c r="G312" i="3"/>
  <c r="Y312" i="3"/>
  <c r="AF334" i="3"/>
  <c r="AF355" i="3" s="1"/>
  <c r="T334" i="3"/>
  <c r="Q353" i="3"/>
  <c r="E347" i="3"/>
  <c r="T470" i="3"/>
  <c r="U16" i="3"/>
  <c r="U27" i="3" s="1"/>
  <c r="AO441" i="3"/>
  <c r="AO442" i="3"/>
  <c r="AO443" i="3"/>
  <c r="AO445" i="3"/>
  <c r="E96" i="3"/>
  <c r="M104" i="3"/>
  <c r="C176" i="3"/>
  <c r="R189" i="3"/>
  <c r="AD189" i="3"/>
  <c r="N289" i="3"/>
  <c r="M289" i="3" s="1"/>
  <c r="T308" i="3"/>
  <c r="T313" i="3" s="1"/>
  <c r="T318" i="3" s="1"/>
  <c r="S353" i="3" s="1"/>
  <c r="AI334" i="3"/>
  <c r="AI355" i="3" s="1"/>
  <c r="W470" i="3"/>
  <c r="O16" i="3"/>
  <c r="O27" i="3" s="1"/>
  <c r="P34" i="3" s="1"/>
  <c r="AJ35" i="3"/>
  <c r="E65" i="3"/>
  <c r="Z112" i="3"/>
  <c r="Y157" i="3" s="1"/>
  <c r="E107" i="3"/>
  <c r="AM116" i="3"/>
  <c r="D176" i="3"/>
  <c r="S178" i="3"/>
  <c r="AE178" i="3"/>
  <c r="AL177" i="3"/>
  <c r="C179" i="3"/>
  <c r="Y181" i="3"/>
  <c r="AC193" i="3"/>
  <c r="AO193" i="3"/>
  <c r="AI270" i="3"/>
  <c r="AH270" i="3" s="1"/>
  <c r="V299" i="3"/>
  <c r="V300" i="3"/>
  <c r="AN300" i="3"/>
  <c r="E462" i="3"/>
  <c r="E500" i="3"/>
  <c r="AC16" i="3"/>
  <c r="E35" i="3"/>
  <c r="E64" i="3"/>
  <c r="J97" i="3"/>
  <c r="AB97" i="3"/>
  <c r="J98" i="3"/>
  <c r="AB98" i="3"/>
  <c r="J99" i="3"/>
  <c r="I100" i="3"/>
  <c r="J119" i="3" s="1"/>
  <c r="P104" i="3"/>
  <c r="W109" i="3"/>
  <c r="W112" i="3" s="1"/>
  <c r="E146" i="3"/>
  <c r="E151" i="3"/>
  <c r="Z167" i="3"/>
  <c r="H189" i="3"/>
  <c r="H198" i="3" s="1"/>
  <c r="H237" i="3" s="1"/>
  <c r="G178" i="3"/>
  <c r="Y189" i="3"/>
  <c r="Y198" i="3" s="1"/>
  <c r="AK189" i="3"/>
  <c r="AK198" i="3" s="1"/>
  <c r="J187" i="3"/>
  <c r="AH187" i="3"/>
  <c r="E228" i="3"/>
  <c r="T289" i="3"/>
  <c r="S289" i="3" s="1"/>
  <c r="V301" i="3"/>
  <c r="V302" i="3"/>
  <c r="AN302" i="3"/>
  <c r="V303" i="3"/>
  <c r="AN303" i="3"/>
  <c r="V304" i="3"/>
  <c r="AN304" i="3"/>
  <c r="Z353" i="3"/>
  <c r="E461" i="3"/>
  <c r="Q126" i="3"/>
  <c r="Q159" i="3" s="1"/>
  <c r="E119" i="3"/>
  <c r="H126" i="3"/>
  <c r="E121" i="3"/>
  <c r="AI139" i="3"/>
  <c r="W139" i="3"/>
  <c r="K157" i="3"/>
  <c r="E150" i="3"/>
  <c r="E226" i="3"/>
  <c r="H334" i="3"/>
  <c r="AL470" i="3"/>
  <c r="Q30" i="3"/>
  <c r="R35" i="3"/>
  <c r="L16" i="3"/>
  <c r="L30" i="3" s="1"/>
  <c r="AL425" i="3"/>
  <c r="AL427" i="3"/>
  <c r="C99" i="3"/>
  <c r="S104" i="3"/>
  <c r="K126" i="3"/>
  <c r="N157" i="3"/>
  <c r="J178" i="3"/>
  <c r="V178" i="3"/>
  <c r="E182" i="3"/>
  <c r="H193" i="3"/>
  <c r="T193" i="3"/>
  <c r="AC196" i="3"/>
  <c r="AO196" i="3"/>
  <c r="AC214" i="3"/>
  <c r="E283" i="3"/>
  <c r="E299" i="3"/>
  <c r="Z308" i="3"/>
  <c r="Z313" i="3" s="1"/>
  <c r="Z318" i="3" s="1"/>
  <c r="E300" i="3"/>
  <c r="Y302" i="3"/>
  <c r="Y303" i="3"/>
  <c r="E495" i="3"/>
  <c r="E8" i="3"/>
  <c r="Z16" i="3"/>
  <c r="X34" i="3" s="1"/>
  <c r="Z27" i="3"/>
  <c r="X35" i="3" s="1"/>
  <c r="E10" i="3"/>
  <c r="AG16" i="3"/>
  <c r="AH416" i="3" s="1"/>
  <c r="AK20" i="3"/>
  <c r="AC27" i="3"/>
  <c r="AA35" i="3" s="1"/>
  <c r="AC432" i="3"/>
  <c r="AC433" i="3"/>
  <c r="AC434" i="3"/>
  <c r="AC435" i="3"/>
  <c r="W439" i="3"/>
  <c r="W440" i="3"/>
  <c r="T441" i="3"/>
  <c r="T442" i="3"/>
  <c r="T443" i="3"/>
  <c r="T445" i="3"/>
  <c r="T446" i="3"/>
  <c r="T447" i="3"/>
  <c r="T448" i="3"/>
  <c r="T449" i="3"/>
  <c r="T450" i="3"/>
  <c r="T451" i="3"/>
  <c r="AF100" i="3"/>
  <c r="AF112" i="3" s="1"/>
  <c r="AE99" i="3"/>
  <c r="AK104" i="3"/>
  <c r="T126" i="3"/>
  <c r="K189" i="3"/>
  <c r="AI189" i="3"/>
  <c r="AI198" i="3" s="1"/>
  <c r="M187" i="3"/>
  <c r="AK187" i="3"/>
  <c r="E205" i="3"/>
  <c r="W214" i="3"/>
  <c r="AC289" i="3"/>
  <c r="AB289" i="3" s="1"/>
  <c r="J300" i="3"/>
  <c r="AB300" i="3"/>
  <c r="E302" i="3"/>
  <c r="E303" i="3"/>
  <c r="E304" i="3"/>
  <c r="E346" i="3"/>
  <c r="H470" i="3"/>
  <c r="E473" i="3"/>
  <c r="W441" i="3"/>
  <c r="W443" i="3"/>
  <c r="W447" i="3"/>
  <c r="W448" i="3"/>
  <c r="W449" i="3"/>
  <c r="W450" i="3"/>
  <c r="W451" i="3"/>
  <c r="P97" i="3"/>
  <c r="AH97" i="3"/>
  <c r="O100" i="3"/>
  <c r="P118" i="3" s="1"/>
  <c r="AH98" i="3"/>
  <c r="P99" i="3"/>
  <c r="V104" i="3"/>
  <c r="AI109" i="3"/>
  <c r="AI112" i="3" s="1"/>
  <c r="E127" i="3"/>
  <c r="E129" i="3"/>
  <c r="AF139" i="3"/>
  <c r="K183" i="3"/>
  <c r="AF289" i="3"/>
  <c r="AE289" i="3" s="1"/>
  <c r="K308" i="3"/>
  <c r="K313" i="3" s="1"/>
  <c r="K318" i="3" s="1"/>
  <c r="J353" i="3" s="1"/>
  <c r="AC308" i="3"/>
  <c r="AC313" i="3" s="1"/>
  <c r="AC318" i="3" s="1"/>
  <c r="J301" i="3"/>
  <c r="AB301" i="3"/>
  <c r="J302" i="3"/>
  <c r="AB302" i="3"/>
  <c r="AB303" i="3"/>
  <c r="J304" i="3"/>
  <c r="AB304" i="3"/>
  <c r="K470" i="3"/>
  <c r="AG35" i="3"/>
  <c r="E401" i="3"/>
  <c r="D401" i="3" s="1"/>
  <c r="D381" i="3"/>
  <c r="AA30" i="3"/>
  <c r="AB26" i="3"/>
  <c r="AB25" i="3"/>
  <c r="AB24" i="3"/>
  <c r="I35" i="3"/>
  <c r="K30" i="3"/>
  <c r="J57" i="3" s="1"/>
  <c r="AE270" i="3"/>
  <c r="AN16" i="3"/>
  <c r="U35" i="3"/>
  <c r="AF30" i="3"/>
  <c r="AA27" i="3"/>
  <c r="AB39" i="3" s="1"/>
  <c r="N44" i="3"/>
  <c r="AF44" i="3"/>
  <c r="AJ16" i="3"/>
  <c r="H27" i="3"/>
  <c r="F35" i="3" s="1"/>
  <c r="K438" i="3"/>
  <c r="K75" i="3"/>
  <c r="E60" i="3"/>
  <c r="N86" i="3"/>
  <c r="AA100" i="3"/>
  <c r="AB413" i="3" s="1"/>
  <c r="N139" i="3"/>
  <c r="H480" i="3"/>
  <c r="E480" i="3" s="1"/>
  <c r="E162" i="3"/>
  <c r="W233" i="3"/>
  <c r="E220" i="3"/>
  <c r="T233" i="3"/>
  <c r="AI246" i="3"/>
  <c r="K289" i="3"/>
  <c r="J289" i="3" s="1"/>
  <c r="E273" i="3"/>
  <c r="E278" i="3"/>
  <c r="X308" i="3"/>
  <c r="Y299" i="3"/>
  <c r="C300" i="3"/>
  <c r="G300" i="3"/>
  <c r="C301" i="3"/>
  <c r="AN301" i="3"/>
  <c r="U308" i="3"/>
  <c r="P311" i="3"/>
  <c r="W353" i="3"/>
  <c r="AC57" i="3"/>
  <c r="N438" i="3"/>
  <c r="N75" i="3"/>
  <c r="F100" i="3"/>
  <c r="C97" i="3"/>
  <c r="AH122" i="3"/>
  <c r="AH117" i="3"/>
  <c r="AH107" i="3"/>
  <c r="AH121" i="3"/>
  <c r="AH106" i="3"/>
  <c r="AH125" i="3"/>
  <c r="AH116" i="3"/>
  <c r="AH120" i="3"/>
  <c r="AH124" i="3"/>
  <c r="AH119" i="3"/>
  <c r="N478" i="3"/>
  <c r="N167" i="3"/>
  <c r="T177" i="3"/>
  <c r="T189" i="3"/>
  <c r="AF177" i="3"/>
  <c r="AF189" i="3"/>
  <c r="P9" i="3"/>
  <c r="AB9" i="3"/>
  <c r="AN9" i="3"/>
  <c r="M10" i="3"/>
  <c r="Y10" i="3"/>
  <c r="D18" i="3"/>
  <c r="P18" i="3"/>
  <c r="AB18" i="3"/>
  <c r="AN18" i="3"/>
  <c r="M20" i="3"/>
  <c r="I34" i="3"/>
  <c r="AG34" i="3"/>
  <c r="E62" i="3"/>
  <c r="AL75" i="3"/>
  <c r="AF86" i="3"/>
  <c r="G97" i="3"/>
  <c r="P98" i="3"/>
  <c r="E99" i="3"/>
  <c r="AH100" i="3"/>
  <c r="AL109" i="3"/>
  <c r="AJ117" i="3" s="1"/>
  <c r="E108" i="3"/>
  <c r="AH108" i="3"/>
  <c r="AH123" i="3"/>
  <c r="AL157" i="3"/>
  <c r="Q478" i="3"/>
  <c r="Q167" i="3"/>
  <c r="AI214" i="3"/>
  <c r="AF214" i="3"/>
  <c r="E209" i="3"/>
  <c r="N255" i="3"/>
  <c r="AF255" i="3"/>
  <c r="E266" i="3"/>
  <c r="E281" i="3"/>
  <c r="E285" i="3"/>
  <c r="C299" i="3"/>
  <c r="J299" i="3"/>
  <c r="AA308" i="3"/>
  <c r="C302" i="3"/>
  <c r="Q44" i="3"/>
  <c r="AI44" i="3"/>
  <c r="E63" i="3"/>
  <c r="H100" i="3"/>
  <c r="E97" i="3"/>
  <c r="E140" i="3"/>
  <c r="AF157" i="3"/>
  <c r="W270" i="3"/>
  <c r="E259" i="3"/>
  <c r="C304" i="3"/>
  <c r="G304" i="3"/>
  <c r="AL485" i="3"/>
  <c r="E36" i="3"/>
  <c r="N57" i="3"/>
  <c r="C10" i="3"/>
  <c r="AI423" i="3"/>
  <c r="E53" i="3"/>
  <c r="W438" i="3"/>
  <c r="W75" i="3"/>
  <c r="H75" i="3"/>
  <c r="AL86" i="3"/>
  <c r="C98" i="3"/>
  <c r="D98" i="3" s="1"/>
  <c r="M99" i="3"/>
  <c r="Q109" i="3"/>
  <c r="O117" i="3" s="1"/>
  <c r="W126" i="3"/>
  <c r="AO126" i="3"/>
  <c r="E137" i="3"/>
  <c r="M181" i="3"/>
  <c r="E185" i="3"/>
  <c r="Q186" i="3"/>
  <c r="AC186" i="3"/>
  <c r="AO186" i="3"/>
  <c r="Q246" i="3"/>
  <c r="Q254" i="3"/>
  <c r="L308" i="3"/>
  <c r="M299" i="3"/>
  <c r="T44" i="3"/>
  <c r="AL44" i="3"/>
  <c r="AC426" i="3"/>
  <c r="E54" i="3"/>
  <c r="Q57" i="3"/>
  <c r="AI57" i="3"/>
  <c r="Z438" i="3"/>
  <c r="T440" i="3"/>
  <c r="N442" i="3"/>
  <c r="K443" i="3"/>
  <c r="W452" i="3"/>
  <c r="AM100" i="3"/>
  <c r="T109" i="3"/>
  <c r="X116" i="3"/>
  <c r="E136" i="3"/>
  <c r="E143" i="3"/>
  <c r="E147" i="3"/>
  <c r="E148" i="3"/>
  <c r="E149" i="3"/>
  <c r="L189" i="3"/>
  <c r="X189" i="3"/>
  <c r="AJ189" i="3"/>
  <c r="E203" i="3"/>
  <c r="AL233" i="3"/>
  <c r="E284" i="3"/>
  <c r="N308" i="3"/>
  <c r="N313" i="3" s="1"/>
  <c r="N318" i="3" s="1"/>
  <c r="M353" i="3" s="1"/>
  <c r="C303" i="3"/>
  <c r="J303" i="3"/>
  <c r="E322" i="3"/>
  <c r="AL353" i="3"/>
  <c r="Y381" i="3"/>
  <c r="Z401" i="3"/>
  <c r="Y401" i="3" s="1"/>
  <c r="AF57" i="3"/>
  <c r="AC438" i="3"/>
  <c r="AC75" i="3"/>
  <c r="K445" i="3"/>
  <c r="H446" i="3"/>
  <c r="E66" i="3"/>
  <c r="AO447" i="3"/>
  <c r="Q75" i="3"/>
  <c r="L100" i="3"/>
  <c r="C104" i="3"/>
  <c r="AG109" i="3"/>
  <c r="AA116" i="3"/>
  <c r="E142" i="3"/>
  <c r="D182" i="3"/>
  <c r="G184" i="3"/>
  <c r="S189" i="3"/>
  <c r="E215" i="3"/>
  <c r="AF233" i="3"/>
  <c r="T246" i="3"/>
  <c r="T254" i="3"/>
  <c r="AL246" i="3"/>
  <c r="AL254" i="3"/>
  <c r="AO255" i="3"/>
  <c r="O313" i="3"/>
  <c r="C312" i="3"/>
  <c r="E324" i="3"/>
  <c r="E52" i="3"/>
  <c r="E38" i="3"/>
  <c r="W44" i="3"/>
  <c r="AO44" i="3"/>
  <c r="Q432" i="3"/>
  <c r="T57" i="3"/>
  <c r="S57" i="3" s="1"/>
  <c r="AL57" i="3"/>
  <c r="AF438" i="3"/>
  <c r="AF75" i="3"/>
  <c r="Z440" i="3"/>
  <c r="E67" i="3"/>
  <c r="H474" i="3"/>
  <c r="E474" i="3" s="1"/>
  <c r="E81" i="3"/>
  <c r="N100" i="3"/>
  <c r="N112" i="3" s="1"/>
  <c r="AD100" i="3"/>
  <c r="G104" i="3"/>
  <c r="I116" i="3"/>
  <c r="E120" i="3"/>
  <c r="N189" i="3"/>
  <c r="AL189" i="3"/>
  <c r="T183" i="3"/>
  <c r="AF183" i="3"/>
  <c r="N214" i="3"/>
  <c r="H289" i="3"/>
  <c r="G289" i="3" s="1"/>
  <c r="E306" i="3"/>
  <c r="F308" i="3"/>
  <c r="K334" i="3"/>
  <c r="E323" i="3"/>
  <c r="E336" i="3"/>
  <c r="E339" i="3"/>
  <c r="AE381" i="3"/>
  <c r="AF401" i="3"/>
  <c r="AE401" i="3" s="1"/>
  <c r="J18" i="3"/>
  <c r="V18" i="3"/>
  <c r="AH18" i="3"/>
  <c r="S25" i="3"/>
  <c r="O34" i="3"/>
  <c r="AA34" i="3"/>
  <c r="AM34" i="3"/>
  <c r="L35" i="3"/>
  <c r="E45" i="3"/>
  <c r="AL426" i="3"/>
  <c r="AI427" i="3"/>
  <c r="Q433" i="3"/>
  <c r="N434" i="3"/>
  <c r="AI438" i="3"/>
  <c r="AF439" i="3"/>
  <c r="AC440" i="3"/>
  <c r="Z441" i="3"/>
  <c r="W442" i="3"/>
  <c r="E68" i="3"/>
  <c r="AL450" i="3"/>
  <c r="AI451" i="3"/>
  <c r="T75" i="3"/>
  <c r="S75" i="3" s="1"/>
  <c r="Q475" i="3"/>
  <c r="Q86" i="3"/>
  <c r="AI484" i="3"/>
  <c r="AE97" i="3"/>
  <c r="U100" i="3"/>
  <c r="E104" i="3"/>
  <c r="I117" i="3"/>
  <c r="AH118" i="3"/>
  <c r="AL139" i="3"/>
  <c r="E134" i="3"/>
  <c r="H139" i="3"/>
  <c r="O189" i="3"/>
  <c r="AA189" i="3"/>
  <c r="AM189" i="3"/>
  <c r="V189" i="3"/>
  <c r="K196" i="3"/>
  <c r="AI196" i="3"/>
  <c r="Q214" i="3"/>
  <c r="E218" i="3"/>
  <c r="E222" i="3"/>
  <c r="E224" i="3"/>
  <c r="E225" i="3"/>
  <c r="D245" i="3"/>
  <c r="D254" i="3" s="1"/>
  <c r="AO246" i="3"/>
  <c r="AI255" i="3"/>
  <c r="AL270" i="3"/>
  <c r="AI289" i="3"/>
  <c r="AH289" i="3" s="1"/>
  <c r="AJ308" i="3"/>
  <c r="AK299" i="3"/>
  <c r="S300" i="3"/>
  <c r="P301" i="3"/>
  <c r="H308" i="3"/>
  <c r="H313" i="3" s="1"/>
  <c r="H318" i="3" s="1"/>
  <c r="AB311" i="3"/>
  <c r="N334" i="3"/>
  <c r="E335" i="3"/>
  <c r="E344" i="3"/>
  <c r="E403" i="3"/>
  <c r="E37" i="3"/>
  <c r="E55" i="3"/>
  <c r="N16" i="3"/>
  <c r="E24" i="3"/>
  <c r="E39" i="3"/>
  <c r="H44" i="3"/>
  <c r="Z44" i="3"/>
  <c r="E46" i="3"/>
  <c r="W57" i="3"/>
  <c r="AO57" i="3"/>
  <c r="AF440" i="3"/>
  <c r="E69" i="3"/>
  <c r="T475" i="3"/>
  <c r="T485" i="3" s="1"/>
  <c r="T86" i="3"/>
  <c r="Q100" i="3"/>
  <c r="E145" i="3"/>
  <c r="T157" i="3"/>
  <c r="P189" i="3"/>
  <c r="AN189" i="3"/>
  <c r="AE189" i="3"/>
  <c r="E192" i="3"/>
  <c r="T214" i="3"/>
  <c r="E217" i="3"/>
  <c r="E223" i="3"/>
  <c r="E227" i="3"/>
  <c r="AO270" i="3"/>
  <c r="AL289" i="3"/>
  <c r="AK289" i="3" s="1"/>
  <c r="AL308" i="3"/>
  <c r="AL313" i="3" s="1"/>
  <c r="AL318" i="3" s="1"/>
  <c r="AH303" i="3"/>
  <c r="I308" i="3"/>
  <c r="E338" i="3"/>
  <c r="E34" i="3"/>
  <c r="Q423" i="3"/>
  <c r="AC423" i="3"/>
  <c r="AO423" i="3"/>
  <c r="AL414" i="3"/>
  <c r="E47" i="3"/>
  <c r="W433" i="3"/>
  <c r="Q435" i="3"/>
  <c r="E58" i="3"/>
  <c r="AO438" i="3"/>
  <c r="AO75" i="3"/>
  <c r="AL439" i="3"/>
  <c r="AF441" i="3"/>
  <c r="AC442" i="3"/>
  <c r="W445" i="3"/>
  <c r="E70" i="3"/>
  <c r="Z75" i="3"/>
  <c r="W475" i="3"/>
  <c r="W485" i="3" s="1"/>
  <c r="W86" i="3"/>
  <c r="E85" i="3"/>
  <c r="R100" i="3"/>
  <c r="E106" i="3"/>
  <c r="AF126" i="3"/>
  <c r="E118" i="3"/>
  <c r="E144" i="3"/>
  <c r="E176" i="3"/>
  <c r="Q189" i="3"/>
  <c r="Q177" i="3"/>
  <c r="AC189" i="3"/>
  <c r="AC177" i="3"/>
  <c r="AO189" i="3"/>
  <c r="AO177" i="3"/>
  <c r="W183" i="3"/>
  <c r="AI183" i="3"/>
  <c r="E210" i="3"/>
  <c r="E212" i="3"/>
  <c r="Z255" i="3"/>
  <c r="H270" i="3"/>
  <c r="E261" i="3"/>
  <c r="AM308" i="3"/>
  <c r="E307" i="3"/>
  <c r="R308" i="3"/>
  <c r="E312" i="3"/>
  <c r="E329" i="3"/>
  <c r="E330" i="3"/>
  <c r="E349" i="3"/>
  <c r="H401" i="3"/>
  <c r="G401" i="3" s="1"/>
  <c r="G381" i="3"/>
  <c r="AF423" i="3"/>
  <c r="R34" i="3"/>
  <c r="AD34" i="3"/>
  <c r="O35" i="3"/>
  <c r="H418" i="3"/>
  <c r="H423" i="3" s="1"/>
  <c r="E40" i="3"/>
  <c r="W419" i="3"/>
  <c r="K44" i="3"/>
  <c r="AC44" i="3"/>
  <c r="W434" i="3"/>
  <c r="H57" i="3"/>
  <c r="Z57" i="3"/>
  <c r="E59" i="3"/>
  <c r="AL440" i="3"/>
  <c r="AF442" i="3"/>
  <c r="AC443" i="3"/>
  <c r="W446" i="3"/>
  <c r="E71" i="3"/>
  <c r="Z475" i="3"/>
  <c r="Z86" i="3"/>
  <c r="K86" i="3"/>
  <c r="S97" i="3"/>
  <c r="X100" i="3"/>
  <c r="AG116" i="3"/>
  <c r="K139" i="3"/>
  <c r="H478" i="3"/>
  <c r="H167" i="3"/>
  <c r="E160" i="3"/>
  <c r="E161" i="3"/>
  <c r="AO479" i="3"/>
  <c r="E479" i="3" s="1"/>
  <c r="AO167" i="3"/>
  <c r="H177" i="3"/>
  <c r="E179" i="3"/>
  <c r="J184" i="3"/>
  <c r="AH189" i="3"/>
  <c r="E211" i="3"/>
  <c r="K270" i="3"/>
  <c r="E272" i="3"/>
  <c r="E274" i="3"/>
  <c r="E275" i="3"/>
  <c r="AO289" i="3"/>
  <c r="AN289" i="3" s="1"/>
  <c r="W308" i="3"/>
  <c r="W313" i="3" s="1"/>
  <c r="W318" i="3" s="1"/>
  <c r="AO308" i="3"/>
  <c r="AO313" i="3" s="1"/>
  <c r="AO318" i="3" s="1"/>
  <c r="AN353" i="3" s="1"/>
  <c r="AK302" i="3"/>
  <c r="S304" i="3"/>
  <c r="M312" i="3"/>
  <c r="E332" i="3"/>
  <c r="E348" i="3"/>
  <c r="AL452" i="3"/>
  <c r="T167" i="3"/>
  <c r="AI177" i="3"/>
  <c r="F189" i="3"/>
  <c r="H353" i="3"/>
  <c r="AB381" i="3"/>
  <c r="AC401" i="3"/>
  <c r="AB401" i="3" s="1"/>
  <c r="Q452" i="3"/>
  <c r="AO86" i="3"/>
  <c r="AI167" i="3"/>
  <c r="N177" i="3"/>
  <c r="D179" i="3"/>
  <c r="W189" i="3"/>
  <c r="E245" i="3"/>
  <c r="W403" i="3"/>
  <c r="T452" i="3"/>
  <c r="H86" i="3"/>
  <c r="E117" i="3"/>
  <c r="N126" i="3"/>
  <c r="AL167" i="3"/>
  <c r="H254" i="3"/>
  <c r="E258" i="3"/>
  <c r="M381" i="3"/>
  <c r="N401" i="3"/>
  <c r="M401" i="3" s="1"/>
  <c r="AK181" i="3"/>
  <c r="Z183" i="3"/>
  <c r="M189" i="3"/>
  <c r="D364" i="3"/>
  <c r="P381" i="3"/>
  <c r="AF455" i="3"/>
  <c r="AI454" i="3"/>
  <c r="AL453" i="3"/>
  <c r="AC444" i="3"/>
  <c r="T436" i="3"/>
  <c r="K431" i="3"/>
  <c r="N430" i="3"/>
  <c r="Q429" i="3"/>
  <c r="T428" i="3"/>
  <c r="H422" i="3"/>
  <c r="K421" i="3"/>
  <c r="N420" i="3"/>
  <c r="AC455" i="3"/>
  <c r="AF454" i="3"/>
  <c r="AI453" i="3"/>
  <c r="Z444" i="3"/>
  <c r="Q436" i="3"/>
  <c r="H431" i="3"/>
  <c r="K430" i="3"/>
  <c r="N429" i="3"/>
  <c r="Q428" i="3"/>
  <c r="AO422" i="3"/>
  <c r="H421" i="3"/>
  <c r="K420" i="3"/>
  <c r="Z455" i="3"/>
  <c r="AC454" i="3"/>
  <c r="AF453" i="3"/>
  <c r="W444" i="3"/>
  <c r="N436" i="3"/>
  <c r="AO431" i="3"/>
  <c r="H430" i="3"/>
  <c r="K429" i="3"/>
  <c r="N428" i="3"/>
  <c r="AL422" i="3"/>
  <c r="AO421" i="3"/>
  <c r="H420" i="3"/>
  <c r="W455" i="3"/>
  <c r="Z454" i="3"/>
  <c r="AC453" i="3"/>
  <c r="T444" i="3"/>
  <c r="K436" i="3"/>
  <c r="AL431" i="3"/>
  <c r="AO430" i="3"/>
  <c r="H429" i="3"/>
  <c r="K428" i="3"/>
  <c r="AI422" i="3"/>
  <c r="AL421" i="3"/>
  <c r="AO420" i="3"/>
  <c r="T455" i="3"/>
  <c r="W454" i="3"/>
  <c r="Z453" i="3"/>
  <c r="Q444" i="3"/>
  <c r="H436" i="3"/>
  <c r="AI431" i="3"/>
  <c r="AL430" i="3"/>
  <c r="AO429" i="3"/>
  <c r="H428" i="3"/>
  <c r="AF422" i="3"/>
  <c r="AI421" i="3"/>
  <c r="AL420" i="3"/>
  <c r="Q455" i="3"/>
  <c r="T454" i="3"/>
  <c r="W453" i="3"/>
  <c r="N444" i="3"/>
  <c r="AO436" i="3"/>
  <c r="AF431" i="3"/>
  <c r="AI430" i="3"/>
  <c r="AL429" i="3"/>
  <c r="AO428" i="3"/>
  <c r="AC422" i="3"/>
  <c r="AF421" i="3"/>
  <c r="AI420" i="3"/>
  <c r="N455" i="3"/>
  <c r="Q454" i="3"/>
  <c r="T453" i="3"/>
  <c r="K444" i="3"/>
  <c r="AL436" i="3"/>
  <c r="AC431" i="3"/>
  <c r="AF430" i="3"/>
  <c r="AI429" i="3"/>
  <c r="AL428" i="3"/>
  <c r="Z422" i="3"/>
  <c r="AC421" i="3"/>
  <c r="AF420" i="3"/>
  <c r="K455" i="3"/>
  <c r="N454" i="3"/>
  <c r="Q453" i="3"/>
  <c r="H444" i="3"/>
  <c r="AI436" i="3"/>
  <c r="Z431" i="3"/>
  <c r="AC430" i="3"/>
  <c r="AF429" i="3"/>
  <c r="AI428" i="3"/>
  <c r="W422" i="3"/>
  <c r="Z421" i="3"/>
  <c r="AC420" i="3"/>
  <c r="H455" i="3"/>
  <c r="K454" i="3"/>
  <c r="N453" i="3"/>
  <c r="AO444" i="3"/>
  <c r="AF436" i="3"/>
  <c r="W431" i="3"/>
  <c r="Z430" i="3"/>
  <c r="AC429" i="3"/>
  <c r="AF428" i="3"/>
  <c r="T422" i="3"/>
  <c r="W421" i="3"/>
  <c r="Z420" i="3"/>
  <c r="AO455" i="3"/>
  <c r="H454" i="3"/>
  <c r="K453" i="3"/>
  <c r="AL444" i="3"/>
  <c r="AC436" i="3"/>
  <c r="T431" i="3"/>
  <c r="W430" i="3"/>
  <c r="Z429" i="3"/>
  <c r="AC428" i="3"/>
  <c r="Q422" i="3"/>
  <c r="T421" i="3"/>
  <c r="W420" i="3"/>
  <c r="AL455" i="3"/>
  <c r="AO454" i="3"/>
  <c r="H453" i="3"/>
  <c r="AI444" i="3"/>
  <c r="Z436" i="3"/>
  <c r="Q431" i="3"/>
  <c r="T430" i="3"/>
  <c r="W429" i="3"/>
  <c r="Z428" i="3"/>
  <c r="N422" i="3"/>
  <c r="Q421" i="3"/>
  <c r="T420" i="3"/>
  <c r="AI455" i="3"/>
  <c r="AL454" i="3"/>
  <c r="AO453" i="3"/>
  <c r="AF444" i="3"/>
  <c r="W436" i="3"/>
  <c r="N431" i="3"/>
  <c r="Q430" i="3"/>
  <c r="T429" i="3"/>
  <c r="W428" i="3"/>
  <c r="K422" i="3"/>
  <c r="N421" i="3"/>
  <c r="Q420" i="3"/>
  <c r="AI126" i="3"/>
  <c r="H180" i="3"/>
  <c r="Z189" i="3"/>
  <c r="E195" i="3"/>
  <c r="E196" i="3" s="1"/>
  <c r="E271" i="3"/>
  <c r="P299" i="3"/>
  <c r="AB299" i="3"/>
  <c r="AN299" i="3"/>
  <c r="E337" i="3"/>
  <c r="N403" i="3"/>
  <c r="AO401" i="3"/>
  <c r="AN401" i="3" s="1"/>
  <c r="AN381" i="3"/>
  <c r="AC452" i="3"/>
  <c r="E78" i="3"/>
  <c r="K167" i="3"/>
  <c r="N246" i="3"/>
  <c r="S381" i="3"/>
  <c r="AF452" i="3"/>
  <c r="AI485" i="3"/>
  <c r="AJ116" i="3"/>
  <c r="AB189" i="3"/>
  <c r="AI452" i="3"/>
  <c r="Z484" i="3"/>
  <c r="Q403" i="3"/>
  <c r="AC403" i="3"/>
  <c r="AO403" i="3"/>
  <c r="V381" i="3"/>
  <c r="E424" i="3"/>
  <c r="E457" i="3"/>
  <c r="E458" i="3"/>
  <c r="Z470" i="3"/>
  <c r="A497" i="9"/>
  <c r="AM27" i="3" l="1"/>
  <c r="AN35" i="3" s="1"/>
  <c r="AM30" i="3"/>
  <c r="AK108" i="3"/>
  <c r="AN414" i="3"/>
  <c r="D311" i="3"/>
  <c r="G190" i="3"/>
  <c r="K423" i="3"/>
  <c r="AK122" i="3"/>
  <c r="AK100" i="3"/>
  <c r="AK121" i="3"/>
  <c r="D181" i="3"/>
  <c r="D184" i="3"/>
  <c r="AK116" i="3"/>
  <c r="AJ112" i="3"/>
  <c r="P24" i="3"/>
  <c r="V25" i="3"/>
  <c r="AK118" i="3"/>
  <c r="AK418" i="3"/>
  <c r="K235" i="3"/>
  <c r="AK123" i="3"/>
  <c r="AK119" i="3"/>
  <c r="D301" i="3"/>
  <c r="M157" i="3"/>
  <c r="AH419" i="3"/>
  <c r="AK124" i="3"/>
  <c r="AJ109" i="3"/>
  <c r="AK109" i="3" s="1"/>
  <c r="AH26" i="3"/>
  <c r="AK120" i="3"/>
  <c r="AH415" i="3"/>
  <c r="AK107" i="3"/>
  <c r="V416" i="3"/>
  <c r="AH414" i="3"/>
  <c r="AK125" i="3"/>
  <c r="AK106" i="3"/>
  <c r="AH24" i="3"/>
  <c r="AH418" i="3"/>
  <c r="AB417" i="3"/>
  <c r="AC235" i="3"/>
  <c r="AH413" i="3"/>
  <c r="K190" i="3"/>
  <c r="D300" i="3"/>
  <c r="AB415" i="3"/>
  <c r="S334" i="3"/>
  <c r="AB139" i="3"/>
  <c r="E416" i="3"/>
  <c r="AB126" i="3"/>
  <c r="AF403" i="3"/>
  <c r="K403" i="3"/>
  <c r="Q485" i="3"/>
  <c r="G16" i="3"/>
  <c r="D187" i="3"/>
  <c r="Y190" i="3"/>
  <c r="T291" i="3"/>
  <c r="S291" i="3" s="1"/>
  <c r="G235" i="3"/>
  <c r="N423" i="3"/>
  <c r="E413" i="3"/>
  <c r="P57" i="3"/>
  <c r="P26" i="3"/>
  <c r="E86" i="3"/>
  <c r="D303" i="3"/>
  <c r="O30" i="3"/>
  <c r="P30" i="3" s="1"/>
  <c r="AD27" i="3"/>
  <c r="AE39" i="3" s="1"/>
  <c r="AB414" i="3"/>
  <c r="G415" i="3"/>
  <c r="H159" i="3"/>
  <c r="Z355" i="3"/>
  <c r="Y355" i="3" s="1"/>
  <c r="E448" i="3"/>
  <c r="AB334" i="3"/>
  <c r="AB416" i="3"/>
  <c r="AD30" i="3"/>
  <c r="AE30" i="3" s="1"/>
  <c r="J198" i="3"/>
  <c r="T355" i="3"/>
  <c r="S355" i="3" s="1"/>
  <c r="AB418" i="3"/>
  <c r="AB157" i="3"/>
  <c r="AE416" i="3"/>
  <c r="G25" i="3"/>
  <c r="Y334" i="3"/>
  <c r="Y126" i="3"/>
  <c r="E246" i="3"/>
  <c r="V419" i="3"/>
  <c r="P25" i="3"/>
  <c r="H190" i="3"/>
  <c r="E415" i="3"/>
  <c r="T423" i="3"/>
  <c r="E475" i="3"/>
  <c r="P75" i="3"/>
  <c r="Y270" i="3"/>
  <c r="P16" i="3"/>
  <c r="AN139" i="3"/>
  <c r="AC159" i="3"/>
  <c r="AB159" i="3" s="1"/>
  <c r="N485" i="3"/>
  <c r="Z423" i="3"/>
  <c r="E449" i="3"/>
  <c r="J124" i="3"/>
  <c r="U34" i="3"/>
  <c r="AH334" i="3"/>
  <c r="E16" i="3"/>
  <c r="W355" i="3"/>
  <c r="W357" i="3" s="1"/>
  <c r="R27" i="3"/>
  <c r="S36" i="3" s="1"/>
  <c r="R30" i="3"/>
  <c r="S30" i="3" s="1"/>
  <c r="Q291" i="3"/>
  <c r="P291" i="3" s="1"/>
  <c r="D178" i="3"/>
  <c r="Q355" i="3"/>
  <c r="Q357" i="3" s="1"/>
  <c r="AE418" i="3"/>
  <c r="J25" i="3"/>
  <c r="P417" i="3"/>
  <c r="AO30" i="3"/>
  <c r="AN57" i="3" s="1"/>
  <c r="J16" i="3"/>
  <c r="P308" i="3"/>
  <c r="E186" i="3"/>
  <c r="I30" i="3"/>
  <c r="J30" i="3" s="1"/>
  <c r="J139" i="3"/>
  <c r="S414" i="3"/>
  <c r="Q112" i="3"/>
  <c r="Q169" i="3" s="1"/>
  <c r="E450" i="3"/>
  <c r="AB37" i="3"/>
  <c r="AH109" i="3"/>
  <c r="D302" i="3"/>
  <c r="M24" i="3"/>
  <c r="I27" i="3"/>
  <c r="E417" i="3"/>
  <c r="J120" i="3"/>
  <c r="G198" i="3"/>
  <c r="H199" i="3" s="1"/>
  <c r="S16" i="3"/>
  <c r="AB35" i="3"/>
  <c r="S24" i="3"/>
  <c r="AN416" i="3"/>
  <c r="C189" i="3"/>
  <c r="J26" i="3"/>
  <c r="J126" i="3"/>
  <c r="J157" i="3"/>
  <c r="AH355" i="3"/>
  <c r="AB38" i="3"/>
  <c r="E193" i="3"/>
  <c r="N291" i="3"/>
  <c r="M291" i="3" s="1"/>
  <c r="AN419" i="3"/>
  <c r="AE308" i="3"/>
  <c r="Z159" i="3"/>
  <c r="Y159" i="3" s="1"/>
  <c r="AO485" i="3"/>
  <c r="E427" i="3"/>
  <c r="D10" i="3"/>
  <c r="Z30" i="3"/>
  <c r="Y57" i="3" s="1"/>
  <c r="AN40" i="3"/>
  <c r="G417" i="3"/>
  <c r="AN418" i="3"/>
  <c r="F30" i="3"/>
  <c r="G233" i="3"/>
  <c r="AK190" i="3"/>
  <c r="AN36" i="3"/>
  <c r="AE16" i="3"/>
  <c r="G413" i="3"/>
  <c r="P416" i="3"/>
  <c r="O109" i="3"/>
  <c r="P109" i="3" s="1"/>
  <c r="AN39" i="3"/>
  <c r="E484" i="3"/>
  <c r="E478" i="3"/>
  <c r="E27" i="3"/>
  <c r="C35" i="3" s="1"/>
  <c r="V24" i="3"/>
  <c r="AE75" i="3"/>
  <c r="AN37" i="3"/>
  <c r="AN26" i="3"/>
  <c r="P108" i="3"/>
  <c r="AN415" i="3"/>
  <c r="G414" i="3"/>
  <c r="G26" i="3"/>
  <c r="G419" i="3"/>
  <c r="AN24" i="3"/>
  <c r="AL30" i="3"/>
  <c r="AK57" i="3" s="1"/>
  <c r="P124" i="3"/>
  <c r="K198" i="3"/>
  <c r="U117" i="3"/>
  <c r="D99" i="3"/>
  <c r="P414" i="3"/>
  <c r="P117" i="3"/>
  <c r="Y139" i="3"/>
  <c r="AE24" i="3"/>
  <c r="P120" i="3"/>
  <c r="AE139" i="3"/>
  <c r="G353" i="3"/>
  <c r="P413" i="3"/>
  <c r="V415" i="3"/>
  <c r="P419" i="3"/>
  <c r="G214" i="3"/>
  <c r="V26" i="3"/>
  <c r="P123" i="3"/>
  <c r="P107" i="3"/>
  <c r="AD116" i="3"/>
  <c r="G416" i="3"/>
  <c r="AE414" i="3"/>
  <c r="F27" i="3"/>
  <c r="G40" i="3" s="1"/>
  <c r="AE25" i="3"/>
  <c r="AE157" i="3"/>
  <c r="AB355" i="3"/>
  <c r="Y36" i="3"/>
  <c r="Y38" i="3"/>
  <c r="Y39" i="3"/>
  <c r="E439" i="3"/>
  <c r="AC30" i="3"/>
  <c r="AB57" i="3" s="1"/>
  <c r="V57" i="3"/>
  <c r="AF291" i="3"/>
  <c r="AE334" i="3"/>
  <c r="E470" i="3"/>
  <c r="V417" i="3"/>
  <c r="E432" i="3"/>
  <c r="E425" i="3"/>
  <c r="E289" i="3"/>
  <c r="D289" i="3" s="1"/>
  <c r="T456" i="3"/>
  <c r="E426" i="3"/>
  <c r="Y25" i="3"/>
  <c r="Z293" i="3"/>
  <c r="W235" i="3"/>
  <c r="Y26" i="3"/>
  <c r="H30" i="3"/>
  <c r="G44" i="3" s="1"/>
  <c r="X30" i="3"/>
  <c r="E451" i="3"/>
  <c r="Y16" i="3"/>
  <c r="Y24" i="3"/>
  <c r="Y418" i="3"/>
  <c r="E109" i="3"/>
  <c r="C117" i="3" s="1"/>
  <c r="W437" i="3"/>
  <c r="Z437" i="3"/>
  <c r="AC437" i="3"/>
  <c r="AF437" i="3"/>
  <c r="AO437" i="3"/>
  <c r="H437" i="3"/>
  <c r="K437" i="3"/>
  <c r="N437" i="3"/>
  <c r="T437" i="3"/>
  <c r="E441" i="3"/>
  <c r="E447" i="3"/>
  <c r="AG117" i="3"/>
  <c r="V36" i="3"/>
  <c r="V34" i="3"/>
  <c r="V27" i="3"/>
  <c r="V40" i="3"/>
  <c r="V38" i="3"/>
  <c r="V35" i="3"/>
  <c r="V37" i="3"/>
  <c r="V39" i="3"/>
  <c r="AH112" i="3"/>
  <c r="AH139" i="3"/>
  <c r="AH157" i="3"/>
  <c r="AL437" i="3"/>
  <c r="V418" i="3"/>
  <c r="J414" i="3"/>
  <c r="J118" i="3"/>
  <c r="M25" i="3"/>
  <c r="P119" i="3"/>
  <c r="Q437" i="3"/>
  <c r="O116" i="3"/>
  <c r="I109" i="3"/>
  <c r="J109" i="3" s="1"/>
  <c r="J415" i="3"/>
  <c r="M413" i="3"/>
  <c r="P37" i="3"/>
  <c r="M26" i="3"/>
  <c r="Y353" i="3"/>
  <c r="E434" i="3"/>
  <c r="E214" i="3"/>
  <c r="AL456" i="3"/>
  <c r="L116" i="3"/>
  <c r="J107" i="3"/>
  <c r="V414" i="3"/>
  <c r="P418" i="3"/>
  <c r="J100" i="3"/>
  <c r="L27" i="3"/>
  <c r="M38" i="3" s="1"/>
  <c r="P106" i="3"/>
  <c r="P39" i="3"/>
  <c r="J117" i="3"/>
  <c r="Z485" i="3"/>
  <c r="Q456" i="3"/>
  <c r="J416" i="3"/>
  <c r="P36" i="3"/>
  <c r="AK413" i="3"/>
  <c r="E308" i="3"/>
  <c r="E313" i="3" s="1"/>
  <c r="E318" i="3" s="1"/>
  <c r="E443" i="3"/>
  <c r="AK417" i="3"/>
  <c r="J125" i="3"/>
  <c r="P35" i="3"/>
  <c r="P121" i="3"/>
  <c r="AH308" i="3"/>
  <c r="AG313" i="3"/>
  <c r="AK414" i="3"/>
  <c r="E442" i="3"/>
  <c r="J106" i="3"/>
  <c r="I112" i="3"/>
  <c r="J112" i="3" s="1"/>
  <c r="O112" i="3"/>
  <c r="AG30" i="3"/>
  <c r="AH30" i="3" s="1"/>
  <c r="AH25" i="3"/>
  <c r="AH16" i="3"/>
  <c r="D20" i="3"/>
  <c r="S416" i="3"/>
  <c r="E440" i="3"/>
  <c r="AE353" i="3"/>
  <c r="J121" i="3"/>
  <c r="P40" i="3"/>
  <c r="AG27" i="3"/>
  <c r="AB353" i="3"/>
  <c r="E452" i="3"/>
  <c r="E435" i="3"/>
  <c r="AK415" i="3"/>
  <c r="AK419" i="3"/>
  <c r="AK416" i="3"/>
  <c r="E446" i="3"/>
  <c r="J122" i="3"/>
  <c r="AE355" i="3"/>
  <c r="P38" i="3"/>
  <c r="P27" i="3"/>
  <c r="E445" i="3"/>
  <c r="V75" i="3"/>
  <c r="D304" i="3"/>
  <c r="J116" i="3"/>
  <c r="J417" i="3"/>
  <c r="P125" i="3"/>
  <c r="P122" i="3"/>
  <c r="AH417" i="3"/>
  <c r="AE413" i="3"/>
  <c r="E139" i="3"/>
  <c r="E433" i="3"/>
  <c r="W456" i="3"/>
  <c r="J413" i="3"/>
  <c r="J123" i="3"/>
  <c r="P415" i="3"/>
  <c r="P116" i="3"/>
  <c r="J419" i="3"/>
  <c r="U30" i="3"/>
  <c r="V30" i="3" s="1"/>
  <c r="V16" i="3"/>
  <c r="Y416" i="3"/>
  <c r="AC291" i="3"/>
  <c r="AC293" i="3" s="1"/>
  <c r="J108" i="3"/>
  <c r="AB16" i="3"/>
  <c r="J418" i="3"/>
  <c r="E429" i="3"/>
  <c r="M190" i="3"/>
  <c r="M198" i="3"/>
  <c r="H255" i="3"/>
  <c r="AF159" i="3"/>
  <c r="AE126" i="3"/>
  <c r="AL423" i="3"/>
  <c r="AL190" i="3"/>
  <c r="AL198" i="3"/>
  <c r="AK233" i="3" s="1"/>
  <c r="D104" i="3"/>
  <c r="S415" i="3"/>
  <c r="F116" i="3"/>
  <c r="H112" i="3"/>
  <c r="AF235" i="3"/>
  <c r="T190" i="3"/>
  <c r="T198" i="3"/>
  <c r="S233" i="3" s="1"/>
  <c r="AE417" i="3"/>
  <c r="AB118" i="3"/>
  <c r="AA112" i="3"/>
  <c r="AB112" i="3" s="1"/>
  <c r="AB108" i="3"/>
  <c r="AB100" i="3"/>
  <c r="AB122" i="3"/>
  <c r="AB125" i="3"/>
  <c r="AB121" i="3"/>
  <c r="AB117" i="3"/>
  <c r="AB106" i="3"/>
  <c r="AB119" i="3"/>
  <c r="AB124" i="3"/>
  <c r="AB116" i="3"/>
  <c r="AA109" i="3"/>
  <c r="AB109" i="3" s="1"/>
  <c r="AB107" i="3"/>
  <c r="AB120" i="3"/>
  <c r="AB123" i="3"/>
  <c r="AF77" i="3"/>
  <c r="AE77" i="3" s="1"/>
  <c r="AE44" i="3"/>
  <c r="Y37" i="3"/>
  <c r="Y35" i="3"/>
  <c r="Y34" i="3"/>
  <c r="Y27" i="3"/>
  <c r="AI291" i="3"/>
  <c r="E430" i="3"/>
  <c r="V270" i="3"/>
  <c r="W291" i="3"/>
  <c r="E431" i="3"/>
  <c r="N159" i="3"/>
  <c r="M159" i="3" s="1"/>
  <c r="M126" i="3"/>
  <c r="M418" i="3"/>
  <c r="L34" i="3"/>
  <c r="N30" i="3"/>
  <c r="M75" i="3" s="1"/>
  <c r="F313" i="3"/>
  <c r="G308" i="3"/>
  <c r="AF456" i="3"/>
  <c r="T112" i="3"/>
  <c r="S157" i="3" s="1"/>
  <c r="R117" i="3"/>
  <c r="E419" i="3"/>
  <c r="E436" i="3"/>
  <c r="AH190" i="3"/>
  <c r="AH198" i="3"/>
  <c r="AI199" i="3" s="1"/>
  <c r="R313" i="3"/>
  <c r="S308" i="3"/>
  <c r="AO198" i="3"/>
  <c r="AO190" i="3"/>
  <c r="Q235" i="3"/>
  <c r="E57" i="3"/>
  <c r="G334" i="3"/>
  <c r="E233" i="3"/>
  <c r="AK353" i="3"/>
  <c r="AN120" i="3"/>
  <c r="AN125" i="3"/>
  <c r="AM112" i="3"/>
  <c r="AN112" i="3" s="1"/>
  <c r="AN119" i="3"/>
  <c r="AN124" i="3"/>
  <c r="AN100" i="3"/>
  <c r="AN123" i="3"/>
  <c r="AN117" i="3"/>
  <c r="AN108" i="3"/>
  <c r="AN118" i="3"/>
  <c r="AN107" i="3"/>
  <c r="AM109" i="3"/>
  <c r="AN109" i="3" s="1"/>
  <c r="AN122" i="3"/>
  <c r="AN116" i="3"/>
  <c r="AN106" i="3"/>
  <c r="AN121" i="3"/>
  <c r="AO159" i="3"/>
  <c r="AN126" i="3"/>
  <c r="AI77" i="3"/>
  <c r="AH77" i="3" s="1"/>
  <c r="AH44" i="3"/>
  <c r="AE313" i="3"/>
  <c r="AD318" i="3"/>
  <c r="AF357" i="3"/>
  <c r="M124" i="3"/>
  <c r="M116" i="3"/>
  <c r="M108" i="3"/>
  <c r="M123" i="3"/>
  <c r="M122" i="3"/>
  <c r="M107" i="3"/>
  <c r="M121" i="3"/>
  <c r="M120" i="3"/>
  <c r="M100" i="3"/>
  <c r="L109" i="3"/>
  <c r="M109" i="3" s="1"/>
  <c r="M117" i="3"/>
  <c r="M125" i="3"/>
  <c r="M118" i="3"/>
  <c r="M119" i="3"/>
  <c r="L112" i="3"/>
  <c r="M112" i="3" s="1"/>
  <c r="M106" i="3"/>
  <c r="C308" i="3"/>
  <c r="D299" i="3"/>
  <c r="N77" i="3"/>
  <c r="AI411" i="3"/>
  <c r="AG423" i="3" s="1"/>
  <c r="AB198" i="3"/>
  <c r="AB190" i="3"/>
  <c r="E444" i="3"/>
  <c r="Y119" i="3"/>
  <c r="Y116" i="3"/>
  <c r="Y118" i="3"/>
  <c r="Y125" i="3"/>
  <c r="Y122" i="3"/>
  <c r="Y107" i="3"/>
  <c r="Y100" i="3"/>
  <c r="Y123" i="3"/>
  <c r="Y108" i="3"/>
  <c r="Y121" i="3"/>
  <c r="X112" i="3"/>
  <c r="Y112" i="3" s="1"/>
  <c r="Y106" i="3"/>
  <c r="Y124" i="3"/>
  <c r="Y117" i="3"/>
  <c r="X109" i="3"/>
  <c r="Y109" i="3" s="1"/>
  <c r="Y120" i="3"/>
  <c r="H456" i="3"/>
  <c r="G418" i="3"/>
  <c r="E418" i="3"/>
  <c r="S123" i="3"/>
  <c r="S121" i="3"/>
  <c r="S106" i="3"/>
  <c r="S100" i="3"/>
  <c r="R109" i="3"/>
  <c r="S109" i="3" s="1"/>
  <c r="S120" i="3"/>
  <c r="S117" i="3"/>
  <c r="S118" i="3"/>
  <c r="S116" i="3"/>
  <c r="S125" i="3"/>
  <c r="S122" i="3"/>
  <c r="S119" i="3"/>
  <c r="S108" i="3"/>
  <c r="S124" i="3"/>
  <c r="R112" i="3"/>
  <c r="S107" i="3"/>
  <c r="C34" i="3"/>
  <c r="E44" i="3"/>
  <c r="H355" i="3"/>
  <c r="G355" i="3" s="1"/>
  <c r="T235" i="3"/>
  <c r="AK308" i="3"/>
  <c r="AJ313" i="3"/>
  <c r="D312" i="3"/>
  <c r="AN355" i="3"/>
  <c r="AL77" i="3"/>
  <c r="W159" i="3"/>
  <c r="V159" i="3" s="1"/>
  <c r="V126" i="3"/>
  <c r="E414" i="3"/>
  <c r="AL235" i="3"/>
  <c r="Q77" i="3"/>
  <c r="P44" i="3"/>
  <c r="D189" i="3"/>
  <c r="M416" i="3"/>
  <c r="K159" i="3"/>
  <c r="J270" i="3"/>
  <c r="K291" i="3"/>
  <c r="E453" i="3"/>
  <c r="E180" i="3"/>
  <c r="E438" i="3"/>
  <c r="AN308" i="3"/>
  <c r="AM313" i="3"/>
  <c r="AC190" i="3"/>
  <c r="AC198" i="3"/>
  <c r="AO456" i="3"/>
  <c r="Z77" i="3"/>
  <c r="S418" i="3"/>
  <c r="P313" i="3"/>
  <c r="O318" i="3"/>
  <c r="S190" i="3"/>
  <c r="S198" i="3"/>
  <c r="E334" i="3"/>
  <c r="T77" i="3"/>
  <c r="S44" i="3"/>
  <c r="E126" i="3"/>
  <c r="AB419" i="3"/>
  <c r="Y308" i="3"/>
  <c r="X313" i="3"/>
  <c r="J75" i="3"/>
  <c r="J334" i="3"/>
  <c r="K355" i="3"/>
  <c r="AI437" i="3"/>
  <c r="E454" i="3"/>
  <c r="H485" i="3"/>
  <c r="E75" i="3"/>
  <c r="AE190" i="3"/>
  <c r="AE198" i="3"/>
  <c r="H77" i="3"/>
  <c r="AL291" i="3"/>
  <c r="AK291" i="3" s="1"/>
  <c r="AK270" i="3"/>
  <c r="S413" i="3"/>
  <c r="AE108" i="3"/>
  <c r="AE100" i="3"/>
  <c r="AD109" i="3"/>
  <c r="AE109" i="3" s="1"/>
  <c r="AE122" i="3"/>
  <c r="AE107" i="3"/>
  <c r="AE117" i="3"/>
  <c r="AE125" i="3"/>
  <c r="AE121" i="3"/>
  <c r="AE124" i="3"/>
  <c r="AE120" i="3"/>
  <c r="AE116" i="3"/>
  <c r="AE106" i="3"/>
  <c r="AD112" i="3"/>
  <c r="AE112" i="3" s="1"/>
  <c r="AE118" i="3"/>
  <c r="AE123" i="3"/>
  <c r="AE119" i="3"/>
  <c r="Y413" i="3"/>
  <c r="AE419" i="3"/>
  <c r="M308" i="3"/>
  <c r="L313" i="3"/>
  <c r="AL159" i="3"/>
  <c r="AL112" i="3"/>
  <c r="AK139" i="3" s="1"/>
  <c r="K456" i="3"/>
  <c r="AE415" i="3"/>
  <c r="AB34" i="3"/>
  <c r="AB36" i="3"/>
  <c r="AB27" i="3"/>
  <c r="AN34" i="3"/>
  <c r="AN27" i="3"/>
  <c r="AN38" i="3"/>
  <c r="N190" i="3"/>
  <c r="N198" i="3"/>
  <c r="M214" i="3" s="1"/>
  <c r="Z198" i="3"/>
  <c r="Y235" i="3" s="1"/>
  <c r="Z190" i="3"/>
  <c r="E455" i="3"/>
  <c r="AO357" i="3"/>
  <c r="AN334" i="3"/>
  <c r="G270" i="3"/>
  <c r="H291" i="3"/>
  <c r="G291" i="3" s="1"/>
  <c r="Q190" i="3"/>
  <c r="Q198" i="3"/>
  <c r="J308" i="3"/>
  <c r="I313" i="3"/>
  <c r="AN198" i="3"/>
  <c r="AN190" i="3"/>
  <c r="V198" i="3"/>
  <c r="V190" i="3"/>
  <c r="AO77" i="3"/>
  <c r="Y415" i="3"/>
  <c r="M419" i="3"/>
  <c r="M417" i="3"/>
  <c r="D97" i="3"/>
  <c r="C100" i="3"/>
  <c r="Y40" i="3"/>
  <c r="E420" i="3"/>
  <c r="V334" i="3"/>
  <c r="E189" i="3"/>
  <c r="E177" i="3"/>
  <c r="Y414" i="3"/>
  <c r="P190" i="3"/>
  <c r="P198" i="3"/>
  <c r="S419" i="3"/>
  <c r="E254" i="3"/>
  <c r="V120" i="3"/>
  <c r="V117" i="3"/>
  <c r="V119" i="3"/>
  <c r="V116" i="3"/>
  <c r="V108" i="3"/>
  <c r="V123" i="3"/>
  <c r="V100" i="3"/>
  <c r="U112" i="3"/>
  <c r="V112" i="3" s="1"/>
  <c r="V121" i="3"/>
  <c r="V106" i="3"/>
  <c r="V124" i="3"/>
  <c r="V118" i="3"/>
  <c r="V107" i="3"/>
  <c r="U109" i="3"/>
  <c r="V109" i="3" s="1"/>
  <c r="V125" i="3"/>
  <c r="V122" i="3"/>
  <c r="N235" i="3"/>
  <c r="V44" i="3"/>
  <c r="W77" i="3"/>
  <c r="V77" i="3" s="1"/>
  <c r="W423" i="3"/>
  <c r="G125" i="3"/>
  <c r="G119" i="3"/>
  <c r="G100" i="3"/>
  <c r="F109" i="3"/>
  <c r="G109" i="3" s="1"/>
  <c r="G124" i="3"/>
  <c r="G118" i="3"/>
  <c r="G117" i="3"/>
  <c r="G123" i="3"/>
  <c r="G122" i="3"/>
  <c r="G116" i="3"/>
  <c r="G107" i="3"/>
  <c r="F112" i="3"/>
  <c r="G106" i="3"/>
  <c r="G120" i="3"/>
  <c r="G108" i="3"/>
  <c r="G121" i="3"/>
  <c r="V353" i="3"/>
  <c r="M139" i="3"/>
  <c r="AJ27" i="3"/>
  <c r="AK26" i="3"/>
  <c r="AK25" i="3"/>
  <c r="AK16" i="3"/>
  <c r="AK24" i="3"/>
  <c r="AJ30" i="3"/>
  <c r="P334" i="3"/>
  <c r="AH214" i="3"/>
  <c r="AI235" i="3"/>
  <c r="AH235" i="3" s="1"/>
  <c r="Z403" i="3"/>
  <c r="E421" i="3"/>
  <c r="M414" i="3"/>
  <c r="M415" i="3"/>
  <c r="E353" i="3"/>
  <c r="AL255" i="3"/>
  <c r="AC456" i="3"/>
  <c r="Q255" i="3"/>
  <c r="V413" i="3"/>
  <c r="T159" i="3"/>
  <c r="P355" i="3"/>
  <c r="AI159" i="3"/>
  <c r="AH159" i="3" s="1"/>
  <c r="AH126" i="3"/>
  <c r="E422" i="3"/>
  <c r="W198" i="3"/>
  <c r="W190" i="3"/>
  <c r="AC77" i="3"/>
  <c r="M334" i="3"/>
  <c r="N355" i="3"/>
  <c r="M355" i="3" s="1"/>
  <c r="AI456" i="3"/>
  <c r="Z456" i="3"/>
  <c r="E157" i="3"/>
  <c r="AF190" i="3"/>
  <c r="AF198" i="3"/>
  <c r="AE214" i="3" s="1"/>
  <c r="N456" i="3"/>
  <c r="C16" i="3"/>
  <c r="V139" i="3"/>
  <c r="AL355" i="3"/>
  <c r="AK355" i="3" s="1"/>
  <c r="AI357" i="3"/>
  <c r="P100" i="3"/>
  <c r="AH75" i="3"/>
  <c r="E428" i="3"/>
  <c r="E270" i="3"/>
  <c r="H403" i="3"/>
  <c r="E167" i="3"/>
  <c r="K77" i="3"/>
  <c r="J77" i="3" s="1"/>
  <c r="J44" i="3"/>
  <c r="P353" i="3"/>
  <c r="AN413" i="3"/>
  <c r="AN270" i="3"/>
  <c r="AO291" i="3"/>
  <c r="V157" i="3"/>
  <c r="Y417" i="3"/>
  <c r="E183" i="3"/>
  <c r="AN417" i="3"/>
  <c r="Y419" i="3"/>
  <c r="T255" i="3"/>
  <c r="AE57" i="3"/>
  <c r="AH57" i="3"/>
  <c r="S417" i="3"/>
  <c r="AI190" i="3"/>
  <c r="E100" i="3"/>
  <c r="AB308" i="3"/>
  <c r="AA313" i="3"/>
  <c r="AB40" i="3"/>
  <c r="AC357" i="3"/>
  <c r="V308" i="3"/>
  <c r="U313" i="3"/>
  <c r="M16" i="3"/>
  <c r="AK334" i="3"/>
  <c r="AH233" i="3"/>
  <c r="S223" i="15"/>
  <c r="R223" i="15"/>
  <c r="Q223" i="15"/>
  <c r="P223" i="15" s="1"/>
  <c r="M223" i="15"/>
  <c r="L223" i="15"/>
  <c r="V223" i="15" s="1"/>
  <c r="S225" i="15"/>
  <c r="R225" i="15"/>
  <c r="Q225" i="15"/>
  <c r="O225" i="15" s="1"/>
  <c r="M225" i="15"/>
  <c r="L225" i="15"/>
  <c r="V225" i="15" s="1"/>
  <c r="S224" i="15"/>
  <c r="R224" i="15"/>
  <c r="Q224" i="15"/>
  <c r="P224" i="15" s="1"/>
  <c r="M224" i="15"/>
  <c r="L224" i="15"/>
  <c r="T224" i="15" s="1"/>
  <c r="AK44" i="3" l="1"/>
  <c r="AK30" i="3"/>
  <c r="K237" i="3"/>
  <c r="AE40" i="3"/>
  <c r="AK77" i="3"/>
  <c r="S38" i="3"/>
  <c r="S40" i="3"/>
  <c r="S27" i="3"/>
  <c r="S37" i="3"/>
  <c r="S35" i="3"/>
  <c r="S34" i="3"/>
  <c r="S39" i="3"/>
  <c r="AE38" i="3"/>
  <c r="AB235" i="3"/>
  <c r="AE34" i="3"/>
  <c r="T293" i="3"/>
  <c r="Q411" i="3"/>
  <c r="O485" i="3" s="1"/>
  <c r="P139" i="3"/>
  <c r="G159" i="3"/>
  <c r="P126" i="3"/>
  <c r="P159" i="3"/>
  <c r="P157" i="3"/>
  <c r="Z357" i="3"/>
  <c r="H472" i="3"/>
  <c r="P112" i="3"/>
  <c r="AC169" i="3"/>
  <c r="Y44" i="3"/>
  <c r="Y77" i="3"/>
  <c r="AE36" i="3"/>
  <c r="AE35" i="3"/>
  <c r="J235" i="3"/>
  <c r="AE37" i="3"/>
  <c r="AE27" i="3"/>
  <c r="K199" i="3"/>
  <c r="Y75" i="3"/>
  <c r="E485" i="3"/>
  <c r="J233" i="3"/>
  <c r="J214" i="3"/>
  <c r="T357" i="3"/>
  <c r="Q472" i="3"/>
  <c r="AL88" i="3"/>
  <c r="Z169" i="3"/>
  <c r="AN75" i="3"/>
  <c r="K411" i="3"/>
  <c r="I423" i="3" s="1"/>
  <c r="AN44" i="3"/>
  <c r="E30" i="3"/>
  <c r="D57" i="3" s="1"/>
  <c r="J37" i="3"/>
  <c r="J40" i="3"/>
  <c r="J27" i="3"/>
  <c r="J39" i="3"/>
  <c r="J34" i="3"/>
  <c r="J38" i="3"/>
  <c r="J35" i="3"/>
  <c r="G112" i="3"/>
  <c r="AO472" i="3"/>
  <c r="C413" i="3"/>
  <c r="G37" i="3"/>
  <c r="AL357" i="3"/>
  <c r="N169" i="3"/>
  <c r="P235" i="3"/>
  <c r="T472" i="3"/>
  <c r="AN30" i="3"/>
  <c r="Q293" i="3"/>
  <c r="G36" i="3"/>
  <c r="AC472" i="3"/>
  <c r="J36" i="3"/>
  <c r="G27" i="3"/>
  <c r="Y30" i="3"/>
  <c r="I456" i="3"/>
  <c r="V355" i="3"/>
  <c r="G38" i="3"/>
  <c r="G39" i="3"/>
  <c r="N293" i="3"/>
  <c r="V235" i="3"/>
  <c r="G34" i="3"/>
  <c r="G35" i="3"/>
  <c r="G77" i="3"/>
  <c r="AL293" i="3"/>
  <c r="M40" i="3"/>
  <c r="Z411" i="3"/>
  <c r="X485" i="3" s="1"/>
  <c r="AB75" i="3"/>
  <c r="AK75" i="3"/>
  <c r="G30" i="3"/>
  <c r="M34" i="3"/>
  <c r="S159" i="3"/>
  <c r="M37" i="3"/>
  <c r="N472" i="3"/>
  <c r="AB44" i="3"/>
  <c r="AB30" i="3"/>
  <c r="N357" i="3"/>
  <c r="P214" i="3"/>
  <c r="AE291" i="3"/>
  <c r="AF293" i="3"/>
  <c r="G57" i="3"/>
  <c r="E437" i="3"/>
  <c r="AF411" i="3"/>
  <c r="AD470" i="3" s="1"/>
  <c r="S112" i="3"/>
  <c r="G75" i="3"/>
  <c r="E235" i="3"/>
  <c r="M27" i="3"/>
  <c r="M35" i="3"/>
  <c r="S235" i="3"/>
  <c r="S214" i="3"/>
  <c r="AB291" i="3"/>
  <c r="AG318" i="3"/>
  <c r="AH313" i="3"/>
  <c r="AK159" i="3"/>
  <c r="AG485" i="3"/>
  <c r="AH38" i="3"/>
  <c r="AH27" i="3"/>
  <c r="AH36" i="3"/>
  <c r="AH40" i="3"/>
  <c r="AH35" i="3"/>
  <c r="AH37" i="3"/>
  <c r="AH34" i="3"/>
  <c r="AH39" i="3"/>
  <c r="K472" i="3"/>
  <c r="AK157" i="3"/>
  <c r="AK235" i="3"/>
  <c r="D353" i="3"/>
  <c r="M235" i="3"/>
  <c r="AG456" i="3"/>
  <c r="AI169" i="3"/>
  <c r="D413" i="3"/>
  <c r="AI237" i="3"/>
  <c r="AI88" i="3"/>
  <c r="M39" i="3"/>
  <c r="M36" i="3"/>
  <c r="W472" i="3"/>
  <c r="H411" i="3"/>
  <c r="L318" i="3"/>
  <c r="M313" i="3"/>
  <c r="E355" i="3"/>
  <c r="D334" i="3"/>
  <c r="D414" i="3"/>
  <c r="C414" i="3"/>
  <c r="T169" i="3"/>
  <c r="T411" i="3"/>
  <c r="S126" i="3"/>
  <c r="S139" i="3"/>
  <c r="AB313" i="3"/>
  <c r="AA318" i="3"/>
  <c r="D270" i="3"/>
  <c r="E291" i="3"/>
  <c r="D291" i="3" s="1"/>
  <c r="AB77" i="3"/>
  <c r="AC88" i="3"/>
  <c r="D120" i="3"/>
  <c r="C112" i="3"/>
  <c r="D125" i="3"/>
  <c r="D119" i="3"/>
  <c r="D100" i="3"/>
  <c r="D124" i="3"/>
  <c r="D123" i="3"/>
  <c r="D117" i="3"/>
  <c r="D108" i="3"/>
  <c r="D121" i="3"/>
  <c r="D106" i="3"/>
  <c r="C109" i="3"/>
  <c r="D109" i="3" s="1"/>
  <c r="D118" i="3"/>
  <c r="D107" i="3"/>
  <c r="D122" i="3"/>
  <c r="D116" i="3"/>
  <c r="X318" i="3"/>
  <c r="Y313" i="3"/>
  <c r="J159" i="3"/>
  <c r="K169" i="3"/>
  <c r="D308" i="3"/>
  <c r="C313" i="3"/>
  <c r="G313" i="3"/>
  <c r="F318" i="3"/>
  <c r="O470" i="3"/>
  <c r="AC237" i="3"/>
  <c r="AC199" i="3"/>
  <c r="AB233" i="3"/>
  <c r="AB214" i="3"/>
  <c r="AC411" i="3"/>
  <c r="AA456" i="3" s="1"/>
  <c r="AN159" i="3"/>
  <c r="AO169" i="3"/>
  <c r="N411" i="3"/>
  <c r="N88" i="3"/>
  <c r="P318" i="3"/>
  <c r="Q410" i="3"/>
  <c r="E198" i="3"/>
  <c r="D233" i="3" s="1"/>
  <c r="E190" i="3"/>
  <c r="AF472" i="3"/>
  <c r="D198" i="3"/>
  <c r="D190" i="3"/>
  <c r="AG470" i="3"/>
  <c r="W88" i="3"/>
  <c r="AE159" i="3"/>
  <c r="AF169" i="3"/>
  <c r="H169" i="3"/>
  <c r="G126" i="3"/>
  <c r="G157" i="3"/>
  <c r="AN291" i="3"/>
  <c r="AO293" i="3"/>
  <c r="AK35" i="3"/>
  <c r="AK39" i="3"/>
  <c r="AK27" i="3"/>
  <c r="AK34" i="3"/>
  <c r="AK38" i="3"/>
  <c r="AK37" i="3"/>
  <c r="AK40" i="3"/>
  <c r="AK36" i="3"/>
  <c r="AI472" i="3"/>
  <c r="AG472" i="3" s="1"/>
  <c r="Z472" i="3"/>
  <c r="AN313" i="3"/>
  <c r="AM318" i="3"/>
  <c r="W169" i="3"/>
  <c r="W411" i="3"/>
  <c r="U423" i="3" s="1"/>
  <c r="AF237" i="3"/>
  <c r="AF199" i="3"/>
  <c r="Z237" i="3"/>
  <c r="Z199" i="3"/>
  <c r="Y233" i="3"/>
  <c r="Y214" i="3"/>
  <c r="E77" i="3"/>
  <c r="AL199" i="3"/>
  <c r="AL237" i="3"/>
  <c r="AK214" i="3"/>
  <c r="H293" i="3"/>
  <c r="I318" i="3"/>
  <c r="J313" i="3"/>
  <c r="AE233" i="3"/>
  <c r="E456" i="3"/>
  <c r="AO199" i="3"/>
  <c r="AO237" i="3"/>
  <c r="AN235" i="3"/>
  <c r="AN214" i="3"/>
  <c r="AO411" i="3"/>
  <c r="AM456" i="3" s="1"/>
  <c r="AN233" i="3"/>
  <c r="E423" i="3"/>
  <c r="AH291" i="3"/>
  <c r="AI293" i="3"/>
  <c r="G139" i="3"/>
  <c r="N237" i="3"/>
  <c r="N199" i="3"/>
  <c r="M233" i="3"/>
  <c r="AL169" i="3"/>
  <c r="AK112" i="3"/>
  <c r="AK126" i="3"/>
  <c r="AG437" i="3"/>
  <c r="E159" i="3"/>
  <c r="P77" i="3"/>
  <c r="Q88" i="3"/>
  <c r="M44" i="3"/>
  <c r="K88" i="3"/>
  <c r="T237" i="3"/>
  <c r="T199" i="3"/>
  <c r="AL472" i="3"/>
  <c r="Z88" i="3"/>
  <c r="V291" i="3"/>
  <c r="W293" i="3"/>
  <c r="E112" i="3"/>
  <c r="C116" i="3"/>
  <c r="W237" i="3"/>
  <c r="W199" i="3"/>
  <c r="V214" i="3"/>
  <c r="J355" i="3"/>
  <c r="K357" i="3"/>
  <c r="M77" i="3"/>
  <c r="S313" i="3"/>
  <c r="R318" i="3"/>
  <c r="U318" i="3"/>
  <c r="V313" i="3"/>
  <c r="D16" i="3"/>
  <c r="D25" i="3"/>
  <c r="C30" i="3"/>
  <c r="D24" i="3"/>
  <c r="D26" i="3"/>
  <c r="C27" i="3"/>
  <c r="D418" i="3" s="1"/>
  <c r="M30" i="3"/>
  <c r="AL411" i="3"/>
  <c r="AJ423" i="3" s="1"/>
  <c r="E255" i="3"/>
  <c r="AF88" i="3"/>
  <c r="AN77" i="3"/>
  <c r="AO88" i="3"/>
  <c r="Q237" i="3"/>
  <c r="P233" i="3"/>
  <c r="Q199" i="3"/>
  <c r="H88" i="3"/>
  <c r="S77" i="3"/>
  <c r="T88" i="3"/>
  <c r="K293" i="3"/>
  <c r="J291" i="3"/>
  <c r="M57" i="3"/>
  <c r="AJ318" i="3"/>
  <c r="AK313" i="3"/>
  <c r="V233" i="3"/>
  <c r="AE318" i="3"/>
  <c r="AF410" i="3"/>
  <c r="AE235" i="3"/>
  <c r="H357" i="3"/>
  <c r="N223" i="15"/>
  <c r="W224" i="15"/>
  <c r="U224" i="15"/>
  <c r="X224" i="15"/>
  <c r="O223" i="15"/>
  <c r="V224" i="15"/>
  <c r="W223" i="15"/>
  <c r="X223" i="15"/>
  <c r="P225" i="15"/>
  <c r="N225" i="15"/>
  <c r="T225" i="15"/>
  <c r="U225" i="15"/>
  <c r="W225" i="15"/>
  <c r="X225" i="15"/>
  <c r="N224" i="15"/>
  <c r="T223" i="15"/>
  <c r="O224" i="15"/>
  <c r="U223" i="15"/>
  <c r="F472" i="3" l="1"/>
  <c r="O437" i="3"/>
  <c r="O456" i="3"/>
  <c r="O423" i="3"/>
  <c r="O472" i="3"/>
  <c r="AD472" i="3"/>
  <c r="AD423" i="3"/>
  <c r="Q487" i="3"/>
  <c r="Q493" i="3" s="1"/>
  <c r="R472" i="3"/>
  <c r="AM472" i="3"/>
  <c r="I470" i="3"/>
  <c r="D44" i="3"/>
  <c r="I437" i="3"/>
  <c r="I485" i="3"/>
  <c r="D75" i="3"/>
  <c r="X437" i="3"/>
  <c r="I472" i="3"/>
  <c r="D77" i="3"/>
  <c r="D30" i="3"/>
  <c r="X423" i="3"/>
  <c r="X470" i="3"/>
  <c r="X456" i="3"/>
  <c r="X472" i="3"/>
  <c r="F485" i="3"/>
  <c r="D112" i="3"/>
  <c r="E411" i="3"/>
  <c r="C456" i="3" s="1"/>
  <c r="AI487" i="3"/>
  <c r="AI493" i="3" s="1"/>
  <c r="D419" i="3"/>
  <c r="F456" i="3"/>
  <c r="AD485" i="3"/>
  <c r="AD456" i="3"/>
  <c r="D235" i="3"/>
  <c r="AD437" i="3"/>
  <c r="AH318" i="3"/>
  <c r="AI410" i="3"/>
  <c r="E293" i="3"/>
  <c r="Z487" i="3"/>
  <c r="Z493" i="3" s="1"/>
  <c r="AF487" i="3"/>
  <c r="AE487" i="3" s="1"/>
  <c r="K487" i="3"/>
  <c r="K493" i="3" s="1"/>
  <c r="E88" i="3"/>
  <c r="D88" i="3" s="1"/>
  <c r="AN318" i="3"/>
  <c r="AO410" i="3"/>
  <c r="S318" i="3"/>
  <c r="T410" i="3"/>
  <c r="E169" i="3"/>
  <c r="D169" i="3" s="1"/>
  <c r="D139" i="3"/>
  <c r="AC487" i="3"/>
  <c r="AA470" i="3"/>
  <c r="AA485" i="3"/>
  <c r="AA437" i="3"/>
  <c r="AA423" i="3"/>
  <c r="U472" i="3"/>
  <c r="D433" i="3"/>
  <c r="D432" i="3"/>
  <c r="D434" i="3"/>
  <c r="D435" i="3"/>
  <c r="D355" i="3"/>
  <c r="E357" i="3"/>
  <c r="D357" i="3" s="1"/>
  <c r="G318" i="3"/>
  <c r="H410" i="3"/>
  <c r="V318" i="3"/>
  <c r="W410" i="3"/>
  <c r="AA472" i="3"/>
  <c r="N487" i="3"/>
  <c r="L470" i="3"/>
  <c r="L423" i="3"/>
  <c r="L485" i="3"/>
  <c r="L437" i="3"/>
  <c r="D157" i="3"/>
  <c r="AB318" i="3"/>
  <c r="AC410" i="3"/>
  <c r="N410" i="3"/>
  <c r="M318" i="3"/>
  <c r="L472" i="3"/>
  <c r="W487" i="3"/>
  <c r="U470" i="3"/>
  <c r="U437" i="3"/>
  <c r="U456" i="3"/>
  <c r="U485" i="3"/>
  <c r="D313" i="3"/>
  <c r="C318" i="3"/>
  <c r="D318" i="3" s="1"/>
  <c r="D126" i="3"/>
  <c r="J318" i="3"/>
  <c r="K410" i="3"/>
  <c r="AL487" i="3"/>
  <c r="AJ470" i="3"/>
  <c r="AJ456" i="3"/>
  <c r="AJ485" i="3"/>
  <c r="AJ437" i="3"/>
  <c r="D159" i="3"/>
  <c r="E472" i="3"/>
  <c r="D27" i="3"/>
  <c r="D35" i="3"/>
  <c r="D39" i="3"/>
  <c r="D417" i="3"/>
  <c r="D34" i="3"/>
  <c r="D40" i="3"/>
  <c r="D36" i="3"/>
  <c r="D416" i="3"/>
  <c r="D38" i="3"/>
  <c r="D415" i="3"/>
  <c r="D37" i="3"/>
  <c r="L456" i="3"/>
  <c r="Y318" i="3"/>
  <c r="Z410" i="3"/>
  <c r="H487" i="3"/>
  <c r="F470" i="3"/>
  <c r="F437" i="3"/>
  <c r="F423" i="3"/>
  <c r="T487" i="3"/>
  <c r="R470" i="3"/>
  <c r="R485" i="3"/>
  <c r="R437" i="3"/>
  <c r="R423" i="3"/>
  <c r="R456" i="3"/>
  <c r="AK318" i="3"/>
  <c r="AL410" i="3"/>
  <c r="AJ472" i="3"/>
  <c r="AO487" i="3"/>
  <c r="AM470" i="3"/>
  <c r="AM423" i="3"/>
  <c r="AM485" i="3"/>
  <c r="AM437" i="3"/>
  <c r="E199" i="3"/>
  <c r="E237" i="3"/>
  <c r="D237" i="3" s="1"/>
  <c r="D214" i="3"/>
  <c r="P487" i="3" l="1"/>
  <c r="C437" i="3"/>
  <c r="C485" i="3"/>
  <c r="C470" i="3"/>
  <c r="C423" i="3"/>
  <c r="AF493" i="3"/>
  <c r="AF502" i="3" s="1"/>
  <c r="AE502" i="3" s="1"/>
  <c r="C472" i="3"/>
  <c r="AH487" i="3"/>
  <c r="D423" i="3"/>
  <c r="J487" i="3"/>
  <c r="Y487" i="3"/>
  <c r="AO493" i="3"/>
  <c r="AN487" i="3"/>
  <c r="H493" i="3"/>
  <c r="G487" i="3"/>
  <c r="W493" i="3"/>
  <c r="V487" i="3"/>
  <c r="AK487" i="3"/>
  <c r="AL493" i="3"/>
  <c r="AH493" i="3"/>
  <c r="AI502" i="3"/>
  <c r="AH502" i="3" s="1"/>
  <c r="Y493" i="3"/>
  <c r="Z502" i="3"/>
  <c r="Y502" i="3" s="1"/>
  <c r="P493" i="3"/>
  <c r="Q502" i="3"/>
  <c r="P502" i="3" s="1"/>
  <c r="J493" i="3"/>
  <c r="K502" i="3"/>
  <c r="J502" i="3" s="1"/>
  <c r="E487" i="3"/>
  <c r="E410" i="3"/>
  <c r="AC493" i="3"/>
  <c r="AB487" i="3"/>
  <c r="N493" i="3"/>
  <c r="M487" i="3"/>
  <c r="S487" i="3"/>
  <c r="T493" i="3"/>
  <c r="AE493" i="3"/>
  <c r="AB493" i="3" l="1"/>
  <c r="AC502" i="3"/>
  <c r="AB502" i="3" s="1"/>
  <c r="G493" i="3"/>
  <c r="H502" i="3"/>
  <c r="G502" i="3" s="1"/>
  <c r="T502" i="3"/>
  <c r="S502" i="3" s="1"/>
  <c r="S493" i="3"/>
  <c r="M493" i="3"/>
  <c r="N502" i="3"/>
  <c r="M502" i="3" s="1"/>
  <c r="AL502" i="3"/>
  <c r="AK502" i="3" s="1"/>
  <c r="AK493" i="3"/>
  <c r="E493" i="3"/>
  <c r="D487" i="3"/>
  <c r="W502" i="3"/>
  <c r="V502" i="3" s="1"/>
  <c r="V493" i="3"/>
  <c r="AO502" i="3"/>
  <c r="AN502" i="3" s="1"/>
  <c r="AN493" i="3"/>
  <c r="E502" i="3" l="1"/>
  <c r="D502" i="3" s="1"/>
  <c r="D493" i="3"/>
  <c r="B1" i="20"/>
  <c r="A96" i="12"/>
  <c r="A97" i="9"/>
  <c r="A98" i="9"/>
  <c r="A99" i="9"/>
  <c r="A96" i="9"/>
  <c r="Q249" i="9"/>
  <c r="P98" i="9"/>
  <c r="F249" i="9"/>
  <c r="E98" i="9"/>
  <c r="D53" i="9"/>
  <c r="A501" i="20"/>
  <c r="A500" i="20"/>
  <c r="A499" i="20"/>
  <c r="A498" i="20"/>
  <c r="A497" i="20"/>
  <c r="A496" i="20"/>
  <c r="A495" i="20"/>
  <c r="A487"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3" i="20"/>
  <c r="A442" i="20"/>
  <c r="A441" i="20"/>
  <c r="A440" i="20"/>
  <c r="A439" i="20"/>
  <c r="A438" i="20"/>
  <c r="A437"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1" i="3"/>
  <c r="A277" i="3"/>
  <c r="A221" i="3"/>
  <c r="B1" i="3"/>
  <c r="A99" i="3"/>
  <c r="N8" i="7"/>
  <c r="N7" i="7"/>
  <c r="M6" i="6"/>
  <c r="L6" i="6"/>
  <c r="N3" i="7"/>
  <c r="Q99" i="9" l="1" a="1"/>
  <c r="Q99" i="9" s="1"/>
  <c r="Q12" i="9" a="1"/>
  <c r="Q12" i="9" s="1"/>
  <c r="Q129" i="9" a="1"/>
  <c r="Q129" i="9" s="1"/>
  <c r="Q8" i="9" a="1"/>
  <c r="Q8" i="9" s="1"/>
  <c r="Q80" i="9" a="1"/>
  <c r="Q80" i="9" s="1"/>
  <c r="Q71" i="9" a="1"/>
  <c r="Q71" i="9" s="1"/>
  <c r="Q23" i="9" a="1"/>
  <c r="Q23" i="9" s="1"/>
  <c r="Q38" i="9" a="1"/>
  <c r="Q38" i="9" s="1"/>
  <c r="Q47" i="9" a="1"/>
  <c r="Q47" i="9" s="1"/>
  <c r="Q56" i="9" a="1"/>
  <c r="Q56" i="9" s="1"/>
  <c r="Q64" i="9" a="1"/>
  <c r="Q64" i="9" s="1"/>
  <c r="Q77" i="9" a="1"/>
  <c r="Q77" i="9" s="1"/>
  <c r="Q96" i="9"/>
  <c r="Q134" i="9" a="1"/>
  <c r="Q134" i="9" s="1"/>
  <c r="O9" i="9" a="1"/>
  <c r="O9" i="9" s="1"/>
  <c r="P9" i="9" s="1"/>
  <c r="O15" i="9" a="1"/>
  <c r="O15" i="9" s="1"/>
  <c r="Q31" i="9" a="1"/>
  <c r="Q31" i="9" s="1"/>
  <c r="Q39" i="9" a="1"/>
  <c r="Q39" i="9" s="1"/>
  <c r="Q48" i="9" a="1"/>
  <c r="Q48" i="9" s="1"/>
  <c r="Q57" i="9" a="1"/>
  <c r="Q57" i="9" s="1"/>
  <c r="Q65" i="9" a="1"/>
  <c r="Q65" i="9" s="1"/>
  <c r="Q79" i="9" a="1"/>
  <c r="Q79" i="9" s="1"/>
  <c r="Q104" i="9" a="1"/>
  <c r="Q104" i="9" s="1"/>
  <c r="Q140" i="9" a="1"/>
  <c r="Q140" i="9" s="1"/>
  <c r="Q58" i="9" a="1"/>
  <c r="Q58" i="9" s="1"/>
  <c r="O6" i="9"/>
  <c r="O10" i="9" a="1"/>
  <c r="O10" i="9" s="1"/>
  <c r="P10" i="9" s="1"/>
  <c r="O17" i="9" a="1"/>
  <c r="O17" i="9" s="1"/>
  <c r="Q33" i="9" a="1"/>
  <c r="Q33" i="9" s="1"/>
  <c r="Q42" i="9" a="1"/>
  <c r="Q42" i="9" s="1"/>
  <c r="Q50" i="9" a="1"/>
  <c r="Q50" i="9" s="1"/>
  <c r="Q59" i="9" a="1"/>
  <c r="Q59" i="9" s="1"/>
  <c r="Q67" i="9" a="1"/>
  <c r="Q67" i="9" s="1"/>
  <c r="Q81" i="9" a="1"/>
  <c r="Q81" i="9" s="1"/>
  <c r="Q117" i="9" a="1"/>
  <c r="Q117" i="9" s="1"/>
  <c r="Q145" i="9" a="1"/>
  <c r="Q145" i="9" s="1"/>
  <c r="Q15" i="9" a="1"/>
  <c r="Q15" i="9" s="1"/>
  <c r="Q141" i="9" a="1"/>
  <c r="Q141" i="9" s="1"/>
  <c r="Q6" i="9" a="1"/>
  <c r="Q6" i="9" s="1"/>
  <c r="Q10" i="9" a="1"/>
  <c r="Q10" i="9" s="1"/>
  <c r="Q17" i="9" a="1"/>
  <c r="Q17" i="9" s="1"/>
  <c r="Q34" i="9" a="1"/>
  <c r="Q34" i="9" s="1"/>
  <c r="Q43" i="9" a="1"/>
  <c r="Q43" i="9" s="1"/>
  <c r="Q51" i="9" a="1"/>
  <c r="Q51" i="9" s="1"/>
  <c r="Q60" i="9" a="1"/>
  <c r="Q60" i="9" s="1"/>
  <c r="Q68" i="9" a="1"/>
  <c r="Q68" i="9" s="1"/>
  <c r="Q82" i="9" a="1"/>
  <c r="Q82" i="9" s="1"/>
  <c r="Q122" i="9" a="1"/>
  <c r="Q122" i="9" s="1"/>
  <c r="Q146" i="9" a="1"/>
  <c r="Q146" i="9" s="1"/>
  <c r="Q9" i="9" a="1"/>
  <c r="Q9" i="9" s="1"/>
  <c r="Q40" i="9" a="1"/>
  <c r="Q40" i="9" s="1"/>
  <c r="Q105" i="9" a="1"/>
  <c r="Q105" i="9" s="1"/>
  <c r="O7" i="9" a="1"/>
  <c r="O7" i="9" s="1"/>
  <c r="O11" i="9" a="1"/>
  <c r="O11" i="9" s="1"/>
  <c r="P11" i="9" s="1"/>
  <c r="Q35" i="9" a="1"/>
  <c r="Q35" i="9" s="1"/>
  <c r="Q44" i="9" a="1"/>
  <c r="Q44" i="9" s="1"/>
  <c r="Q52" i="9" a="1"/>
  <c r="Q52" i="9" s="1"/>
  <c r="Q61" i="9" a="1"/>
  <c r="Q61" i="9" s="1"/>
  <c r="Q69" i="9" a="1"/>
  <c r="Q69" i="9" s="1"/>
  <c r="Q93" i="9" a="1"/>
  <c r="Q93" i="9" s="1"/>
  <c r="Q124" i="9" a="1"/>
  <c r="Q124" i="9" s="1"/>
  <c r="Q151" i="9" a="1"/>
  <c r="Q151" i="9" s="1"/>
  <c r="Q66" i="9" a="1"/>
  <c r="Q66" i="9" s="1"/>
  <c r="Q7" i="9" a="1"/>
  <c r="Q7" i="9" s="1"/>
  <c r="Q11" i="9" a="1"/>
  <c r="Q11" i="9" s="1"/>
  <c r="Q21" i="9" a="1"/>
  <c r="Q21" i="9" s="1"/>
  <c r="Q36" i="9" a="1"/>
  <c r="Q36" i="9" s="1"/>
  <c r="Q45" i="9" a="1"/>
  <c r="Q45" i="9" s="1"/>
  <c r="Q53" i="9" a="1"/>
  <c r="Q53" i="9" s="1"/>
  <c r="Q62" i="9" a="1"/>
  <c r="Q62" i="9" s="1"/>
  <c r="Q70" i="9" a="1"/>
  <c r="Q70" i="9" s="1"/>
  <c r="Q95" i="9" a="1"/>
  <c r="Q95" i="9" s="1"/>
  <c r="Q128" i="9" a="1"/>
  <c r="Q128" i="9" s="1"/>
  <c r="AL478"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8" i="9" a="1"/>
  <c r="Q388" i="9" s="1"/>
  <c r="Q176" i="9" a="1"/>
  <c r="Q176" i="9" s="1"/>
  <c r="Q210" i="9" a="1"/>
  <c r="Q210" i="9" s="1"/>
  <c r="Q228" i="9" a="1"/>
  <c r="Q228" i="9" s="1"/>
  <c r="Q264" i="9" a="1"/>
  <c r="Q264" i="9" s="1"/>
  <c r="Q296" i="9" a="1"/>
  <c r="Q296" i="9" s="1"/>
  <c r="O309" i="9" a="1"/>
  <c r="O309" i="9" s="1"/>
  <c r="Q338" i="9"/>
  <c r="Q375" i="9" a="1"/>
  <c r="Q375" i="9" s="1"/>
  <c r="Q392" i="9" a="1"/>
  <c r="Q392" i="9" s="1"/>
  <c r="AL498" i="9"/>
  <c r="O173" i="9" a="1"/>
  <c r="O173" i="9" s="1"/>
  <c r="Q372" i="9" a="1"/>
  <c r="Q372" i="9" s="1"/>
  <c r="O179" i="9" a="1"/>
  <c r="O179" i="9" s="1"/>
  <c r="Q212" i="9" a="1"/>
  <c r="Q212" i="9" s="1"/>
  <c r="Q229" i="9" a="1"/>
  <c r="Q229" i="9" s="1"/>
  <c r="Q269" i="9" a="1"/>
  <c r="Q269" i="9" s="1"/>
  <c r="O299" i="9" a="1"/>
  <c r="O299" i="9" s="1"/>
  <c r="Q320" i="9" a="1"/>
  <c r="Q320" i="9" s="1"/>
  <c r="Q339" i="9" a="1"/>
  <c r="Q339" i="9" s="1"/>
  <c r="Q376" i="9" a="1"/>
  <c r="Q376" i="9" s="1"/>
  <c r="Q393" i="9" a="1"/>
  <c r="Q393" i="9" s="1"/>
  <c r="Q333" i="9" a="1"/>
  <c r="Q333" i="9" s="1"/>
  <c r="Q182" i="9" a="1"/>
  <c r="Q182" i="9" s="1"/>
  <c r="Q215" i="9" a="1"/>
  <c r="Q215" i="9" s="1"/>
  <c r="O245" i="9" a="1"/>
  <c r="O245" i="9" s="1"/>
  <c r="Q274" i="9" a="1"/>
  <c r="Q274" i="9" s="1"/>
  <c r="Q299" i="9" a="1"/>
  <c r="Q299" i="9" s="1"/>
  <c r="Q325" i="9" a="1"/>
  <c r="Q325" i="9" s="1"/>
  <c r="Q344" i="9" a="1"/>
  <c r="Q344" i="9" s="1"/>
  <c r="Q377" i="9" a="1"/>
  <c r="Q377" i="9" s="1"/>
  <c r="Q394" i="9" a="1"/>
  <c r="Q394" i="9" s="1"/>
  <c r="O296" i="9" a="1"/>
  <c r="O296" i="9" s="1"/>
  <c r="Q192" i="9" a="1"/>
  <c r="Q192" i="9" s="1"/>
  <c r="Q216" i="9" a="1"/>
  <c r="Q216" i="9" s="1"/>
  <c r="P245" i="9" a="1"/>
  <c r="P245" i="9" s="1"/>
  <c r="Q275" i="9" a="1"/>
  <c r="Q275" i="9" s="1"/>
  <c r="O302" i="9" a="1"/>
  <c r="O302" i="9" s="1"/>
  <c r="P302" i="9" s="1"/>
  <c r="Q326" i="9" a="1"/>
  <c r="Q326" i="9" s="1"/>
  <c r="O361" i="9" a="1"/>
  <c r="O361" i="9" s="1"/>
  <c r="O363" i="9" s="1"/>
  <c r="P363" i="9" s="1"/>
  <c r="Q382" i="9" a="1"/>
  <c r="Q382" i="9" s="1"/>
  <c r="Q227" i="9" a="1"/>
  <c r="Q227" i="9" s="1"/>
  <c r="Q308" i="9" a="1"/>
  <c r="Q308" i="9" s="1"/>
  <c r="Q199" i="9" a="1"/>
  <c r="Q199" i="9" s="1"/>
  <c r="Q217" i="9" a="1"/>
  <c r="Q217" i="9" s="1"/>
  <c r="Q257" i="9" a="1"/>
  <c r="Q257" i="9" s="1"/>
  <c r="Q276" i="9" a="1"/>
  <c r="Q276" i="9" s="1"/>
  <c r="Q302" i="9" a="1"/>
  <c r="Q302" i="9" s="1"/>
  <c r="Q327" i="9" a="1"/>
  <c r="Q327" i="9" s="1"/>
  <c r="Q361" i="9" a="1"/>
  <c r="Q361" i="9" s="1"/>
  <c r="Q363" i="9" s="1"/>
  <c r="Q383" i="9" a="1"/>
  <c r="Q383" i="9" s="1"/>
  <c r="Q263" i="9" a="1"/>
  <c r="Q263" i="9" s="1"/>
  <c r="Q389" i="9" a="1"/>
  <c r="Q389" i="9" s="1"/>
  <c r="Q159" i="9" a="1"/>
  <c r="Q159" i="9" s="1"/>
  <c r="Q200" i="9" a="1"/>
  <c r="Q200" i="9" s="1"/>
  <c r="Q222" i="9" a="1"/>
  <c r="Q222" i="9" s="1"/>
  <c r="Q258" i="9" a="1"/>
  <c r="Q258" i="9" s="1"/>
  <c r="Q280" i="9" a="1"/>
  <c r="Q280" i="9" s="1"/>
  <c r="O303" i="9" a="1"/>
  <c r="O303" i="9" s="1"/>
  <c r="P303" i="9" s="1"/>
  <c r="Q330" i="9" a="1"/>
  <c r="Q330" i="9" s="1"/>
  <c r="Q370" i="9" a="1"/>
  <c r="Q370" i="9" s="1"/>
  <c r="Q387" i="9" a="1"/>
  <c r="Q387" i="9" s="1"/>
  <c r="Q205" i="9" a="1"/>
  <c r="Q205" i="9" s="1"/>
  <c r="Q160" i="9" a="1"/>
  <c r="Q160" i="9" s="1"/>
  <c r="Q204" i="9" a="1"/>
  <c r="Q204" i="9" s="1"/>
  <c r="Q223" i="9" a="1"/>
  <c r="Q223" i="9" s="1"/>
  <c r="Q262" i="9" a="1"/>
  <c r="Q262" i="9" s="1"/>
  <c r="Q285" i="9" a="1"/>
  <c r="Q285" i="9" s="1"/>
  <c r="O308" i="9" a="1"/>
  <c r="O308" i="9" s="1"/>
  <c r="Q332" i="9" a="1"/>
  <c r="Q332" i="9" s="1"/>
  <c r="Q371" i="9" a="1"/>
  <c r="Q371" i="9" s="1"/>
  <c r="AL421" i="9"/>
  <c r="AL458" i="9"/>
  <c r="AL481" i="9"/>
  <c r="AL492" i="9"/>
  <c r="Q78" i="9" a="1"/>
  <c r="Q78" i="9" s="1"/>
  <c r="O94" i="9" a="1"/>
  <c r="O94" i="9" s="1"/>
  <c r="O101" i="9" a="1"/>
  <c r="O101" i="9" s="1"/>
  <c r="Q113" i="9" a="1"/>
  <c r="Q113" i="9" s="1"/>
  <c r="Q118" i="9" a="1"/>
  <c r="Q118" i="9" s="1"/>
  <c r="Q125" i="9" a="1"/>
  <c r="Q125" i="9" s="1"/>
  <c r="Q130" i="9" a="1"/>
  <c r="Q130" i="9" s="1"/>
  <c r="Q135" i="9" a="1"/>
  <c r="Q135" i="9" s="1"/>
  <c r="Q142" i="9" a="1"/>
  <c r="Q142" i="9" s="1"/>
  <c r="Q147" i="9" a="1"/>
  <c r="Q147" i="9" s="1"/>
  <c r="Q152" i="9" a="1"/>
  <c r="Q152" i="9" s="1"/>
  <c r="Q161" i="9" a="1"/>
  <c r="Q161" i="9" s="1"/>
  <c r="P173" i="9" a="1"/>
  <c r="P173" i="9" s="1"/>
  <c r="P179" i="9" a="1"/>
  <c r="P179" i="9" s="1"/>
  <c r="Q185" i="9" a="1"/>
  <c r="Q185" i="9" s="1"/>
  <c r="Q201" i="9" a="1"/>
  <c r="Q201" i="9" s="1"/>
  <c r="Q218" i="9" a="1"/>
  <c r="Q218" i="9" s="1"/>
  <c r="Q224" i="9" a="1"/>
  <c r="Q224" i="9" s="1"/>
  <c r="Q259" i="9" a="1"/>
  <c r="Q259" i="9" s="1"/>
  <c r="Q270" i="9" a="1"/>
  <c r="Q270" i="9" s="1"/>
  <c r="Q281" i="9" a="1"/>
  <c r="Q281" i="9" s="1"/>
  <c r="O300" i="9" a="1"/>
  <c r="O300" i="9" s="1"/>
  <c r="Q309" i="9" a="1"/>
  <c r="Q309" i="9" s="1"/>
  <c r="Q321" i="9" a="1"/>
  <c r="Q321" i="9" s="1"/>
  <c r="Q334" i="9" a="1"/>
  <c r="Q334" i="9" s="1"/>
  <c r="Q340" i="9" a="1"/>
  <c r="Q340" i="9" s="1"/>
  <c r="Q345" i="9" a="1"/>
  <c r="Q345" i="9" s="1"/>
  <c r="Q366" i="9" a="1"/>
  <c r="Q366" i="9" s="1"/>
  <c r="Q379" i="9" a="1"/>
  <c r="Q379" i="9" s="1"/>
  <c r="Q395" i="9" a="1"/>
  <c r="Q395" i="9" s="1"/>
  <c r="AL454" i="9"/>
  <c r="AL460" i="9"/>
  <c r="AL493" i="9"/>
  <c r="Q94" i="9" a="1"/>
  <c r="Q94" i="9" s="1"/>
  <c r="Q114" i="9" a="1"/>
  <c r="Q114" i="9" s="1"/>
  <c r="Q131" i="9" a="1"/>
  <c r="Q131" i="9" s="1"/>
  <c r="Q148" i="9" a="1"/>
  <c r="Q148" i="9" s="1"/>
  <c r="Q173" i="9" a="1"/>
  <c r="Q173" i="9" s="1"/>
  <c r="Q179" i="9" a="1"/>
  <c r="Q179" i="9" s="1"/>
  <c r="P189" i="9" a="1"/>
  <c r="P189" i="9" s="1"/>
  <c r="Q206" i="9" a="1"/>
  <c r="Q206" i="9" s="1"/>
  <c r="Q213" i="9" a="1"/>
  <c r="Q213" i="9" s="1"/>
  <c r="Q219" i="9" a="1"/>
  <c r="Q219" i="9" s="1"/>
  <c r="O242" i="9" a="1"/>
  <c r="O242" i="9" s="1"/>
  <c r="Q245" i="9" a="1"/>
  <c r="Q245" i="9" s="1"/>
  <c r="Q265" i="9" a="1"/>
  <c r="Q265" i="9" s="1"/>
  <c r="Q271" i="9" a="1"/>
  <c r="Q271" i="9" s="1"/>
  <c r="Q277" i="9" a="1"/>
  <c r="Q277" i="9" s="1"/>
  <c r="Q282" i="9" a="1"/>
  <c r="Q282" i="9" s="1"/>
  <c r="O297" i="9" a="1"/>
  <c r="O297" i="9" s="1"/>
  <c r="Q300" i="9" a="1"/>
  <c r="Q300" i="9" s="1"/>
  <c r="Q303" i="9" a="1"/>
  <c r="Q303" i="9" s="1"/>
  <c r="O313" i="9" a="1"/>
  <c r="O313" i="9" s="1"/>
  <c r="P313" i="9" s="1"/>
  <c r="Q328" i="9" a="1"/>
  <c r="Q328" i="9" s="1"/>
  <c r="Q335" i="9" a="1"/>
  <c r="Q335" i="9" s="1"/>
  <c r="Q341" i="9" a="1"/>
  <c r="Q341" i="9" s="1"/>
  <c r="Q346" i="9" a="1"/>
  <c r="Q346" i="9" s="1"/>
  <c r="Q373" i="9" a="1"/>
  <c r="Q373" i="9" s="1"/>
  <c r="Q380" i="9" a="1"/>
  <c r="Q380" i="9" s="1"/>
  <c r="Q384" i="9" a="1"/>
  <c r="Q384" i="9" s="1"/>
  <c r="Q390" i="9" a="1"/>
  <c r="Q390" i="9" s="1"/>
  <c r="AL455" i="9"/>
  <c r="AL461" i="9"/>
  <c r="AL494" i="9"/>
  <c r="AL459" i="9"/>
  <c r="Q101" i="9" a="1"/>
  <c r="Q101" i="9" s="1"/>
  <c r="Q119" i="9" a="1"/>
  <c r="Q119" i="9" s="1"/>
  <c r="Q126" i="9" a="1"/>
  <c r="Q126" i="9" s="1"/>
  <c r="Q137" i="9" a="1"/>
  <c r="Q137" i="9" s="1"/>
  <c r="Q143" i="9" a="1"/>
  <c r="Q143" i="9" s="1"/>
  <c r="Q153" i="9" a="1"/>
  <c r="Q153" i="9" s="1"/>
  <c r="Q162" i="9" a="1"/>
  <c r="Q162" i="9" s="1"/>
  <c r="O176" i="9" a="1"/>
  <c r="O176" i="9" s="1"/>
  <c r="O182" i="9" a="1"/>
  <c r="O182" i="9" s="1"/>
  <c r="Q189" i="9" a="1"/>
  <c r="Q189" i="9" s="1"/>
  <c r="Q202" i="9" a="1"/>
  <c r="Q202" i="9" s="1"/>
  <c r="Q207" i="9" a="1"/>
  <c r="Q207" i="9" s="1"/>
  <c r="Q220" i="9" a="1"/>
  <c r="Q220" i="9" s="1"/>
  <c r="Q225" i="9" a="1"/>
  <c r="Q225" i="9" s="1"/>
  <c r="P242" i="9" a="1"/>
  <c r="P242" i="9" s="1"/>
  <c r="Q255" i="9" a="1"/>
  <c r="Q255" i="9" s="1"/>
  <c r="Q260" i="9" a="1"/>
  <c r="Q260" i="9" s="1"/>
  <c r="Q266" i="9" a="1"/>
  <c r="Q266" i="9" s="1"/>
  <c r="Q272" i="9" a="1"/>
  <c r="Q272" i="9" s="1"/>
  <c r="Q278" i="9" a="1"/>
  <c r="Q278" i="9" s="1"/>
  <c r="Q283" i="9" a="1"/>
  <c r="Q283" i="9" s="1"/>
  <c r="Q297" i="9" a="1"/>
  <c r="Q297" i="9" s="1"/>
  <c r="O304" i="9" a="1"/>
  <c r="O304" i="9" s="1"/>
  <c r="P304" i="9" s="1"/>
  <c r="Q322" i="9" a="1"/>
  <c r="Q322" i="9" s="1"/>
  <c r="Q336" i="9" a="1"/>
  <c r="Q336" i="9" s="1"/>
  <c r="Q342" i="9" a="1"/>
  <c r="Q342" i="9" s="1"/>
  <c r="Q347" i="9" a="1"/>
  <c r="Q347" i="9" s="1"/>
  <c r="Q367" i="9" a="1"/>
  <c r="Q367" i="9" s="1"/>
  <c r="AL462" i="9"/>
  <c r="AL495" i="9"/>
  <c r="O95" i="9" a="1"/>
  <c r="O95" i="9" s="1"/>
  <c r="Q115" i="9" a="1"/>
  <c r="Q115" i="9" s="1"/>
  <c r="Q120" i="9" a="1"/>
  <c r="Q120" i="9" s="1"/>
  <c r="Q132" i="9" a="1"/>
  <c r="Q132" i="9" s="1"/>
  <c r="Q138" i="9" a="1"/>
  <c r="Q138" i="9" s="1"/>
  <c r="Q149" i="9" a="1"/>
  <c r="Q149" i="9" s="1"/>
  <c r="Q157" i="9" a="1"/>
  <c r="Q157" i="9" s="1"/>
  <c r="P176" i="9" a="1"/>
  <c r="P176" i="9" s="1"/>
  <c r="Q203" i="9" a="1"/>
  <c r="Q203" i="9" s="1"/>
  <c r="Q208" i="9" a="1"/>
  <c r="Q208" i="9" s="1"/>
  <c r="Q214" i="9" a="1"/>
  <c r="Q214" i="9" s="1"/>
  <c r="Q221" i="9" a="1"/>
  <c r="Q221" i="9" s="1"/>
  <c r="Q242" i="9" a="1"/>
  <c r="Q242" i="9" s="1"/>
  <c r="Q256" i="9" a="1"/>
  <c r="Q256" i="9" s="1"/>
  <c r="Q273" i="9" a="1"/>
  <c r="Q273" i="9" s="1"/>
  <c r="Q284" i="9" a="1"/>
  <c r="Q284" i="9" s="1"/>
  <c r="O298" i="9" a="1"/>
  <c r="O298" i="9" s="1"/>
  <c r="O301" i="9" a="1"/>
  <c r="O301" i="9" s="1"/>
  <c r="Q304" i="9" a="1"/>
  <c r="Q304" i="9" s="1"/>
  <c r="Q313" i="9" a="1"/>
  <c r="Q313" i="9" s="1"/>
  <c r="Q323" i="9" a="1"/>
  <c r="Q323" i="9" s="1"/>
  <c r="Q329" i="9" a="1"/>
  <c r="Q329" i="9" s="1"/>
  <c r="Q348" i="9" a="1"/>
  <c r="Q348" i="9" s="1"/>
  <c r="Q368" i="9" a="1"/>
  <c r="Q368" i="9" s="1"/>
  <c r="Q374" i="9" a="1"/>
  <c r="Q374" i="9" s="1"/>
  <c r="Q381" i="9" a="1"/>
  <c r="Q381" i="9" s="1"/>
  <c r="Q385" i="9" a="1"/>
  <c r="Q385" i="9" s="1"/>
  <c r="Q391" i="9" a="1"/>
  <c r="Q391" i="9" s="1"/>
  <c r="AL456" i="9"/>
  <c r="AL463" i="9"/>
  <c r="AL496" i="9"/>
  <c r="Q76" i="9" a="1"/>
  <c r="Q76" i="9" s="1"/>
  <c r="Q103" i="9" a="1"/>
  <c r="Q103" i="9" s="1"/>
  <c r="Q116" i="9" a="1"/>
  <c r="Q116" i="9" s="1"/>
  <c r="Q121" i="9" a="1"/>
  <c r="Q121" i="9" s="1"/>
  <c r="Q127" i="9" a="1"/>
  <c r="Q127" i="9" s="1"/>
  <c r="Q133" i="9" a="1"/>
  <c r="Q133" i="9" s="1"/>
  <c r="Q139" i="9" a="1"/>
  <c r="Q139" i="9" s="1"/>
  <c r="Q144" i="9" a="1"/>
  <c r="Q144" i="9" s="1"/>
  <c r="Q150" i="9" a="1"/>
  <c r="Q150" i="9" s="1"/>
  <c r="Q158" i="9" a="1"/>
  <c r="Q158" i="9" s="1"/>
  <c r="Q163" i="9" a="1"/>
  <c r="Q163" i="9" s="1"/>
  <c r="P182" i="9" a="1"/>
  <c r="P182" i="9" s="1"/>
  <c r="P192" i="9" a="1"/>
  <c r="P192" i="9" s="1"/>
  <c r="Q209" i="9" a="1"/>
  <c r="Q209" i="9" s="1"/>
  <c r="Q226" i="9" a="1"/>
  <c r="Q226" i="9" s="1"/>
  <c r="Q261" i="9" a="1"/>
  <c r="Q261" i="9" s="1"/>
  <c r="Q268" i="9" a="1"/>
  <c r="Q268" i="9" s="1"/>
  <c r="Q279" i="9" a="1"/>
  <c r="Q279" i="9" s="1"/>
  <c r="Q298" i="9" a="1"/>
  <c r="Q298" i="9" s="1"/>
  <c r="Q301" i="9" a="1"/>
  <c r="Q301" i="9" s="1"/>
  <c r="Q319" i="9" a="1"/>
  <c r="Q319" i="9" s="1"/>
  <c r="Q324" i="9" a="1"/>
  <c r="Q324" i="9" s="1"/>
  <c r="Q337" i="9" a="1"/>
  <c r="Q337" i="9" s="1"/>
  <c r="Q343" i="9" a="1"/>
  <c r="Q343" i="9" s="1"/>
  <c r="Q349" i="9" a="1"/>
  <c r="Q349" i="9" s="1"/>
  <c r="Q369" i="9" a="1"/>
  <c r="Q369" i="9" s="1"/>
  <c r="Q386" i="9" a="1"/>
  <c r="Q386" i="9" s="1"/>
  <c r="AL457" i="9"/>
  <c r="AL470" i="9"/>
  <c r="AL497" i="9"/>
  <c r="P96" i="9" l="1"/>
  <c r="P184" i="9"/>
  <c r="P308" i="9"/>
  <c r="P6" i="9"/>
  <c r="Q180" i="9"/>
  <c r="Q193" i="9"/>
  <c r="P181" i="9"/>
  <c r="P7" i="9"/>
  <c r="P251" i="9"/>
  <c r="P15" i="9"/>
  <c r="P17" i="9"/>
  <c r="P296" i="9"/>
  <c r="Q72" i="9"/>
  <c r="P178" i="9"/>
  <c r="Q24" i="9"/>
  <c r="O32" i="9" s="1"/>
  <c r="P299" i="9"/>
  <c r="Q41" i="9"/>
  <c r="Q106" i="9"/>
  <c r="O114" i="9" s="1"/>
  <c r="P175" i="9"/>
  <c r="Q246" i="9"/>
  <c r="Q190" i="9"/>
  <c r="Q13" i="9"/>
  <c r="O31" i="9" s="1"/>
  <c r="P288" i="9"/>
  <c r="Q97" i="9"/>
  <c r="Q109" i="9" s="1"/>
  <c r="P286" i="9"/>
  <c r="P95" i="9"/>
  <c r="Q177" i="9"/>
  <c r="Q174" i="9"/>
  <c r="P297" i="9"/>
  <c r="Q54" i="9"/>
  <c r="P94" i="9"/>
  <c r="O13" i="9"/>
  <c r="O27" i="9" s="1"/>
  <c r="Q186" i="9"/>
  <c r="Q195" i="9" s="1"/>
  <c r="Q305" i="9"/>
  <c r="Q310" i="9" s="1"/>
  <c r="Q315" i="9" s="1"/>
  <c r="Q123" i="9"/>
  <c r="P309" i="9"/>
  <c r="P301" i="9"/>
  <c r="O305" i="9"/>
  <c r="O310" i="9" s="1"/>
  <c r="P361" i="9"/>
  <c r="Q230" i="9"/>
  <c r="P298" i="9"/>
  <c r="Q331" i="9"/>
  <c r="Q211" i="9"/>
  <c r="Q396" i="9"/>
  <c r="P396" i="9" s="1"/>
  <c r="P300" i="9"/>
  <c r="Q267" i="9"/>
  <c r="Q378" i="9"/>
  <c r="P378" i="9" s="1"/>
  <c r="Q251" i="9"/>
  <c r="Q350" i="9"/>
  <c r="O186" i="9"/>
  <c r="P267" i="9"/>
  <c r="Q83" i="9"/>
  <c r="Q286" i="9"/>
  <c r="P186" i="9"/>
  <c r="P195" i="9" s="1"/>
  <c r="Q154" i="9"/>
  <c r="O97" i="9"/>
  <c r="P116" i="9" s="1"/>
  <c r="P101" i="9"/>
  <c r="Q183" i="9"/>
  <c r="Q164" i="9"/>
  <c r="Q136" i="9"/>
  <c r="Q243" i="9"/>
  <c r="O2" i="7"/>
  <c r="Q252" i="9" l="1"/>
  <c r="P123" i="9"/>
  <c r="Q74" i="9"/>
  <c r="P113" i="9"/>
  <c r="P97" i="9"/>
  <c r="Q288" i="9"/>
  <c r="Q290" i="9" s="1"/>
  <c r="P290" i="9" s="1"/>
  <c r="Q27" i="9"/>
  <c r="P72" i="9" s="1"/>
  <c r="Q398" i="9"/>
  <c r="P398" i="9" s="1"/>
  <c r="P310" i="9"/>
  <c r="P350" i="9"/>
  <c r="P331" i="9"/>
  <c r="Q352" i="9"/>
  <c r="Q354" i="9" s="1"/>
  <c r="O24" i="9"/>
  <c r="P36" i="9" s="1"/>
  <c r="O113" i="9"/>
  <c r="P13" i="9"/>
  <c r="P305" i="9"/>
  <c r="P119" i="9"/>
  <c r="Q232" i="9"/>
  <c r="Q234" i="9" s="1"/>
  <c r="P234" i="9" s="1"/>
  <c r="Q156" i="9"/>
  <c r="P187" i="9"/>
  <c r="Q187" i="9"/>
  <c r="P114" i="9"/>
  <c r="P122" i="9"/>
  <c r="O315" i="9"/>
  <c r="P315" i="9" s="1"/>
  <c r="O109" i="9"/>
  <c r="P117" i="9"/>
  <c r="P115" i="9"/>
  <c r="O106" i="9"/>
  <c r="P106" i="9" s="1"/>
  <c r="P121" i="9"/>
  <c r="P118" i="9"/>
  <c r="P120" i="9"/>
  <c r="Q196" i="9"/>
  <c r="P230" i="9"/>
  <c r="P211"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6" i="9" l="1"/>
  <c r="P136" i="9"/>
  <c r="P154" i="9"/>
  <c r="P109" i="9"/>
  <c r="AL408" i="9"/>
  <c r="Q85" i="9"/>
  <c r="P85" i="9" s="1"/>
  <c r="P42" i="9"/>
  <c r="P54" i="9"/>
  <c r="P74" i="9"/>
  <c r="P41" i="9"/>
  <c r="P27" i="9"/>
  <c r="P352" i="9"/>
  <c r="P31" i="9"/>
  <c r="P40" i="9"/>
  <c r="P24" i="9"/>
  <c r="P32" i="9"/>
  <c r="Q400" i="9"/>
  <c r="P232" i="9"/>
  <c r="P38" i="9"/>
  <c r="P34" i="9"/>
  <c r="P33" i="9"/>
  <c r="P35" i="9"/>
  <c r="P39" i="9"/>
  <c r="P37" i="9"/>
  <c r="P354" i="9"/>
  <c r="Q166" i="9"/>
  <c r="P166" i="9" s="1"/>
  <c r="AL407"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8"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V11" i="15" l="1"/>
  <c r="W11" i="15"/>
  <c r="X11" i="15"/>
  <c r="T287" i="15"/>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4" i="9" l="1"/>
  <c r="L32" i="9"/>
  <c r="L17" i="12"/>
  <c r="J17" i="12"/>
  <c r="L99" i="12"/>
  <c r="L99" i="9"/>
  <c r="S99" i="9" s="1"/>
  <c r="L31" i="9"/>
  <c r="L301" i="9"/>
  <c r="L303" i="9"/>
  <c r="AF497" i="9"/>
  <c r="L113" i="9"/>
  <c r="J15" i="9"/>
  <c r="L242" i="9"/>
  <c r="L96" i="9"/>
  <c r="S96" i="9" s="1"/>
  <c r="L96" i="12"/>
  <c r="J96" i="12"/>
  <c r="J96" i="9"/>
  <c r="J95" i="9"/>
  <c r="J94" i="9"/>
  <c r="L95" i="9"/>
  <c r="L94" i="9"/>
  <c r="L104" i="9"/>
  <c r="L101" i="9"/>
  <c r="J101" i="9"/>
  <c r="L103" i="9"/>
  <c r="L105" i="9"/>
  <c r="L192" i="9"/>
  <c r="S192" i="9" s="1"/>
  <c r="L192" i="12"/>
  <c r="J192" i="9"/>
  <c r="K17" i="12" l="1"/>
  <c r="J97" i="9"/>
  <c r="K113" i="9" s="1"/>
  <c r="L97" i="9"/>
  <c r="K96" i="12"/>
  <c r="K96" i="9"/>
  <c r="R96" i="9"/>
  <c r="K101" i="9"/>
  <c r="L106" i="9"/>
  <c r="K94" i="9"/>
  <c r="K95" i="9"/>
  <c r="L109" i="9" l="1"/>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2" i="16"/>
  <c r="K160" i="16"/>
  <c r="K158" i="16"/>
  <c r="K156" i="16"/>
  <c r="K153" i="16"/>
  <c r="K151" i="16"/>
  <c r="K146" i="16"/>
  <c r="K144" i="16"/>
  <c r="K143" i="16"/>
  <c r="K142" i="16"/>
  <c r="K141" i="16"/>
  <c r="K140" i="16"/>
  <c r="K139" i="16"/>
  <c r="K138" i="16"/>
  <c r="K137" i="16"/>
  <c r="K136" i="16"/>
  <c r="K135" i="16"/>
  <c r="K133" i="16"/>
  <c r="K132" i="16"/>
  <c r="K131" i="16"/>
  <c r="K130" i="16"/>
  <c r="K129" i="16"/>
  <c r="K127" i="16"/>
  <c r="K117" i="16"/>
  <c r="K114" i="16"/>
  <c r="K113" i="16"/>
  <c r="K110" i="16"/>
  <c r="K108" i="16"/>
  <c r="K107" i="16"/>
  <c r="K106" i="16"/>
  <c r="K105" i="16"/>
  <c r="K102"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Q266" i="12" s="1" a="1"/>
  <c r="Q266" i="12" s="1"/>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1" i="3"/>
  <c r="A500" i="3"/>
  <c r="A499" i="3"/>
  <c r="A498" i="3"/>
  <c r="A497" i="3"/>
  <c r="A496" i="3"/>
  <c r="A495"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57" i="3"/>
  <c r="A356" i="3"/>
  <c r="A355" i="3"/>
  <c r="A354" i="3"/>
  <c r="A353" i="3"/>
  <c r="A352" i="3"/>
  <c r="A351" i="3"/>
  <c r="A350" i="3"/>
  <c r="A349" i="3"/>
  <c r="A348" i="3"/>
  <c r="A347" i="3"/>
  <c r="A346" i="3"/>
  <c r="A345" i="3"/>
  <c r="A344" i="3"/>
  <c r="A343" i="3"/>
  <c r="A342"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3" i="3"/>
  <c r="A292" i="3"/>
  <c r="A291" i="3"/>
  <c r="A290" i="3"/>
  <c r="A289" i="3"/>
  <c r="A288" i="3"/>
  <c r="A287" i="3"/>
  <c r="A286" i="3"/>
  <c r="A285" i="3"/>
  <c r="A284" i="3"/>
  <c r="A283" i="3"/>
  <c r="A282" i="3"/>
  <c r="A281" i="3"/>
  <c r="A280" i="3"/>
  <c r="A279" i="3"/>
  <c r="A278"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37" i="3"/>
  <c r="A236" i="3"/>
  <c r="A235" i="3"/>
  <c r="A234" i="3"/>
  <c r="A233" i="3"/>
  <c r="A232" i="3"/>
  <c r="A231" i="3"/>
  <c r="A230" i="3"/>
  <c r="A229" i="3"/>
  <c r="A228" i="3"/>
  <c r="A227" i="3"/>
  <c r="A226" i="3"/>
  <c r="A225" i="3"/>
  <c r="A224" i="3"/>
  <c r="A223" i="3"/>
  <c r="A222"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17" i="12" l="1" a="1"/>
  <c r="Q17" i="12" s="1"/>
  <c r="S17" i="12" s="1"/>
  <c r="F17" i="12" a="1"/>
  <c r="F17" i="12" s="1"/>
  <c r="N17" i="12" s="1"/>
  <c r="D17" i="12" a="1"/>
  <c r="D17" i="12" s="1"/>
  <c r="O17" i="12" a="1"/>
  <c r="O17" i="12" s="1"/>
  <c r="Z497" i="9"/>
  <c r="V403" i="9"/>
  <c r="Q3" i="20"/>
  <c r="P3" i="20"/>
  <c r="O3" i="20"/>
  <c r="F75" i="9"/>
  <c r="F266" i="12" a="1"/>
  <c r="F266" i="12" s="1"/>
  <c r="Z454" i="9"/>
  <c r="D99"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F99" i="9"/>
  <c r="N99" i="9" s="1"/>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2" i="9"/>
  <c r="C357"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7"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8" i="16"/>
  <c r="G940" i="16"/>
  <c r="G932" i="16"/>
  <c r="G924" i="16"/>
  <c r="G916" i="16"/>
  <c r="G947" i="16"/>
  <c r="G939" i="16"/>
  <c r="G931" i="16"/>
  <c r="G923" i="16"/>
  <c r="G915" i="16"/>
  <c r="G946" i="16"/>
  <c r="G938" i="16"/>
  <c r="G930" i="16"/>
  <c r="G922" i="16"/>
  <c r="G953" i="16"/>
  <c r="G945" i="16"/>
  <c r="G937" i="16"/>
  <c r="G929" i="16"/>
  <c r="G921" i="16"/>
  <c r="G951" i="16"/>
  <c r="G943" i="16"/>
  <c r="G935" i="16"/>
  <c r="G927" i="16"/>
  <c r="G919" i="16"/>
  <c r="G950" i="16"/>
  <c r="G942" i="16"/>
  <c r="G934" i="16"/>
  <c r="G926" i="16"/>
  <c r="G918" i="16"/>
  <c r="G936" i="16"/>
  <c r="G933" i="16"/>
  <c r="G928" i="16"/>
  <c r="G925" i="16"/>
  <c r="G952" i="16"/>
  <c r="G920" i="16"/>
  <c r="G944" i="16"/>
  <c r="G941" i="16"/>
  <c r="G949"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P17" i="12" l="1"/>
  <c r="R17" i="12"/>
  <c r="E17" i="12"/>
  <c r="M17" i="12"/>
  <c r="E99" i="9"/>
  <c r="F177" i="9"/>
  <c r="AL413" i="9"/>
  <c r="AK413" i="9" s="1"/>
  <c r="AL477" i="9"/>
  <c r="AO477" i="9" s="1"/>
  <c r="E178" i="9"/>
  <c r="E181" i="9"/>
  <c r="E202" i="9"/>
  <c r="Z477" i="9"/>
  <c r="AL423" i="9"/>
  <c r="AL444" i="9"/>
  <c r="AL480" i="9"/>
  <c r="AL445" i="9"/>
  <c r="AL410" i="9"/>
  <c r="Z476" i="9"/>
  <c r="AL474" i="9"/>
  <c r="AO474" i="9" s="1"/>
  <c r="AL471" i="9"/>
  <c r="AL411" i="9"/>
  <c r="AL432" i="9"/>
  <c r="AL429" i="9"/>
  <c r="AL422" i="9"/>
  <c r="Z473" i="9"/>
  <c r="Z474" i="9"/>
  <c r="AL419" i="9"/>
  <c r="AK419" i="9" s="1"/>
  <c r="AL424" i="9"/>
  <c r="AL433" i="9"/>
  <c r="AL426" i="9"/>
  <c r="AL438" i="9"/>
  <c r="AL464" i="9"/>
  <c r="AL416" i="9"/>
  <c r="AL465" i="9"/>
  <c r="AL443" i="9"/>
  <c r="AL475" i="9"/>
  <c r="AL451" i="9"/>
  <c r="AL412" i="9"/>
  <c r="AL439" i="9"/>
  <c r="AL473" i="9"/>
  <c r="Z471" i="9"/>
  <c r="AL437" i="9"/>
  <c r="AL442" i="9"/>
  <c r="AL428" i="9"/>
  <c r="AL417" i="9"/>
  <c r="AK417" i="9" s="1"/>
  <c r="AL479" i="9"/>
  <c r="AL427" i="9"/>
  <c r="AL415" i="9"/>
  <c r="AL414" i="9"/>
  <c r="AL466" i="9"/>
  <c r="AL452" i="9"/>
  <c r="AL440" i="9"/>
  <c r="AL431" i="9"/>
  <c r="AL436" i="9"/>
  <c r="AL472" i="9"/>
  <c r="AL476" i="9"/>
  <c r="AO476" i="9" s="1"/>
  <c r="AL418" i="9"/>
  <c r="AK418" i="9" s="1"/>
  <c r="AL430" i="9"/>
  <c r="AL450" i="9"/>
  <c r="AL446" i="9"/>
  <c r="AL448" i="9"/>
  <c r="Z441" i="9"/>
  <c r="AI441" i="9" s="1"/>
  <c r="AL447" i="9"/>
  <c r="AL449" i="9"/>
  <c r="AL435" i="9"/>
  <c r="AL425" i="9"/>
  <c r="AL441" i="9"/>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248" i="9"/>
  <c r="J245" i="9"/>
  <c r="J12" i="9"/>
  <c r="L22" i="9"/>
  <c r="N22" i="9" s="1"/>
  <c r="L37" i="9"/>
  <c r="L45" i="9"/>
  <c r="N45" i="9" s="1"/>
  <c r="L53" i="9"/>
  <c r="N53" i="9" s="1"/>
  <c r="L62" i="9"/>
  <c r="N62" i="9" s="1"/>
  <c r="L71" i="9"/>
  <c r="N71" i="9" s="1"/>
  <c r="L82" i="9"/>
  <c r="L116" i="9"/>
  <c r="L125" i="9"/>
  <c r="N125" i="9" s="1"/>
  <c r="L133" i="9"/>
  <c r="N133" i="9" s="1"/>
  <c r="L142" i="9"/>
  <c r="N142" i="9" s="1"/>
  <c r="L150" i="9"/>
  <c r="N150" i="9" s="1"/>
  <c r="L162" i="9"/>
  <c r="N162" i="9" s="1"/>
  <c r="J179" i="9"/>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J176" i="9"/>
  <c r="L255" i="9"/>
  <c r="N255" i="9" s="1"/>
  <c r="L323" i="9"/>
  <c r="N323" i="9" s="1"/>
  <c r="J6" i="9"/>
  <c r="M6" i="9" s="1"/>
  <c r="L9" i="9"/>
  <c r="N9" i="9" s="1"/>
  <c r="L12" i="9"/>
  <c r="N12" i="9" s="1"/>
  <c r="L23" i="9"/>
  <c r="N23" i="9" s="1"/>
  <c r="L46" i="9"/>
  <c r="N46" i="9" s="1"/>
  <c r="L55" i="9"/>
  <c r="N55" i="9" s="1"/>
  <c r="L63" i="9"/>
  <c r="N63" i="9" s="1"/>
  <c r="L75" i="9"/>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J8" i="9"/>
  <c r="L130" i="9"/>
  <c r="N130" i="9" s="1"/>
  <c r="L199" i="9"/>
  <c r="N199" i="9" s="1"/>
  <c r="L263" i="9"/>
  <c r="N263" i="9" s="1"/>
  <c r="L6" i="9"/>
  <c r="J10" i="9"/>
  <c r="M15" i="9"/>
  <c r="L38" i="9"/>
  <c r="L47" i="9"/>
  <c r="N47" i="9" s="1"/>
  <c r="L56" i="9"/>
  <c r="N56" i="9" s="1"/>
  <c r="L64" i="9"/>
  <c r="N64" i="9" s="1"/>
  <c r="L76" i="9"/>
  <c r="N76" i="9" s="1"/>
  <c r="L118" i="9"/>
  <c r="L127" i="9"/>
  <c r="N127" i="9" s="1"/>
  <c r="L135" i="9"/>
  <c r="N135" i="9" s="1"/>
  <c r="L144" i="9"/>
  <c r="N144" i="9" s="1"/>
  <c r="L152" i="9"/>
  <c r="N152" i="9" s="1"/>
  <c r="J173" i="9"/>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J7" i="9"/>
  <c r="M7" i="9" s="1"/>
  <c r="L39" i="9"/>
  <c r="L48" i="9"/>
  <c r="N48" i="9" s="1"/>
  <c r="L57" i="9"/>
  <c r="N57" i="9" s="1"/>
  <c r="L65" i="9"/>
  <c r="N65" i="9" s="1"/>
  <c r="L77" i="9"/>
  <c r="N77" i="9" s="1"/>
  <c r="L119" i="9"/>
  <c r="L128" i="9"/>
  <c r="N128" i="9" s="1"/>
  <c r="L137" i="9"/>
  <c r="N137" i="9" s="1"/>
  <c r="L145" i="9"/>
  <c r="N145" i="9" s="1"/>
  <c r="L153" i="9"/>
  <c r="N153" i="9" s="1"/>
  <c r="L205" i="9"/>
  <c r="N205" i="9" s="1"/>
  <c r="L214" i="9"/>
  <c r="N214" i="9" s="1"/>
  <c r="L222" i="9"/>
  <c r="N222" i="9" s="1"/>
  <c r="J242" i="9"/>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J17" i="9"/>
  <c r="L33" i="9"/>
  <c r="N33" i="9" s="1"/>
  <c r="L40" i="9"/>
  <c r="L49" i="9"/>
  <c r="N49" i="9" s="1"/>
  <c r="L58" i="9"/>
  <c r="N58" i="9" s="1"/>
  <c r="L66" i="9"/>
  <c r="N66" i="9" s="1"/>
  <c r="L78" i="9"/>
  <c r="L120" i="9"/>
  <c r="N120" i="9" s="1"/>
  <c r="L129" i="9"/>
  <c r="N129" i="9" s="1"/>
  <c r="L138" i="9"/>
  <c r="N138" i="9" s="1"/>
  <c r="L146" i="9"/>
  <c r="N146" i="9" s="1"/>
  <c r="L158" i="9"/>
  <c r="N158" i="9" s="1"/>
  <c r="L173" i="9"/>
  <c r="N173" i="9" s="1"/>
  <c r="J182" i="9"/>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N60" i="9" s="1"/>
  <c r="L68" i="9"/>
  <c r="N68" i="9" s="1"/>
  <c r="L80" i="9"/>
  <c r="N80" i="9" s="1"/>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L79" i="9"/>
  <c r="N79" i="9" s="1"/>
  <c r="L159" i="9"/>
  <c r="N159" i="9" s="1"/>
  <c r="L216" i="9"/>
  <c r="N216" i="9" s="1"/>
  <c r="L280" i="9"/>
  <c r="N280" i="9" s="1"/>
  <c r="L340" i="9"/>
  <c r="N340" i="9" s="1"/>
  <c r="J9" i="9"/>
  <c r="L11" i="9"/>
  <c r="N11" i="9" s="1"/>
  <c r="L21" i="9"/>
  <c r="L36" i="9"/>
  <c r="N36" i="9" s="1"/>
  <c r="L44" i="9"/>
  <c r="N44" i="9" s="1"/>
  <c r="L52" i="9"/>
  <c r="N52" i="9" s="1"/>
  <c r="L61" i="9"/>
  <c r="N61" i="9" s="1"/>
  <c r="L70" i="9"/>
  <c r="N70" i="9" s="1"/>
  <c r="L81" i="9"/>
  <c r="N81" i="9" s="1"/>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L343" i="12"/>
  <c r="L337" i="12"/>
  <c r="L325" i="12"/>
  <c r="L297" i="12"/>
  <c r="L281" i="12"/>
  <c r="L261" i="12"/>
  <c r="L228" i="12"/>
  <c r="L220" i="12"/>
  <c r="L214" i="12"/>
  <c r="L210" i="12"/>
  <c r="L209" i="12"/>
  <c r="L208" i="12"/>
  <c r="L207" i="12"/>
  <c r="L346" i="12"/>
  <c r="L338" i="12"/>
  <c r="N338" i="12" s="1"/>
  <c r="L332" i="12"/>
  <c r="L328" i="12"/>
  <c r="L320" i="12"/>
  <c r="L302" i="12"/>
  <c r="L284" i="12"/>
  <c r="L276" i="12"/>
  <c r="L270" i="12"/>
  <c r="L266" i="12"/>
  <c r="N266" i="12" s="1"/>
  <c r="L264" i="12"/>
  <c r="L256" i="12"/>
  <c r="L248" i="12"/>
  <c r="L223" i="12"/>
  <c r="L217" i="12"/>
  <c r="L202" i="12"/>
  <c r="L189" i="12"/>
  <c r="L160" i="12"/>
  <c r="L151" i="12"/>
  <c r="L143" i="12"/>
  <c r="L128" i="12"/>
  <c r="L116" i="12"/>
  <c r="L330" i="12"/>
  <c r="L304" i="12"/>
  <c r="L347" i="12"/>
  <c r="L344" i="12"/>
  <c r="L327" i="12"/>
  <c r="L341" i="12"/>
  <c r="L335" i="12"/>
  <c r="L324" i="12"/>
  <c r="L321" i="12"/>
  <c r="L279" i="12"/>
  <c r="L259" i="12"/>
  <c r="L348" i="12"/>
  <c r="L308" i="12"/>
  <c r="L245" i="12"/>
  <c r="L215" i="12"/>
  <c r="L201" i="12"/>
  <c r="L345" i="12"/>
  <c r="L322" i="12"/>
  <c r="L309" i="12"/>
  <c r="L300" i="12"/>
  <c r="L283" i="12"/>
  <c r="L271" i="12"/>
  <c r="L268" i="12"/>
  <c r="L263" i="12"/>
  <c r="L349" i="12"/>
  <c r="L329" i="12"/>
  <c r="L326" i="12"/>
  <c r="L298" i="12"/>
  <c r="L272" i="12"/>
  <c r="L242" i="12"/>
  <c r="L225" i="12"/>
  <c r="L216" i="12"/>
  <c r="L203" i="12"/>
  <c r="L185" i="12"/>
  <c r="L179" i="12"/>
  <c r="J173" i="12"/>
  <c r="L163" i="12"/>
  <c r="L145" i="12"/>
  <c r="L132" i="12"/>
  <c r="L118" i="12"/>
  <c r="L114" i="12"/>
  <c r="J95" i="12"/>
  <c r="L340" i="12"/>
  <c r="L334" i="12"/>
  <c r="L323" i="12"/>
  <c r="L313" i="12"/>
  <c r="L301" i="12"/>
  <c r="L278" i="12"/>
  <c r="L269" i="12"/>
  <c r="L285" i="12"/>
  <c r="L282" i="12"/>
  <c r="L273" i="12"/>
  <c r="L265" i="12"/>
  <c r="L262" i="12"/>
  <c r="L257" i="12"/>
  <c r="L229" i="12"/>
  <c r="L227" i="12"/>
  <c r="L199" i="12"/>
  <c r="L173" i="12"/>
  <c r="L147" i="12"/>
  <c r="L144" i="12"/>
  <c r="L141" i="12"/>
  <c r="L126" i="12"/>
  <c r="L113" i="12"/>
  <c r="L78" i="12"/>
  <c r="L64" i="12"/>
  <c r="L55" i="12"/>
  <c r="L42" i="12"/>
  <c r="L9" i="12"/>
  <c r="L336" i="12"/>
  <c r="L296" i="12"/>
  <c r="L213" i="12"/>
  <c r="L275" i="12"/>
  <c r="J242" i="12"/>
  <c r="L176" i="12"/>
  <c r="L158" i="12"/>
  <c r="L258" i="12"/>
  <c r="L222" i="12"/>
  <c r="L218" i="12"/>
  <c r="L205" i="12"/>
  <c r="L200" i="12"/>
  <c r="J176" i="12"/>
  <c r="L152" i="12"/>
  <c r="L142" i="12"/>
  <c r="L134" i="12"/>
  <c r="L127" i="12"/>
  <c r="L119" i="12"/>
  <c r="J101" i="12"/>
  <c r="L57" i="12"/>
  <c r="J15" i="12"/>
  <c r="L339" i="12"/>
  <c r="L224" i="12"/>
  <c r="L333" i="12"/>
  <c r="L277" i="12"/>
  <c r="L221" i="12"/>
  <c r="L153" i="12"/>
  <c r="L150" i="12"/>
  <c r="L140" i="12"/>
  <c r="L137" i="12"/>
  <c r="L342" i="12"/>
  <c r="L255" i="12"/>
  <c r="L219" i="12"/>
  <c r="L206" i="12"/>
  <c r="L204" i="12"/>
  <c r="J182" i="12"/>
  <c r="J179" i="12"/>
  <c r="L129" i="12"/>
  <c r="L133" i="12"/>
  <c r="L121" i="12"/>
  <c r="L65" i="12"/>
  <c r="L395" i="9"/>
  <c r="L391" i="9"/>
  <c r="L387" i="9"/>
  <c r="L383" i="9"/>
  <c r="L379" i="9"/>
  <c r="L372" i="9"/>
  <c r="L226" i="12"/>
  <c r="L182" i="12"/>
  <c r="L161" i="12"/>
  <c r="L135" i="12"/>
  <c r="L125" i="12"/>
  <c r="L319" i="12"/>
  <c r="L274" i="12"/>
  <c r="N274" i="12" s="1"/>
  <c r="L149" i="12"/>
  <c r="L139" i="12"/>
  <c r="L122" i="12"/>
  <c r="L95" i="12"/>
  <c r="L71" i="12"/>
  <c r="L36" i="12"/>
  <c r="L31" i="12"/>
  <c r="L21" i="12"/>
  <c r="L280" i="12"/>
  <c r="L212" i="12"/>
  <c r="L124" i="12"/>
  <c r="L260" i="12"/>
  <c r="L162" i="12"/>
  <c r="L138" i="12"/>
  <c r="L120" i="12"/>
  <c r="L117" i="12"/>
  <c r="J94" i="12"/>
  <c r="L77" i="12"/>
  <c r="L303" i="12"/>
  <c r="L131" i="12"/>
  <c r="L159" i="12"/>
  <c r="L104" i="12"/>
  <c r="L33" i="12"/>
  <c r="J11" i="12"/>
  <c r="L393" i="9"/>
  <c r="L390" i="9"/>
  <c r="L370" i="9"/>
  <c r="B51" i="2"/>
  <c r="E39" i="2"/>
  <c r="E35" i="2"/>
  <c r="B28" i="2"/>
  <c r="B24" i="2"/>
  <c r="B19" i="2"/>
  <c r="B14" i="2"/>
  <c r="B10" i="2"/>
  <c r="L6" i="12"/>
  <c r="L375" i="9"/>
  <c r="L146" i="12"/>
  <c r="L38" i="12"/>
  <c r="L94" i="12"/>
  <c r="L59" i="12"/>
  <c r="L299" i="12"/>
  <c r="L101" i="12"/>
  <c r="L82" i="12"/>
  <c r="L148" i="12"/>
  <c r="L79" i="12"/>
  <c r="L62" i="12"/>
  <c r="L53" i="12"/>
  <c r="L8" i="12"/>
  <c r="L377" i="9"/>
  <c r="L369" i="9"/>
  <c r="L81" i="12"/>
  <c r="L15" i="12"/>
  <c r="J9" i="12"/>
  <c r="L385" i="9"/>
  <c r="L105" i="12"/>
  <c r="L56" i="12"/>
  <c r="L389" i="9"/>
  <c r="L384" i="9"/>
  <c r="J12" i="12"/>
  <c r="L388" i="9"/>
  <c r="L386" i="9"/>
  <c r="L381" i="9"/>
  <c r="L368" i="9"/>
  <c r="L130" i="12"/>
  <c r="L115" i="12"/>
  <c r="L40" i="12"/>
  <c r="L103" i="12"/>
  <c r="L392" i="9"/>
  <c r="L380" i="9"/>
  <c r="L376" i="9"/>
  <c r="L373" i="9"/>
  <c r="L366" i="9"/>
  <c r="L382" i="9"/>
  <c r="L371" i="9"/>
  <c r="L394" i="9"/>
  <c r="J10" i="12"/>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F497" i="12"/>
  <c r="AF492" i="12"/>
  <c r="AF494" i="12"/>
  <c r="AF470" i="12"/>
  <c r="AF421" i="12"/>
  <c r="AF498" i="12"/>
  <c r="AH498" i="12" s="1"/>
  <c r="AF493" i="12"/>
  <c r="AF462" i="12"/>
  <c r="AF454" i="12"/>
  <c r="AF457" i="12"/>
  <c r="AF456" i="12"/>
  <c r="AF495" i="12"/>
  <c r="AF463" i="12"/>
  <c r="AR463" i="12" s="1"/>
  <c r="AF458" i="12"/>
  <c r="AF459" i="12"/>
  <c r="AF449" i="12"/>
  <c r="AF461" i="12"/>
  <c r="AF460" i="12"/>
  <c r="AF496" i="12"/>
  <c r="AF455" i="12"/>
  <c r="J248" i="12"/>
  <c r="AF470" i="9"/>
  <c r="AH470" i="9" s="1"/>
  <c r="AI470" i="9" s="1"/>
  <c r="AF492" i="9"/>
  <c r="AH492" i="9" s="1"/>
  <c r="AI492" i="9" s="1"/>
  <c r="AF460" i="9"/>
  <c r="AH460" i="9" s="1"/>
  <c r="AI460" i="9" s="1"/>
  <c r="AF456" i="9"/>
  <c r="AH456" i="9" s="1"/>
  <c r="AI456" i="9" s="1"/>
  <c r="J245" i="12"/>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L49" i="12"/>
  <c r="L35" i="12"/>
  <c r="L48" i="12"/>
  <c r="H3" i="5"/>
  <c r="G3" i="3"/>
  <c r="F3" i="3"/>
  <c r="H3" i="3"/>
  <c r="D52" i="8"/>
  <c r="D58" i="8"/>
  <c r="D54" i="8"/>
  <c r="J299" i="12"/>
  <c r="J296" i="12"/>
  <c r="K173" i="12"/>
  <c r="J302" i="12"/>
  <c r="J303" i="12"/>
  <c r="K303" i="12" s="1"/>
  <c r="J300" i="12"/>
  <c r="K192" i="12"/>
  <c r="L193" i="12" s="1"/>
  <c r="K189" i="12"/>
  <c r="K176" i="12"/>
  <c r="J298" i="12"/>
  <c r="J313" i="12"/>
  <c r="K313" i="12" s="1"/>
  <c r="K248" i="12"/>
  <c r="J304" i="12"/>
  <c r="K304" i="12" s="1"/>
  <c r="K242" i="12"/>
  <c r="J309" i="12"/>
  <c r="K245" i="12"/>
  <c r="L93" i="12"/>
  <c r="L361" i="9"/>
  <c r="K182" i="12"/>
  <c r="K179" i="12"/>
  <c r="J308" i="12"/>
  <c r="J297" i="12"/>
  <c r="J301" i="12"/>
  <c r="J361" i="9"/>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2" i="9"/>
  <c r="E59" i="8"/>
  <c r="E47" i="8"/>
  <c r="E28" i="8"/>
  <c r="L50" i="12"/>
  <c r="L10" i="12"/>
  <c r="L37" i="12"/>
  <c r="L34" i="12"/>
  <c r="L80" i="12"/>
  <c r="L67" i="12"/>
  <c r="L22" i="12"/>
  <c r="D7" i="8"/>
  <c r="D11" i="8"/>
  <c r="D45" i="8"/>
  <c r="AO493" i="9"/>
  <c r="AO495" i="9"/>
  <c r="AO457" i="9"/>
  <c r="R245" i="9"/>
  <c r="R248" i="9"/>
  <c r="L68" i="12"/>
  <c r="E5" i="5"/>
  <c r="D28" i="8"/>
  <c r="D53" i="8"/>
  <c r="D57" i="8"/>
  <c r="D51" i="8"/>
  <c r="AF475" i="12"/>
  <c r="L45" i="12"/>
  <c r="L7" i="12"/>
  <c r="Y3" i="3"/>
  <c r="N3" i="5"/>
  <c r="Z3" i="3"/>
  <c r="X3" i="3"/>
  <c r="D24" i="8"/>
  <c r="D40" i="8"/>
  <c r="L13" i="9" l="1"/>
  <c r="D22" i="8"/>
  <c r="F109" i="9"/>
  <c r="Q99" i="12"/>
  <c r="S99" i="12" s="1"/>
  <c r="F99" i="12"/>
  <c r="N99" i="12" s="1"/>
  <c r="D99" i="12"/>
  <c r="E99" i="12" s="1"/>
  <c r="N75" i="9"/>
  <c r="S75" i="9"/>
  <c r="Q192" i="12" a="1"/>
  <c r="Q192" i="12" s="1"/>
  <c r="Q189" i="12" a="1"/>
  <c r="Q189" i="12" s="1"/>
  <c r="S189" i="12" s="1"/>
  <c r="D26" i="8"/>
  <c r="D113" i="9"/>
  <c r="L193" i="9"/>
  <c r="M192" i="9"/>
  <c r="K114" i="9"/>
  <c r="J114" i="9"/>
  <c r="AJ413" i="9"/>
  <c r="AL467" i="9"/>
  <c r="AK410" i="9"/>
  <c r="AL420" i="9"/>
  <c r="AJ410" i="9"/>
  <c r="AL434" i="9"/>
  <c r="AK412" i="9"/>
  <c r="AJ412" i="9"/>
  <c r="E267" i="9"/>
  <c r="AK411" i="9"/>
  <c r="AJ411" i="9"/>
  <c r="AL453" i="9"/>
  <c r="AL482" i="9"/>
  <c r="AK408" i="9" s="1"/>
  <c r="AK414" i="9"/>
  <c r="AJ414" i="9"/>
  <c r="AK415" i="9"/>
  <c r="AJ415" i="9"/>
  <c r="AK416" i="9"/>
  <c r="AJ416" i="9"/>
  <c r="E160" i="9"/>
  <c r="D160" i="9" s="1"/>
  <c r="N78" i="9"/>
  <c r="N160" i="9"/>
  <c r="N164" i="9" s="1"/>
  <c r="K160" i="9"/>
  <c r="J160" i="9" s="1"/>
  <c r="N82" i="9"/>
  <c r="N202" i="9"/>
  <c r="K202" i="9"/>
  <c r="N106" i="9"/>
  <c r="N107" i="9" s="1"/>
  <c r="L97" i="12"/>
  <c r="J97" i="12"/>
  <c r="K114" i="12" s="1"/>
  <c r="N118" i="9"/>
  <c r="K118" i="9"/>
  <c r="N119" i="9"/>
  <c r="K119" i="9"/>
  <c r="N117" i="9"/>
  <c r="K117" i="9"/>
  <c r="N115" i="9"/>
  <c r="K115" i="9"/>
  <c r="N116" i="9"/>
  <c r="K116" i="9"/>
  <c r="E136" i="9"/>
  <c r="AL462" i="12" a="1"/>
  <c r="AL462" i="12" s="1"/>
  <c r="AN462" i="12" s="1"/>
  <c r="AO462" i="12" s="1"/>
  <c r="AL458" i="12" a="1"/>
  <c r="AL458" i="12" s="1"/>
  <c r="AN458" i="12" s="1"/>
  <c r="AO458" i="12" s="1"/>
  <c r="AL454" i="12" a="1"/>
  <c r="AL454" i="12" s="1"/>
  <c r="AN454" i="12" s="1"/>
  <c r="AO454" i="12" s="1"/>
  <c r="Q264" i="12" a="1"/>
  <c r="Q264" i="12" s="1"/>
  <c r="S264" i="12" s="1"/>
  <c r="Q248" i="12" a="1"/>
  <c r="Q248" i="12" s="1"/>
  <c r="S249" i="12" s="1"/>
  <c r="P245" i="12" a="1"/>
  <c r="P245" i="12" s="1"/>
  <c r="Q223" i="12" a="1"/>
  <c r="Q223" i="12" s="1"/>
  <c r="Q219" i="12" a="1"/>
  <c r="Q219" i="12" s="1"/>
  <c r="S219" i="12" s="1"/>
  <c r="Q199" i="12" a="1"/>
  <c r="Q199" i="12" s="1"/>
  <c r="S199" i="12" s="1"/>
  <c r="AL481" i="12" a="1"/>
  <c r="AL481" i="12" s="1"/>
  <c r="Q395" i="12" a="1"/>
  <c r="Q395"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Q330" i="12" a="1"/>
  <c r="Q330" i="12" s="1"/>
  <c r="S330" i="12" s="1"/>
  <c r="Q326" i="12" a="1"/>
  <c r="Q326" i="12" s="1"/>
  <c r="S326" i="12" s="1"/>
  <c r="Q322" i="12" a="1"/>
  <c r="Q322" i="12" s="1"/>
  <c r="S322" i="12" s="1"/>
  <c r="Q313" i="12" a="1"/>
  <c r="Q313" i="12" s="1"/>
  <c r="Q308" i="12" a="1"/>
  <c r="Q308" i="12" s="1"/>
  <c r="S308" i="12" s="1"/>
  <c r="Q303" i="12" a="1"/>
  <c r="Q303" i="12" s="1"/>
  <c r="Q301" i="12" a="1"/>
  <c r="Q301" i="12" s="1"/>
  <c r="S301" i="12" s="1"/>
  <c r="Q299" i="12" a="1"/>
  <c r="Q299" i="12" s="1"/>
  <c r="S299" i="12" s="1"/>
  <c r="Q297" i="12" a="1"/>
  <c r="Q297" i="12" s="1"/>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Q215" i="12" a="1"/>
  <c r="Q215" i="12" s="1"/>
  <c r="S215" i="12" s="1"/>
  <c r="Q210" i="12" a="1"/>
  <c r="Q210" i="12" s="1"/>
  <c r="S210" i="12" s="1"/>
  <c r="Q206" i="12" a="1"/>
  <c r="Q206" i="12" s="1"/>
  <c r="S206" i="12" s="1"/>
  <c r="Q202" i="12" a="1"/>
  <c r="Q202" i="12" s="1"/>
  <c r="P179" i="12" a="1"/>
  <c r="P179" i="12" s="1"/>
  <c r="P176" i="12" a="1"/>
  <c r="P176" i="12" s="1"/>
  <c r="Q161" i="12" a="1"/>
  <c r="Q161" i="12" s="1"/>
  <c r="Q148" i="12" a="1"/>
  <c r="Q148" i="12" s="1"/>
  <c r="S148" i="12" s="1"/>
  <c r="Q139" i="12" a="1"/>
  <c r="Q139" i="12" s="1"/>
  <c r="S139" i="12" s="1"/>
  <c r="Q129" i="12" a="1"/>
  <c r="Q129" i="12" s="1"/>
  <c r="Q115" i="12" a="1"/>
  <c r="Q115" i="12" s="1"/>
  <c r="S115" i="12" s="1"/>
  <c r="Q105" i="12" a="1"/>
  <c r="Q105" i="12" s="1"/>
  <c r="S105" i="12" s="1"/>
  <c r="Q101" i="12" a="1"/>
  <c r="Q101" i="12" s="1"/>
  <c r="S101" i="12" s="1"/>
  <c r="Q80" i="12" a="1"/>
  <c r="Q80" i="12" s="1"/>
  <c r="S80" i="12" s="1"/>
  <c r="Q71" i="12" a="1"/>
  <c r="Q71" i="12" s="1"/>
  <c r="AL461" i="12" a="1"/>
  <c r="AL461" i="12" s="1"/>
  <c r="AN461" i="12" s="1"/>
  <c r="AO461" i="12" s="1"/>
  <c r="AL457" i="12" a="1"/>
  <c r="AL457" i="12" s="1"/>
  <c r="AO457" i="12" s="1"/>
  <c r="AL449" i="12" a="1"/>
  <c r="AL449" i="12" s="1"/>
  <c r="AN449" i="12" s="1"/>
  <c r="AO449" i="12" s="1"/>
  <c r="O313" i="12" a="1"/>
  <c r="O313" i="12" s="1"/>
  <c r="P313" i="12" s="1"/>
  <c r="O308" i="12" a="1"/>
  <c r="O308" i="12" s="1"/>
  <c r="R308" i="12" s="1"/>
  <c r="O303" i="12" a="1"/>
  <c r="O303" i="12" s="1"/>
  <c r="P303" i="12" s="1"/>
  <c r="O301" i="12" a="1"/>
  <c r="O301" i="12" s="1"/>
  <c r="R301" i="12" s="1"/>
  <c r="O299" i="12" a="1"/>
  <c r="O299" i="12" s="1"/>
  <c r="O297" i="12" a="1"/>
  <c r="O297" i="12" s="1"/>
  <c r="Q263" i="12" a="1"/>
  <c r="Q263" i="12" s="1"/>
  <c r="S263" i="12" s="1"/>
  <c r="O248" i="12" a="1"/>
  <c r="O248" i="12" s="1"/>
  <c r="R248" i="12" s="1"/>
  <c r="Q226" i="12" a="1"/>
  <c r="Q226" i="12" s="1"/>
  <c r="S226" i="12" s="1"/>
  <c r="Q222" i="12" a="1"/>
  <c r="Q222" i="12" s="1"/>
  <c r="P192" i="12" a="1"/>
  <c r="P192" i="12" s="1"/>
  <c r="Q182" i="12" a="1"/>
  <c r="Q182" i="12" s="1"/>
  <c r="S182" i="12" s="1"/>
  <c r="O179" i="12" a="1"/>
  <c r="O179" i="12" s="1"/>
  <c r="R179" i="12" s="1"/>
  <c r="O176" i="12" a="1"/>
  <c r="O176" i="12" s="1"/>
  <c r="R176" i="12" s="1"/>
  <c r="Q151" i="12" a="1"/>
  <c r="Q151" i="12" s="1"/>
  <c r="S151" i="12" s="1"/>
  <c r="Q145" i="12" a="1"/>
  <c r="Q145" i="12" s="1"/>
  <c r="S145" i="12" s="1"/>
  <c r="Q142" i="12" a="1"/>
  <c r="Q142" i="12" s="1"/>
  <c r="S142" i="12" s="1"/>
  <c r="Q131" i="12" a="1"/>
  <c r="Q131" i="12" s="1"/>
  <c r="S131" i="12" s="1"/>
  <c r="Q125" i="12" a="1"/>
  <c r="Q125" i="12" s="1"/>
  <c r="S125" i="12" s="1"/>
  <c r="Q121" i="12" a="1"/>
  <c r="Q121" i="12" s="1"/>
  <c r="S121" i="12" s="1"/>
  <c r="O105" i="12" a="1"/>
  <c r="O105" i="12" s="1"/>
  <c r="O101" i="12" a="1"/>
  <c r="O101" i="12" s="1"/>
  <c r="AL494" i="12" a="1"/>
  <c r="AL494" i="12" s="1"/>
  <c r="AN494" i="12" s="1"/>
  <c r="AO494" i="12" s="1"/>
  <c r="AL421" i="12" a="1"/>
  <c r="AL421" i="12" s="1"/>
  <c r="AN421" i="12" s="1"/>
  <c r="AO421" i="12" s="1"/>
  <c r="Q394" i="12" a="1"/>
  <c r="Q394" i="12" s="1"/>
  <c r="Q390" i="12" a="1"/>
  <c r="Q390" i="12" s="1"/>
  <c r="Q386" i="12" a="1"/>
  <c r="Q386" i="12" s="1"/>
  <c r="Q382" i="12" a="1"/>
  <c r="Q382" i="12" s="1"/>
  <c r="Q377" i="12" a="1"/>
  <c r="Q377" i="12" s="1"/>
  <c r="Q373" i="12" a="1"/>
  <c r="Q373" i="12" s="1"/>
  <c r="Q369" i="12" a="1"/>
  <c r="Q369" i="12" s="1"/>
  <c r="Q361" i="12" a="1"/>
  <c r="Q361" i="12" s="1"/>
  <c r="Q347" i="12" a="1"/>
  <c r="Q347" i="12" s="1"/>
  <c r="S347" i="12" s="1"/>
  <c r="Q343" i="12" a="1"/>
  <c r="Q343" i="12" s="1"/>
  <c r="S343" i="12" s="1"/>
  <c r="Q339" i="12" a="1"/>
  <c r="Q339" i="12" s="1"/>
  <c r="S339" i="12" s="1"/>
  <c r="Q334" i="12" a="1"/>
  <c r="Q334" i="12" s="1"/>
  <c r="S334" i="12" s="1"/>
  <c r="Q329" i="12" a="1"/>
  <c r="Q329" i="12" s="1"/>
  <c r="S329" i="12" s="1"/>
  <c r="Q325" i="12" a="1"/>
  <c r="Q325" i="12" s="1"/>
  <c r="S325" i="12" s="1"/>
  <c r="Q321" i="12" a="1"/>
  <c r="Q321" i="12" s="1"/>
  <c r="S321" i="12" s="1"/>
  <c r="Q284" i="12" a="1"/>
  <c r="Q284" i="12" s="1"/>
  <c r="S284" i="12" s="1"/>
  <c r="Q280" i="12" a="1"/>
  <c r="Q280" i="12" s="1"/>
  <c r="S280" i="12" s="1"/>
  <c r="Q276" i="12" a="1"/>
  <c r="Q276" i="12" s="1"/>
  <c r="S276" i="12" s="1"/>
  <c r="Q271" i="12" a="1"/>
  <c r="Q271" i="12" s="1"/>
  <c r="Q229" i="12" a="1"/>
  <c r="Q229" i="12" s="1"/>
  <c r="S229" i="12" s="1"/>
  <c r="Q218" i="12" a="1"/>
  <c r="Q218" i="12" s="1"/>
  <c r="AL441" i="12" s="1"/>
  <c r="AO441" i="12" s="1"/>
  <c r="Q214" i="12" a="1"/>
  <c r="Q214" i="12" s="1"/>
  <c r="S214" i="12" s="1"/>
  <c r="Q209" i="12" a="1"/>
  <c r="Q209" i="12" s="1"/>
  <c r="S209" i="12" s="1"/>
  <c r="Q205" i="12" a="1"/>
  <c r="Q205" i="12" s="1"/>
  <c r="S205" i="12" s="1"/>
  <c r="P182" i="12" a="1"/>
  <c r="P182" i="12" s="1"/>
  <c r="Q160" i="12" a="1"/>
  <c r="Q160" i="12" s="1"/>
  <c r="Q157" i="12" a="1"/>
  <c r="Q157" i="12" s="1"/>
  <c r="S157" i="12" s="1"/>
  <c r="Q134" i="12" a="1"/>
  <c r="Q134" i="12" s="1"/>
  <c r="S134" i="12" s="1"/>
  <c r="Q128" i="12" a="1"/>
  <c r="Q128" i="12" s="1"/>
  <c r="Q117" i="12" a="1"/>
  <c r="Q117" i="12" s="1"/>
  <c r="S117" i="12" s="1"/>
  <c r="Q114" i="12" a="1"/>
  <c r="Q114" i="12" s="1"/>
  <c r="S114" i="12" s="1"/>
  <c r="Q103" i="12" a="1"/>
  <c r="Q103" i="12" s="1"/>
  <c r="S103" i="12" s="1"/>
  <c r="Q96" i="12" a="1"/>
  <c r="Q96" i="12" s="1"/>
  <c r="S96" i="12" s="1"/>
  <c r="AL470" i="12" a="1"/>
  <c r="AL470" i="12" s="1"/>
  <c r="AN470" i="12" s="1"/>
  <c r="AO470" i="12" s="1"/>
  <c r="AL460" i="12" a="1"/>
  <c r="AL460" i="12" s="1"/>
  <c r="AN460" i="12" s="1"/>
  <c r="AO460" i="12" s="1"/>
  <c r="AL456" i="12" a="1"/>
  <c r="AL456" i="12" s="1"/>
  <c r="AN456" i="12" s="1"/>
  <c r="AO456" i="12" s="1"/>
  <c r="O361" i="12" a="1"/>
  <c r="O361" i="12" s="1"/>
  <c r="Q262" i="12" a="1"/>
  <c r="Q262" i="12" s="1"/>
  <c r="S262" i="12" s="1"/>
  <c r="Q259" i="12" a="1"/>
  <c r="Q259" i="12" s="1"/>
  <c r="S259" i="12" s="1"/>
  <c r="Q256" i="12" a="1"/>
  <c r="Q256" i="12" s="1"/>
  <c r="S256" i="12" s="1"/>
  <c r="Q225" i="12" a="1"/>
  <c r="Q225" i="12" s="1"/>
  <c r="Q221" i="12" a="1"/>
  <c r="Q221" i="12" s="1"/>
  <c r="S221" i="12" s="1"/>
  <c r="Q201" i="12" a="1"/>
  <c r="Q201" i="12" s="1"/>
  <c r="S201" i="12" s="1"/>
  <c r="O182" i="12" a="1"/>
  <c r="O182" i="12" s="1"/>
  <c r="R182" i="12" s="1"/>
  <c r="Q163" i="12" a="1"/>
  <c r="Q163" i="12" s="1"/>
  <c r="Q147" i="12" a="1"/>
  <c r="Q147" i="12" s="1"/>
  <c r="Q144" i="12" a="1"/>
  <c r="Q144" i="12" s="1"/>
  <c r="S144" i="12" s="1"/>
  <c r="Q141" i="12" a="1"/>
  <c r="Q141" i="12" s="1"/>
  <c r="S141" i="12" s="1"/>
  <c r="Q138" i="12" a="1"/>
  <c r="Q138" i="12" s="1"/>
  <c r="S138" i="12" s="1"/>
  <c r="Q124" i="12" a="1"/>
  <c r="Q124" i="12" s="1"/>
  <c r="Q120" i="12" a="1"/>
  <c r="Q120" i="12" s="1"/>
  <c r="S120" i="12" s="1"/>
  <c r="O103" i="12" a="1"/>
  <c r="O103" i="12" s="1"/>
  <c r="P103" i="12" s="1"/>
  <c r="AL493" i="12" a="1"/>
  <c r="AL493" i="12" s="1"/>
  <c r="AN493" i="12" s="1"/>
  <c r="AO493" i="12" s="1"/>
  <c r="Q393" i="12" a="1"/>
  <c r="Q393" i="12" s="1"/>
  <c r="Q389" i="12" a="1"/>
  <c r="Q389" i="12" s="1"/>
  <c r="Q385" i="12" a="1"/>
  <c r="Q385" i="12" s="1"/>
  <c r="Q381" i="12" a="1"/>
  <c r="Q381" i="12" s="1"/>
  <c r="Q376" i="12" a="1"/>
  <c r="Q376" i="12" s="1"/>
  <c r="Q372" i="12" a="1"/>
  <c r="Q372" i="12" s="1"/>
  <c r="Q368" i="12" a="1"/>
  <c r="Q368" i="12" s="1"/>
  <c r="Q346" i="12" a="1"/>
  <c r="Q346" i="12" s="1"/>
  <c r="Q342" i="12" a="1"/>
  <c r="Q342" i="12" s="1"/>
  <c r="S342" i="12" s="1"/>
  <c r="Q337" i="12" a="1"/>
  <c r="Q337" i="12" s="1"/>
  <c r="S337" i="12" s="1"/>
  <c r="Q333" i="12" a="1"/>
  <c r="Q333" i="12" s="1"/>
  <c r="S333" i="12" s="1"/>
  <c r="Q328" i="12" a="1"/>
  <c r="Q328" i="12" s="1"/>
  <c r="S328" i="12" s="1"/>
  <c r="Q324" i="12" a="1"/>
  <c r="Q324" i="12" s="1"/>
  <c r="Q320" i="12" a="1"/>
  <c r="Q320" i="12" s="1"/>
  <c r="S320" i="12" s="1"/>
  <c r="Q309" i="12" a="1"/>
  <c r="Q309" i="12" s="1"/>
  <c r="S309" i="12" s="1"/>
  <c r="Q304" i="12" a="1"/>
  <c r="Q304" i="12" s="1"/>
  <c r="S304" i="12" s="1"/>
  <c r="Q302" i="12" a="1"/>
  <c r="Q302" i="12" s="1"/>
  <c r="S302" i="12" s="1"/>
  <c r="Q300" i="12" a="1"/>
  <c r="Q300" i="12" s="1"/>
  <c r="S300" i="12" s="1"/>
  <c r="Q298" i="12" a="1"/>
  <c r="Q298" i="12" s="1"/>
  <c r="S298" i="12" s="1"/>
  <c r="Q296" i="12" a="1"/>
  <c r="Q296" i="12" s="1"/>
  <c r="S296" i="12" s="1"/>
  <c r="Q283" i="12" a="1"/>
  <c r="Q283" i="12" s="1"/>
  <c r="S283" i="12" s="1"/>
  <c r="Q279" i="12" a="1"/>
  <c r="Q279" i="12" s="1"/>
  <c r="S279" i="12" s="1"/>
  <c r="Q275" i="12" a="1"/>
  <c r="Q275" i="12" s="1"/>
  <c r="Q270" i="12" a="1"/>
  <c r="Q270" i="12" s="1"/>
  <c r="S270" i="12" s="1"/>
  <c r="Q265" i="12" a="1"/>
  <c r="Q265" i="12" s="1"/>
  <c r="S265" i="12" s="1"/>
  <c r="Q242" i="12" a="1"/>
  <c r="Q242" i="12" s="1"/>
  <c r="S242" i="12" s="1"/>
  <c r="Q228" i="12" a="1"/>
  <c r="Q228" i="12" s="1"/>
  <c r="S228" i="12" s="1"/>
  <c r="Q217" i="12" a="1"/>
  <c r="Q217" i="12" s="1"/>
  <c r="S217" i="12" s="1"/>
  <c r="Q213" i="12" a="1"/>
  <c r="Q213" i="12" s="1"/>
  <c r="S213" i="12" s="1"/>
  <c r="Q208" i="12" a="1"/>
  <c r="Q208" i="12" s="1"/>
  <c r="S208" i="12" s="1"/>
  <c r="Q204" i="12" a="1"/>
  <c r="Q204" i="12" s="1"/>
  <c r="S204" i="12" s="1"/>
  <c r="P189" i="12" a="1"/>
  <c r="P189" i="12" s="1"/>
  <c r="Q159" i="12" a="1"/>
  <c r="Q159" i="12" s="1"/>
  <c r="AL477" i="12" s="1"/>
  <c r="AO477" i="12" s="1"/>
  <c r="Q153" i="12" a="1"/>
  <c r="Q153" i="12" s="1"/>
  <c r="S153" i="12" s="1"/>
  <c r="Q150" i="12" a="1"/>
  <c r="Q150" i="12" s="1"/>
  <c r="Q130" i="12" a="1"/>
  <c r="Q130" i="12" s="1"/>
  <c r="S130" i="12" s="1"/>
  <c r="Q127" i="12" a="1"/>
  <c r="Q127" i="12" s="1"/>
  <c r="S127" i="12" s="1"/>
  <c r="AL463" i="12" a="1"/>
  <c r="AL463" i="12" s="1"/>
  <c r="AL459" i="12" a="1"/>
  <c r="AL459" i="12" s="1"/>
  <c r="AN459" i="12" s="1"/>
  <c r="AO459" i="12" s="1"/>
  <c r="AL455" i="12" a="1"/>
  <c r="AL455" i="12" s="1"/>
  <c r="AN455" i="12" s="1"/>
  <c r="AO455" i="12" s="1"/>
  <c r="O309" i="12" a="1"/>
  <c r="O309" i="12" s="1"/>
  <c r="R309" i="12" s="1"/>
  <c r="O304" i="12" a="1"/>
  <c r="O304" i="12" s="1"/>
  <c r="P304" i="12" s="1"/>
  <c r="O302" i="12" a="1"/>
  <c r="O302" i="12" s="1"/>
  <c r="P302" i="12" s="1"/>
  <c r="O300" i="12" a="1"/>
  <c r="O300" i="12" s="1"/>
  <c r="R300" i="12" s="1"/>
  <c r="O298" i="12" a="1"/>
  <c r="O298" i="12" s="1"/>
  <c r="R298" i="12" s="1"/>
  <c r="O296" i="12" a="1"/>
  <c r="O296" i="12" s="1"/>
  <c r="R296" i="12" s="1"/>
  <c r="Q255" i="12" a="1"/>
  <c r="Q255" i="12" s="1"/>
  <c r="S255" i="12" s="1"/>
  <c r="P242" i="12" a="1"/>
  <c r="P242" i="12" s="1"/>
  <c r="Q224" i="12" a="1"/>
  <c r="Q224" i="12" s="1"/>
  <c r="Q220" i="12" a="1"/>
  <c r="Q220" i="12" s="1"/>
  <c r="S220" i="12" s="1"/>
  <c r="Q200" i="12" a="1"/>
  <c r="Q200" i="12" s="1"/>
  <c r="S200" i="12" s="1"/>
  <c r="Q173" i="12" a="1"/>
  <c r="Q173" i="12" s="1"/>
  <c r="S173" i="12" s="1"/>
  <c r="Q162" i="12" a="1"/>
  <c r="Q162" i="12" s="1"/>
  <c r="S162" i="12" s="1"/>
  <c r="Q143" i="12" a="1"/>
  <c r="Q143" i="12" s="1"/>
  <c r="S143" i="12" s="1"/>
  <c r="Q140" i="12" a="1"/>
  <c r="Q140" i="12" s="1"/>
  <c r="S140" i="12" s="1"/>
  <c r="Q137" i="12" a="1"/>
  <c r="Q137" i="12" s="1"/>
  <c r="S137" i="12" s="1"/>
  <c r="Q133" i="12" a="1"/>
  <c r="Q133" i="12" s="1"/>
  <c r="S133" i="12" s="1"/>
  <c r="Q119" i="12" a="1"/>
  <c r="Q119" i="12" s="1"/>
  <c r="S119" i="12" s="1"/>
  <c r="Q116" i="12" a="1"/>
  <c r="Q116" i="12" s="1"/>
  <c r="S116" i="12" s="1"/>
  <c r="Q104" i="12" a="1"/>
  <c r="Q104" i="12" s="1"/>
  <c r="S104"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9" i="12" a="1"/>
  <c r="Q349" i="12" s="1"/>
  <c r="S349" i="12" s="1"/>
  <c r="Q345" i="12" a="1"/>
  <c r="Q345" i="12" s="1"/>
  <c r="S345" i="12" s="1"/>
  <c r="Q341" i="12" a="1"/>
  <c r="Q341" i="12" s="1"/>
  <c r="S341" i="12" s="1"/>
  <c r="Q336" i="12" a="1"/>
  <c r="Q336" i="12" s="1"/>
  <c r="S336" i="12" s="1"/>
  <c r="Q332" i="12" a="1"/>
  <c r="Q332" i="12" s="1"/>
  <c r="S332" i="12" s="1"/>
  <c r="Q258" i="12" a="1"/>
  <c r="Q258" i="12" s="1"/>
  <c r="S258" i="12" s="1"/>
  <c r="Q212" i="12" a="1"/>
  <c r="Q212" i="12" s="1"/>
  <c r="S212" i="12" s="1"/>
  <c r="Q152" i="12" a="1"/>
  <c r="Q152" i="12" s="1"/>
  <c r="S152" i="12" s="1"/>
  <c r="Q126" i="12" a="1"/>
  <c r="Q126" i="12" s="1"/>
  <c r="S126" i="12" s="1"/>
  <c r="Q113" i="12" a="1"/>
  <c r="Q113" i="12" s="1"/>
  <c r="S113" i="12" s="1"/>
  <c r="Q94" i="12" a="1"/>
  <c r="Q94" i="12" s="1"/>
  <c r="Q51" i="12" a="1"/>
  <c r="Q51" i="12" s="1"/>
  <c r="S51" i="12" s="1"/>
  <c r="Q45" i="12" a="1"/>
  <c r="Q45" i="12" s="1"/>
  <c r="S45" i="12" s="1"/>
  <c r="Q42" i="12" a="1"/>
  <c r="Q42" i="12" s="1"/>
  <c r="Q35" i="12" a="1"/>
  <c r="Q35" i="12" s="1"/>
  <c r="S35" i="12" s="1"/>
  <c r="Q327" i="12" a="1"/>
  <c r="Q327" i="12" s="1"/>
  <c r="S327" i="12" s="1"/>
  <c r="Q207" i="12" a="1"/>
  <c r="Q207" i="12" s="1"/>
  <c r="Q176" i="12" a="1"/>
  <c r="Q176"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3" i="12" a="1"/>
  <c r="Q323" i="12" s="1"/>
  <c r="S323" i="12" s="1"/>
  <c r="Q282" i="12" a="1"/>
  <c r="Q282" i="12" s="1"/>
  <c r="S282" i="12" s="1"/>
  <c r="Q245" i="12" a="1"/>
  <c r="Q245" i="12" s="1"/>
  <c r="S246" i="12" s="1"/>
  <c r="Q203" i="12" a="1"/>
  <c r="Q203" i="12" s="1"/>
  <c r="S203" i="12" s="1"/>
  <c r="P173" i="12" a="1"/>
  <c r="P173" i="12" s="1"/>
  <c r="Q149" i="12" a="1"/>
  <c r="Q149" i="12" s="1"/>
  <c r="S149" i="12" s="1"/>
  <c r="Q122" i="12" a="1"/>
  <c r="Q122" i="12" s="1"/>
  <c r="S122" i="12" s="1"/>
  <c r="Q76" i="12" a="1"/>
  <c r="Q76" i="12" s="1"/>
  <c r="AL473" i="12" s="1"/>
  <c r="AO473" i="12" s="1"/>
  <c r="Q60" i="12" a="1"/>
  <c r="Q60" i="12" s="1"/>
  <c r="S60" i="12" s="1"/>
  <c r="Q57" i="12" a="1"/>
  <c r="Q57" i="12" s="1"/>
  <c r="S57" i="12" s="1"/>
  <c r="Q15" i="12" a="1"/>
  <c r="Q15" i="12" s="1"/>
  <c r="S15" i="12" s="1"/>
  <c r="Q10" i="12" a="1"/>
  <c r="Q10" i="12" s="1"/>
  <c r="S10" i="12" s="1"/>
  <c r="O7" i="12" a="1"/>
  <c r="O7" i="12" s="1"/>
  <c r="R7" i="12" s="1"/>
  <c r="O10" i="12" a="1"/>
  <c r="O10" i="12" s="1"/>
  <c r="P10" i="12" s="1"/>
  <c r="Q319" i="12" a="1"/>
  <c r="Q319" i="12" s="1"/>
  <c r="S319" i="12" s="1"/>
  <c r="Q278" i="12" a="1"/>
  <c r="Q278" i="12" s="1"/>
  <c r="S278" i="12" s="1"/>
  <c r="O242" i="12" a="1"/>
  <c r="O242" i="12" s="1"/>
  <c r="R242" i="12" s="1"/>
  <c r="O173" i="12" a="1"/>
  <c r="O173" i="12" s="1"/>
  <c r="R173" i="12" s="1"/>
  <c r="Q135" i="12" a="1"/>
  <c r="Q135" i="12" s="1"/>
  <c r="S135"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3" i="12" a="1"/>
  <c r="Q273" i="12" s="1"/>
  <c r="S273" i="12" s="1"/>
  <c r="Q227" i="12" a="1"/>
  <c r="Q227" i="12" s="1"/>
  <c r="S227" i="12" s="1"/>
  <c r="O104" i="12" a="1"/>
  <c r="O104" i="12" s="1"/>
  <c r="P104"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O15" i="12" a="1"/>
  <c r="O15" i="12" s="1"/>
  <c r="R15" i="12" s="1"/>
  <c r="Q269" i="12" a="1"/>
  <c r="Q269" i="12" s="1"/>
  <c r="S269" i="12" s="1"/>
  <c r="Q185" i="12" a="1"/>
  <c r="Q185" i="12" s="1"/>
  <c r="S185" i="12" s="1"/>
  <c r="Q146" i="12" a="1"/>
  <c r="Q146" i="12" s="1"/>
  <c r="S146" i="12" s="1"/>
  <c r="Q132" i="12" a="1"/>
  <c r="Q132" i="12" s="1"/>
  <c r="S132" i="12" s="1"/>
  <c r="Q118" i="12" a="1"/>
  <c r="Q118" i="12" s="1"/>
  <c r="S118" i="12" s="1"/>
  <c r="Q82" i="12" a="1"/>
  <c r="Q82" i="12" s="1"/>
  <c r="Q78" i="12" a="1"/>
  <c r="Q78" i="12" s="1"/>
  <c r="AL471" i="12" s="1"/>
  <c r="Q56" i="12" a="1"/>
  <c r="Q56" i="12" s="1"/>
  <c r="S56" i="12" s="1"/>
  <c r="Q49" i="12" a="1"/>
  <c r="Q49" i="12" s="1"/>
  <c r="Q46" i="12" a="1"/>
  <c r="Q46" i="12" s="1"/>
  <c r="S46" i="12" s="1"/>
  <c r="Q36" i="12" a="1"/>
  <c r="Q36" i="12" s="1"/>
  <c r="S36"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2" i="12" a="1"/>
  <c r="Q12" i="12" s="1"/>
  <c r="S12" i="12" s="1"/>
  <c r="O12" i="12" a="1"/>
  <c r="O12" i="12" s="1"/>
  <c r="P12" i="12" s="1"/>
  <c r="Q261" i="12" a="1"/>
  <c r="Q261" i="12" s="1"/>
  <c r="S261" i="12" s="1"/>
  <c r="Q216" i="12" a="1"/>
  <c r="Q216" i="12" s="1"/>
  <c r="S216" i="12" s="1"/>
  <c r="Q179" i="12" a="1"/>
  <c r="Q179" i="12" s="1"/>
  <c r="Q158" i="12" a="1"/>
  <c r="Q158" i="12" s="1"/>
  <c r="AL476" i="12" s="1"/>
  <c r="AO476" i="12" s="1"/>
  <c r="O95" i="12" a="1"/>
  <c r="O95" i="12" s="1"/>
  <c r="R95" i="12" s="1"/>
  <c r="Q81" i="12" a="1"/>
  <c r="Q81" i="12" s="1"/>
  <c r="S81" i="12" s="1"/>
  <c r="Q77" i="12" a="1"/>
  <c r="Q77" i="12" s="1"/>
  <c r="AL474" i="12" s="1"/>
  <c r="AO474"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7" i="12" a="1"/>
  <c r="AL497" i="12" s="1"/>
  <c r="AL495" i="12" a="1"/>
  <c r="AL495" i="12" s="1"/>
  <c r="AO495" i="12" s="1"/>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L367" i="12"/>
  <c r="S367" i="12" s="1"/>
  <c r="N114" i="9"/>
  <c r="N32" i="9"/>
  <c r="J113" i="9"/>
  <c r="L376" i="12"/>
  <c r="L369" i="12"/>
  <c r="L379" i="12"/>
  <c r="AF435" i="12" s="1"/>
  <c r="L384" i="12"/>
  <c r="L375" i="12"/>
  <c r="L385" i="12"/>
  <c r="L393" i="12"/>
  <c r="S393" i="12" s="1"/>
  <c r="L383" i="12"/>
  <c r="L374" i="12"/>
  <c r="L366" i="12"/>
  <c r="AF422" i="12" s="1"/>
  <c r="L390" i="12"/>
  <c r="J361" i="12"/>
  <c r="L373" i="12"/>
  <c r="L380" i="12"/>
  <c r="L394" i="12"/>
  <c r="L388" i="12"/>
  <c r="L381" i="12"/>
  <c r="L389" i="12"/>
  <c r="L377" i="12"/>
  <c r="S377" i="12" s="1"/>
  <c r="L370" i="12"/>
  <c r="L382" i="12"/>
  <c r="L395" i="12"/>
  <c r="L368" i="12"/>
  <c r="L371" i="12"/>
  <c r="L387" i="12"/>
  <c r="L386" i="12"/>
  <c r="L392" i="12"/>
  <c r="L372" i="12"/>
  <c r="L391"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13" i="9"/>
  <c r="J24" i="9" s="1"/>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V177" i="12"/>
  <c r="L72" i="12"/>
  <c r="S147" i="12"/>
  <c r="J186" i="12"/>
  <c r="S266" i="12"/>
  <c r="S338" i="12"/>
  <c r="D21" i="8"/>
  <c r="D27" i="8" s="1"/>
  <c r="D30" i="8"/>
  <c r="R309" i="9"/>
  <c r="R299" i="12"/>
  <c r="E11" i="8"/>
  <c r="D64" i="8"/>
  <c r="E40" i="8"/>
  <c r="E38" i="8"/>
  <c r="R303" i="9"/>
  <c r="R299" i="9"/>
  <c r="AF413" i="12"/>
  <c r="AF416" i="12"/>
  <c r="E44" i="8"/>
  <c r="U51" i="12"/>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F440" i="9"/>
  <c r="AH440" i="9" s="1"/>
  <c r="AI440" i="9" s="1"/>
  <c r="S256" i="9"/>
  <c r="R8" i="9"/>
  <c r="S135" i="9"/>
  <c r="S322" i="9"/>
  <c r="S80" i="9"/>
  <c r="S324" i="9"/>
  <c r="S48" i="9"/>
  <c r="S263" i="9"/>
  <c r="S38" i="9"/>
  <c r="S182" i="9"/>
  <c r="S283" i="9"/>
  <c r="AF412" i="12"/>
  <c r="L41" i="12"/>
  <c r="AF410" i="12"/>
  <c r="L331" i="12"/>
  <c r="S11" i="9"/>
  <c r="S203" i="9"/>
  <c r="S323" i="9"/>
  <c r="S395" i="9"/>
  <c r="S66" i="9"/>
  <c r="AF447" i="9"/>
  <c r="AH447" i="9" s="1"/>
  <c r="AI447" i="9" s="1"/>
  <c r="S140" i="9"/>
  <c r="S148" i="9"/>
  <c r="S201" i="9"/>
  <c r="K15" i="12"/>
  <c r="L186" i="12"/>
  <c r="L174" i="12"/>
  <c r="L180" i="12"/>
  <c r="L190" i="12"/>
  <c r="S282" i="9"/>
  <c r="S150" i="9"/>
  <c r="E51" i="8"/>
  <c r="E57" i="8"/>
  <c r="R296" i="9"/>
  <c r="R301" i="9"/>
  <c r="E53" i="8"/>
  <c r="AO441" i="9"/>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U50" i="12"/>
  <c r="E45" i="8"/>
  <c r="S246" i="9"/>
  <c r="D4" i="8"/>
  <c r="D43" i="8"/>
  <c r="D46" i="8" s="1"/>
  <c r="C54" i="8"/>
  <c r="V176" i="12"/>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AF472" i="9"/>
  <c r="AH472" i="9" s="1"/>
  <c r="AI472" i="9" s="1"/>
  <c r="S340" i="9"/>
  <c r="S57" i="9"/>
  <c r="AF437" i="9"/>
  <c r="AH437" i="9" s="1"/>
  <c r="AI437" i="9" s="1"/>
  <c r="S189" i="9"/>
  <c r="S337" i="9"/>
  <c r="AF477" i="12"/>
  <c r="S71" i="12"/>
  <c r="S22" i="9"/>
  <c r="S218" i="9"/>
  <c r="AF441" i="9"/>
  <c r="AH441" i="9" s="1"/>
  <c r="S345" i="9"/>
  <c r="L267" i="12"/>
  <c r="AF449" i="9"/>
  <c r="AH449" i="9" s="1"/>
  <c r="AI449" i="9" s="1"/>
  <c r="S142" i="9"/>
  <c r="S269" i="9"/>
  <c r="K101" i="12"/>
  <c r="V208" i="12"/>
  <c r="S297" i="12"/>
  <c r="R304" i="9"/>
  <c r="S249" i="9"/>
  <c r="E7" i="8"/>
  <c r="U52" i="12"/>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S275" i="12"/>
  <c r="AF471" i="12"/>
  <c r="L211" i="12"/>
  <c r="K95" i="12"/>
  <c r="S202" i="12"/>
  <c r="V207" i="12"/>
  <c r="S207" i="12"/>
  <c r="R361" i="9"/>
  <c r="E58" i="8"/>
  <c r="E52" i="8"/>
  <c r="R298" i="9"/>
  <c r="R173" i="9"/>
  <c r="AO450" i="9"/>
  <c r="AO480" i="9"/>
  <c r="AO426" i="9"/>
  <c r="AO427" i="9"/>
  <c r="AO452" i="9"/>
  <c r="AO479" i="9"/>
  <c r="AO428" i="9"/>
  <c r="AO451"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161" i="12"/>
  <c r="S76" i="9"/>
  <c r="AF473" i="9"/>
  <c r="AH473" i="9" s="1"/>
  <c r="AI473" i="9" s="1"/>
  <c r="S372" i="9"/>
  <c r="U133" i="12"/>
  <c r="S224" i="12"/>
  <c r="S143" i="9"/>
  <c r="S151" i="9"/>
  <c r="S270" i="9"/>
  <c r="AF441" i="12"/>
  <c r="L305" i="12"/>
  <c r="L123" i="12"/>
  <c r="S324" i="12"/>
  <c r="S223" i="12"/>
  <c r="V209" i="12"/>
  <c r="AR475" i="12"/>
  <c r="E41" i="8"/>
  <c r="K6" i="12"/>
  <c r="J13" i="12"/>
  <c r="J24" i="12" s="1"/>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S129" i="12"/>
  <c r="L154" i="12"/>
  <c r="S144" i="9"/>
  <c r="S152" i="9"/>
  <c r="S271" i="9"/>
  <c r="S222" i="12"/>
  <c r="U132" i="12"/>
  <c r="S225" i="12"/>
  <c r="L286" i="12"/>
  <c r="K286" i="12" s="1"/>
  <c r="S335" i="12"/>
  <c r="S128" i="12"/>
  <c r="L249" i="12"/>
  <c r="S248"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U134" i="12"/>
  <c r="S313" i="12"/>
  <c r="R313" i="12" s="1"/>
  <c r="L243" i="12"/>
  <c r="S271"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S163" i="12"/>
  <c r="L350" i="12"/>
  <c r="F401" i="9" l="1"/>
  <c r="AJ434" i="9"/>
  <c r="AK434" i="9"/>
  <c r="AK420" i="9"/>
  <c r="AJ467" i="9"/>
  <c r="AK467" i="9"/>
  <c r="AJ453" i="9"/>
  <c r="AK453" i="9"/>
  <c r="D65" i="8"/>
  <c r="L109" i="12"/>
  <c r="P105" i="12"/>
  <c r="S372" i="12"/>
  <c r="Q193" i="12"/>
  <c r="S391" i="12"/>
  <c r="S94" i="12"/>
  <c r="S97" i="12" s="1"/>
  <c r="Q97" i="12"/>
  <c r="Z481" i="12"/>
  <c r="R302" i="12"/>
  <c r="S245" i="12"/>
  <c r="S371" i="12"/>
  <c r="S387" i="12"/>
  <c r="S381" i="12"/>
  <c r="R303" i="12"/>
  <c r="Q180" i="12"/>
  <c r="S179" i="12"/>
  <c r="S389" i="12"/>
  <c r="S390" i="12"/>
  <c r="R304" i="12"/>
  <c r="S395" i="12"/>
  <c r="S382" i="12"/>
  <c r="N83" i="9"/>
  <c r="P301" i="12"/>
  <c r="AN497" i="12"/>
  <c r="AO497" i="12" s="1"/>
  <c r="AH481" i="9"/>
  <c r="AI481" i="9" s="1"/>
  <c r="AD481" i="9"/>
  <c r="S369" i="12"/>
  <c r="S218" i="12"/>
  <c r="S373" i="12"/>
  <c r="S392" i="12"/>
  <c r="AL429" i="12"/>
  <c r="S386" i="12"/>
  <c r="S384" i="12"/>
  <c r="S159" i="12"/>
  <c r="Q177" i="12"/>
  <c r="S383" i="12"/>
  <c r="S394" i="12"/>
  <c r="P299" i="12"/>
  <c r="F177" i="12"/>
  <c r="S77" i="12"/>
  <c r="P309" i="12"/>
  <c r="P101" i="12"/>
  <c r="S380" i="12"/>
  <c r="Z432" i="12"/>
  <c r="AL432" i="12"/>
  <c r="AL446" i="12"/>
  <c r="P297" i="12"/>
  <c r="AJ420" i="9"/>
  <c r="AL469" i="9"/>
  <c r="AK469" i="9" s="1"/>
  <c r="E15" i="12"/>
  <c r="K116" i="12"/>
  <c r="K117" i="12"/>
  <c r="Z429" i="12"/>
  <c r="E109" i="9"/>
  <c r="O186" i="12"/>
  <c r="R186" i="12" s="1"/>
  <c r="S158" i="12"/>
  <c r="AN496" i="12"/>
  <c r="AO496" i="12" s="1"/>
  <c r="R297" i="12"/>
  <c r="S176" i="12"/>
  <c r="S374" i="12"/>
  <c r="AN495" i="12"/>
  <c r="AH441" i="12"/>
  <c r="AN498" i="12"/>
  <c r="AO498" i="12" s="1"/>
  <c r="S385" i="12"/>
  <c r="S368" i="12"/>
  <c r="E297" i="12"/>
  <c r="E299" i="12"/>
  <c r="R12" i="12"/>
  <c r="R101" i="12"/>
  <c r="S370" i="12"/>
  <c r="E154" i="9"/>
  <c r="R10" i="12"/>
  <c r="E301" i="12"/>
  <c r="AL438" i="12"/>
  <c r="S65" i="12"/>
  <c r="S72" i="12" s="1"/>
  <c r="S49" i="12"/>
  <c r="S54" i="12" s="1"/>
  <c r="S375" i="12"/>
  <c r="R9" i="12"/>
  <c r="S76" i="12"/>
  <c r="AL442" i="12"/>
  <c r="R8" i="12"/>
  <c r="R11" i="12"/>
  <c r="S376" i="12"/>
  <c r="E156" i="9"/>
  <c r="N218" i="12"/>
  <c r="Z430" i="12"/>
  <c r="E308" i="12"/>
  <c r="AL437" i="12"/>
  <c r="Z449" i="12"/>
  <c r="S78" i="12"/>
  <c r="S388" i="12"/>
  <c r="E123" i="9"/>
  <c r="AL448" i="12"/>
  <c r="K119" i="12"/>
  <c r="K115" i="12"/>
  <c r="K118" i="12"/>
  <c r="K113" i="12"/>
  <c r="R97" i="9"/>
  <c r="R97" i="12"/>
  <c r="N123" i="9"/>
  <c r="K123" i="9"/>
  <c r="AL443" i="12"/>
  <c r="AL445" i="12"/>
  <c r="AL436" i="12"/>
  <c r="P300" i="12"/>
  <c r="P308" i="12"/>
  <c r="P96" i="12"/>
  <c r="R96" i="12"/>
  <c r="Q331" i="12"/>
  <c r="S331" i="12" s="1"/>
  <c r="F24" i="12"/>
  <c r="F183" i="12"/>
  <c r="AL444" i="12"/>
  <c r="AL424" i="12"/>
  <c r="AL447" i="12"/>
  <c r="Z423" i="12"/>
  <c r="P94" i="12"/>
  <c r="E94" i="12"/>
  <c r="P7" i="12"/>
  <c r="Z424" i="12"/>
  <c r="Z437" i="12"/>
  <c r="Z436" i="12"/>
  <c r="Z440" i="12"/>
  <c r="Z438" i="12"/>
  <c r="D10" i="8"/>
  <c r="Z444" i="12"/>
  <c r="E101" i="12"/>
  <c r="P298" i="12"/>
  <c r="AL423" i="12"/>
  <c r="Z425" i="12"/>
  <c r="AL425" i="12"/>
  <c r="Q350" i="12"/>
  <c r="Z439" i="12"/>
  <c r="AL431" i="12"/>
  <c r="Z445" i="12"/>
  <c r="Z446" i="12"/>
  <c r="F154" i="12"/>
  <c r="Z448" i="12"/>
  <c r="F83" i="12"/>
  <c r="Z473" i="12"/>
  <c r="F363" i="12"/>
  <c r="E361" i="12"/>
  <c r="Z475" i="12"/>
  <c r="F164" i="12"/>
  <c r="Z467" i="12"/>
  <c r="E300" i="12"/>
  <c r="AL435" i="12"/>
  <c r="Q72" i="12"/>
  <c r="Q13" i="12"/>
  <c r="AL415" i="12"/>
  <c r="AN415" i="12" s="1"/>
  <c r="AO415" i="12" s="1"/>
  <c r="AL439" i="12"/>
  <c r="AL472" i="12"/>
  <c r="Q83" i="12"/>
  <c r="AL411" i="12"/>
  <c r="Q123" i="12"/>
  <c r="Q267" i="12"/>
  <c r="S267" i="12" s="1"/>
  <c r="O363" i="12"/>
  <c r="R361" i="12"/>
  <c r="S243" i="9"/>
  <c r="E6" i="12"/>
  <c r="F13" i="12"/>
  <c r="F136" i="12"/>
  <c r="F186" i="12"/>
  <c r="F174" i="12"/>
  <c r="AL410" i="12"/>
  <c r="AN410" i="12" s="1"/>
  <c r="AO410" i="12" s="1"/>
  <c r="Q41" i="12"/>
  <c r="S41" i="12" s="1"/>
  <c r="P186" i="12"/>
  <c r="P195" i="12" s="1"/>
  <c r="P175" i="12"/>
  <c r="O305" i="12"/>
  <c r="R305" i="12" s="1"/>
  <c r="P296" i="12"/>
  <c r="Q190" i="12"/>
  <c r="Q183" i="12"/>
  <c r="Q396" i="12"/>
  <c r="P396" i="12" s="1"/>
  <c r="F123" i="12"/>
  <c r="Z412" i="12"/>
  <c r="F97" i="12"/>
  <c r="AL416" i="12"/>
  <c r="AN416" i="12" s="1"/>
  <c r="AO416" i="12" s="1"/>
  <c r="Q136" i="12"/>
  <c r="S136" i="12" s="1"/>
  <c r="AL475" i="12"/>
  <c r="AO475" i="12" s="1"/>
  <c r="Q164" i="12"/>
  <c r="P251" i="12"/>
  <c r="Z479" i="12"/>
  <c r="Z452" i="12"/>
  <c r="Z427" i="12"/>
  <c r="Z417" i="12"/>
  <c r="Z451" i="12"/>
  <c r="Z426" i="12"/>
  <c r="Z450" i="12"/>
  <c r="Z433" i="12"/>
  <c r="Z419" i="12"/>
  <c r="Z480" i="12"/>
  <c r="Z428" i="12"/>
  <c r="Z418" i="12"/>
  <c r="E7" i="12"/>
  <c r="Z411" i="12"/>
  <c r="E96" i="12"/>
  <c r="F180" i="12"/>
  <c r="E251" i="12"/>
  <c r="F378" i="12"/>
  <c r="F211" i="12"/>
  <c r="E309" i="12"/>
  <c r="P15" i="12"/>
  <c r="Q251" i="12"/>
  <c r="S251" i="12" s="1"/>
  <c r="S252" i="12" s="1"/>
  <c r="Q246" i="12"/>
  <c r="AL414" i="12"/>
  <c r="AN414" i="12" s="1"/>
  <c r="AO414" i="12" s="1"/>
  <c r="Q230" i="12"/>
  <c r="Q186" i="12"/>
  <c r="Q174" i="12"/>
  <c r="Q305" i="12"/>
  <c r="Q310" i="12" s="1"/>
  <c r="Q315" i="12" s="1"/>
  <c r="Q249" i="12"/>
  <c r="Z410" i="12"/>
  <c r="F41" i="12"/>
  <c r="Z414" i="12"/>
  <c r="Z422" i="12"/>
  <c r="F54" i="12"/>
  <c r="F72" i="12"/>
  <c r="Z435" i="12"/>
  <c r="F106" i="12"/>
  <c r="F190" i="12"/>
  <c r="F249" i="12"/>
  <c r="F331" i="12"/>
  <c r="F193" i="12"/>
  <c r="AL440" i="12"/>
  <c r="AL422" i="12"/>
  <c r="Q54" i="12"/>
  <c r="Q286" i="12"/>
  <c r="Z413" i="12"/>
  <c r="F267" i="12"/>
  <c r="F251" i="12"/>
  <c r="F246" i="12"/>
  <c r="F230" i="12"/>
  <c r="P6" i="12"/>
  <c r="O13" i="12"/>
  <c r="Q24" i="12"/>
  <c r="S24" i="12" s="1"/>
  <c r="S25" i="12" s="1"/>
  <c r="Q243" i="12"/>
  <c r="Q106" i="12"/>
  <c r="O114" i="12" s="1"/>
  <c r="Q363" i="12"/>
  <c r="P361" i="12"/>
  <c r="AL467" i="12"/>
  <c r="F305" i="12"/>
  <c r="F310" i="12" s="1"/>
  <c r="F315" i="12" s="1"/>
  <c r="Z442" i="12"/>
  <c r="E95" i="12"/>
  <c r="D97" i="12"/>
  <c r="E122" i="12" s="1"/>
  <c r="F396" i="12"/>
  <c r="E396" i="12" s="1"/>
  <c r="D305" i="12"/>
  <c r="E296" i="12"/>
  <c r="AL413" i="12"/>
  <c r="AL430" i="12"/>
  <c r="Q378" i="12"/>
  <c r="Z415" i="12"/>
  <c r="Z443" i="12"/>
  <c r="Z416" i="12"/>
  <c r="D13" i="12"/>
  <c r="Z447" i="12"/>
  <c r="Z431" i="12"/>
  <c r="D186" i="12"/>
  <c r="E186" i="12"/>
  <c r="E195" i="12" s="1"/>
  <c r="E175" i="12"/>
  <c r="F286" i="12"/>
  <c r="F243" i="12"/>
  <c r="E298" i="12"/>
  <c r="F350" i="12"/>
  <c r="P95" i="12"/>
  <c r="O97" i="12"/>
  <c r="P120" i="12" s="1"/>
  <c r="AL412" i="12"/>
  <c r="Q154" i="12"/>
  <c r="S154" i="12" s="1"/>
  <c r="Q211" i="12"/>
  <c r="S211" i="12" s="1"/>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M110" i="9" s="1"/>
  <c r="S109" i="9"/>
  <c r="S110" i="9" s="1"/>
  <c r="S106" i="9"/>
  <c r="S107" i="9" s="1"/>
  <c r="M106" i="9"/>
  <c r="L110" i="9"/>
  <c r="N109" i="9"/>
  <c r="N110" i="9" s="1"/>
  <c r="S150" i="12"/>
  <c r="AF423" i="12"/>
  <c r="AF440" i="12"/>
  <c r="S346" i="12"/>
  <c r="S350" i="12" s="1"/>
  <c r="S346" i="9"/>
  <c r="S350" i="9" s="1"/>
  <c r="AF442" i="12"/>
  <c r="AF436" i="12"/>
  <c r="AF437" i="12"/>
  <c r="AF446" i="12"/>
  <c r="AF425" i="12"/>
  <c r="AF430" i="12"/>
  <c r="AF432" i="12"/>
  <c r="AR432" i="12" s="1"/>
  <c r="AF447" i="12"/>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L361" i="12"/>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AO419" i="9"/>
  <c r="AO417" i="9"/>
  <c r="E64" i="8"/>
  <c r="F15" i="8"/>
  <c r="H15" i="8" s="1"/>
  <c r="AN412" i="9"/>
  <c r="AO412" i="9" s="1"/>
  <c r="AE412" i="9"/>
  <c r="AG412" i="9" s="1"/>
  <c r="S363" i="9"/>
  <c r="AN447" i="9"/>
  <c r="AO447" i="9" s="1"/>
  <c r="AN467" i="12"/>
  <c r="D39" i="8"/>
  <c r="E4" i="8"/>
  <c r="AN446" i="9"/>
  <c r="AO446" i="9" s="1"/>
  <c r="AN450" i="9"/>
  <c r="AN428" i="9"/>
  <c r="AN451" i="9"/>
  <c r="AN424" i="9"/>
  <c r="AO424" i="9" s="1"/>
  <c r="F40" i="8"/>
  <c r="H40" i="8" s="1"/>
  <c r="G40" i="8"/>
  <c r="I40" i="8" s="1"/>
  <c r="R13" i="9"/>
  <c r="R14" i="9" s="1"/>
  <c r="AE481" i="9"/>
  <c r="S396" i="9"/>
  <c r="C5" i="8"/>
  <c r="AN441" i="12"/>
  <c r="AR441" i="12"/>
  <c r="S251" i="9"/>
  <c r="S252" i="9" s="1"/>
  <c r="L252" i="12"/>
  <c r="R363" i="9"/>
  <c r="AR481" i="12"/>
  <c r="F47" i="8"/>
  <c r="H47" i="8" s="1"/>
  <c r="G47" i="8"/>
  <c r="I47" i="8" s="1"/>
  <c r="R305" i="9"/>
  <c r="L195" i="12"/>
  <c r="L187" i="12"/>
  <c r="L352" i="12"/>
  <c r="AN440" i="9"/>
  <c r="AO440" i="9" s="1"/>
  <c r="E66" i="8"/>
  <c r="AN478" i="9"/>
  <c r="AO478" i="9" s="1"/>
  <c r="AN452" i="9"/>
  <c r="AE414" i="9"/>
  <c r="AG414" i="9" s="1"/>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O418" i="9"/>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18" i="9"/>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W177" i="12"/>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N417" i="9"/>
  <c r="AE417" i="9"/>
  <c r="AG417" i="9" s="1"/>
  <c r="F32" i="8"/>
  <c r="H32" i="8" s="1"/>
  <c r="K378" i="9"/>
  <c r="L398" i="9"/>
  <c r="S378" i="9"/>
  <c r="G24" i="8"/>
  <c r="I24" i="8" s="1"/>
  <c r="F24" i="8"/>
  <c r="H24" i="8" s="1"/>
  <c r="C21" i="8"/>
  <c r="E5" i="8"/>
  <c r="L232" i="12"/>
  <c r="AE415" i="9"/>
  <c r="AG415" i="9" s="1"/>
  <c r="C64" i="8"/>
  <c r="AN415" i="9"/>
  <c r="AO415" i="9" s="1"/>
  <c r="J31" i="12"/>
  <c r="AN426" i="9"/>
  <c r="AN419" i="9"/>
  <c r="AE419" i="9"/>
  <c r="AG419" i="9" s="1"/>
  <c r="AN442" i="9"/>
  <c r="AO442" i="9" s="1"/>
  <c r="AN411" i="9"/>
  <c r="AO411" i="9" s="1"/>
  <c r="AE411" i="9"/>
  <c r="AG411" i="9" s="1"/>
  <c r="AF420" i="9"/>
  <c r="AN410" i="9"/>
  <c r="AO410" i="9" s="1"/>
  <c r="AE410" i="9"/>
  <c r="AG410" i="9" s="1"/>
  <c r="F57" i="8"/>
  <c r="H57" i="8" s="1"/>
  <c r="G57" i="8"/>
  <c r="I57" i="8" s="1"/>
  <c r="AN471" i="9"/>
  <c r="AO471" i="9" s="1"/>
  <c r="S123" i="9"/>
  <c r="C30" i="8"/>
  <c r="AN416" i="9"/>
  <c r="AO416" i="9" s="1"/>
  <c r="AE416" i="9"/>
  <c r="AG416" i="9" s="1"/>
  <c r="C66" i="8"/>
  <c r="AN413" i="9"/>
  <c r="AO413" i="9" s="1"/>
  <c r="AE413" i="9"/>
  <c r="AG413" i="9" s="1"/>
  <c r="AF434" i="9"/>
  <c r="AN475" i="9"/>
  <c r="AO475" i="9" s="1"/>
  <c r="E13" i="8"/>
  <c r="AN477" i="9"/>
  <c r="AE416" i="12"/>
  <c r="AR416" i="12"/>
  <c r="AR435" i="12"/>
  <c r="S24" i="9"/>
  <c r="S25" i="9" s="1"/>
  <c r="C9" i="8"/>
  <c r="C12" i="8" s="1"/>
  <c r="AH434" i="9" l="1"/>
  <c r="AI434" i="9" s="1"/>
  <c r="AH420" i="9"/>
  <c r="AI420" i="9" s="1"/>
  <c r="D113" i="12"/>
  <c r="F109" i="12"/>
  <c r="Q109" i="12"/>
  <c r="F402" i="9"/>
  <c r="S186" i="12"/>
  <c r="S187" i="12" s="1"/>
  <c r="Q195" i="12"/>
  <c r="S123" i="12"/>
  <c r="Q156" i="12"/>
  <c r="S156" i="12" s="1"/>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P187" i="12"/>
  <c r="AJ469" i="9"/>
  <c r="AL484" i="9"/>
  <c r="AN437" i="12"/>
  <c r="AO437" i="12" s="1"/>
  <c r="P350" i="12"/>
  <c r="M27" i="9"/>
  <c r="M28" i="9" s="1"/>
  <c r="K78" i="9"/>
  <c r="R13" i="12"/>
  <c r="R14" i="12" s="1"/>
  <c r="S396" i="12"/>
  <c r="AO467" i="12"/>
  <c r="Q352" i="12"/>
  <c r="P352" i="12" s="1"/>
  <c r="Q27" i="12"/>
  <c r="AN448" i="12"/>
  <c r="AO448" i="12" s="1"/>
  <c r="P331" i="12"/>
  <c r="AN423" i="12"/>
  <c r="AO423" i="12" s="1"/>
  <c r="AN438" i="12"/>
  <c r="AO438" i="12" s="1"/>
  <c r="F27" i="12"/>
  <c r="E72" i="12" s="1"/>
  <c r="AN440" i="12"/>
  <c r="AO440" i="12" s="1"/>
  <c r="AN439" i="12"/>
  <c r="AO439" i="12" s="1"/>
  <c r="AN430" i="12"/>
  <c r="AO430" i="12" s="1"/>
  <c r="E154" i="12"/>
  <c r="AN431" i="12"/>
  <c r="AO431" i="12" s="1"/>
  <c r="S106" i="12"/>
  <c r="S107" i="12" s="1"/>
  <c r="Z482" i="12"/>
  <c r="Z434" i="12"/>
  <c r="E117" i="12"/>
  <c r="P117" i="12"/>
  <c r="AK413" i="12"/>
  <c r="Y416" i="12"/>
  <c r="P118" i="12"/>
  <c r="AK411" i="12"/>
  <c r="AK412" i="12"/>
  <c r="P119" i="12"/>
  <c r="E114" i="12"/>
  <c r="Y414" i="12"/>
  <c r="E120" i="12"/>
  <c r="AN475" i="12"/>
  <c r="AN412" i="12"/>
  <c r="AO412" i="12" s="1"/>
  <c r="AL453" i="12"/>
  <c r="Q232" i="12"/>
  <c r="S232" i="12" s="1"/>
  <c r="AN411" i="12"/>
  <c r="AO411" i="12" s="1"/>
  <c r="E350" i="12"/>
  <c r="D114" i="12"/>
  <c r="Z453" i="12"/>
  <c r="Z420" i="12"/>
  <c r="Y410" i="12"/>
  <c r="Y419" i="12"/>
  <c r="AK416" i="12"/>
  <c r="F156" i="12"/>
  <c r="AK417" i="12"/>
  <c r="Q74" i="12"/>
  <c r="P378" i="12"/>
  <c r="Q398" i="12"/>
  <c r="P398" i="12" s="1"/>
  <c r="P115" i="12"/>
  <c r="F288" i="12"/>
  <c r="E288" i="12" s="1"/>
  <c r="E267" i="12"/>
  <c r="E116" i="12"/>
  <c r="AK414" i="12"/>
  <c r="F232" i="12"/>
  <c r="Q252" i="12"/>
  <c r="R251" i="12" s="1"/>
  <c r="AL420" i="12"/>
  <c r="AK410" i="12"/>
  <c r="AN413" i="12"/>
  <c r="AO413" i="12" s="1"/>
  <c r="O113" i="12"/>
  <c r="S109" i="12"/>
  <c r="S110" i="12" s="1"/>
  <c r="D24" i="12"/>
  <c r="D27" i="12"/>
  <c r="E13" i="12"/>
  <c r="P114" i="12"/>
  <c r="E305" i="12"/>
  <c r="D310" i="12"/>
  <c r="O27" i="12"/>
  <c r="P13" i="12"/>
  <c r="E378" i="12"/>
  <c r="F398" i="12"/>
  <c r="E398" i="12" s="1"/>
  <c r="Y411" i="12"/>
  <c r="E115" i="12"/>
  <c r="P363" i="12"/>
  <c r="R363" i="12"/>
  <c r="E121" i="12"/>
  <c r="P122" i="12"/>
  <c r="E119" i="12"/>
  <c r="E331" i="12"/>
  <c r="F352" i="12"/>
  <c r="E352" i="12" s="1"/>
  <c r="AL482" i="12"/>
  <c r="P286" i="12"/>
  <c r="P121" i="12"/>
  <c r="AK418" i="12"/>
  <c r="Q288" i="12"/>
  <c r="P288" i="12" s="1"/>
  <c r="P267" i="12"/>
  <c r="F74" i="12"/>
  <c r="P305" i="12"/>
  <c r="O310" i="12"/>
  <c r="R310" i="12" s="1"/>
  <c r="AN435" i="12"/>
  <c r="AO435" i="12" s="1"/>
  <c r="Y415" i="12"/>
  <c r="D106" i="12"/>
  <c r="E106" i="12" s="1"/>
  <c r="E97" i="12"/>
  <c r="D109" i="12"/>
  <c r="S364" i="12"/>
  <c r="Y413" i="12"/>
  <c r="E118" i="12"/>
  <c r="F195" i="12"/>
  <c r="F187" i="12"/>
  <c r="P113" i="12"/>
  <c r="Y418" i="12"/>
  <c r="Y417" i="12"/>
  <c r="Y412" i="12"/>
  <c r="AK419" i="12"/>
  <c r="AK415" i="12"/>
  <c r="O109" i="12"/>
  <c r="R109" i="12" s="1"/>
  <c r="R110" i="12" s="1"/>
  <c r="P97" i="12"/>
  <c r="O106" i="12"/>
  <c r="P106" i="12" s="1"/>
  <c r="E187" i="12"/>
  <c r="F252" i="12"/>
  <c r="E286" i="12"/>
  <c r="P116" i="12"/>
  <c r="P211" i="12"/>
  <c r="Q187" i="12"/>
  <c r="O24" i="12"/>
  <c r="E113" i="12"/>
  <c r="X420" i="9"/>
  <c r="X453" i="9"/>
  <c r="X434" i="9"/>
  <c r="X469" i="9"/>
  <c r="Z484" i="9"/>
  <c r="X482" i="9"/>
  <c r="E315" i="9"/>
  <c r="Z407" i="9"/>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N234" i="9" s="1"/>
  <c r="L28" i="9"/>
  <c r="K72" i="12"/>
  <c r="S286" i="12"/>
  <c r="E72" i="8"/>
  <c r="E31" i="8"/>
  <c r="E23" i="8"/>
  <c r="K54" i="9"/>
  <c r="K41" i="9"/>
  <c r="E6" i="8"/>
  <c r="K72" i="9"/>
  <c r="AO467" i="9"/>
  <c r="K288" i="9"/>
  <c r="L290" i="9"/>
  <c r="N290" i="9" s="1"/>
  <c r="K136" i="9"/>
  <c r="K211" i="12"/>
  <c r="K41" i="12"/>
  <c r="R251" i="9"/>
  <c r="K54" i="12"/>
  <c r="K136" i="12"/>
  <c r="K154" i="12"/>
  <c r="X18" i="12"/>
  <c r="K123" i="12"/>
  <c r="L85" i="12"/>
  <c r="C67" i="8"/>
  <c r="F67" i="8" s="1"/>
  <c r="H67" i="8" s="1"/>
  <c r="K156" i="9"/>
  <c r="N156" i="9"/>
  <c r="K230" i="12"/>
  <c r="L315" i="9"/>
  <c r="N310" i="9"/>
  <c r="N311" i="9" s="1"/>
  <c r="K211" i="9"/>
  <c r="N195" i="9"/>
  <c r="N196" i="9" s="1"/>
  <c r="N352" i="9"/>
  <c r="K154" i="9"/>
  <c r="J315" i="9"/>
  <c r="AF407" i="9" s="1"/>
  <c r="AE434"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L196" i="12"/>
  <c r="L234" i="12"/>
  <c r="AM415" i="9"/>
  <c r="E8" i="8"/>
  <c r="E27" i="8"/>
  <c r="E29" i="8"/>
  <c r="G29" i="8" s="1"/>
  <c r="I29" i="8" s="1"/>
  <c r="K156" i="12"/>
  <c r="S74" i="9"/>
  <c r="E10" i="8"/>
  <c r="K288" i="12"/>
  <c r="AN453" i="9"/>
  <c r="AO453" i="9" s="1"/>
  <c r="AN434" i="9"/>
  <c r="AO434" i="9" s="1"/>
  <c r="AM413" i="9"/>
  <c r="K232" i="12"/>
  <c r="K398" i="9"/>
  <c r="S398" i="9"/>
  <c r="AM418" i="9"/>
  <c r="AM412" i="9"/>
  <c r="S288" i="9"/>
  <c r="C39" i="8"/>
  <c r="S195" i="9"/>
  <c r="S196" i="9" s="1"/>
  <c r="C65" i="8"/>
  <c r="S310" i="9"/>
  <c r="S311" i="9" s="1"/>
  <c r="K109" i="12"/>
  <c r="S160" i="9"/>
  <c r="S164" i="9" s="1"/>
  <c r="E32" i="8"/>
  <c r="G32" i="8" s="1"/>
  <c r="I32" i="8" s="1"/>
  <c r="AN472" i="12"/>
  <c r="AO472" i="12" s="1"/>
  <c r="L290" i="12"/>
  <c r="L166" i="12"/>
  <c r="AM411" i="9"/>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E65" i="8"/>
  <c r="S232" i="9"/>
  <c r="AM417" i="9"/>
  <c r="G66" i="8"/>
  <c r="I66" i="8" s="1"/>
  <c r="F66" i="8"/>
  <c r="H66" i="8" s="1"/>
  <c r="AM410" i="9"/>
  <c r="S352" i="9"/>
  <c r="K310" i="12"/>
  <c r="J315" i="12"/>
  <c r="R27" i="9"/>
  <c r="R28" i="9" s="1"/>
  <c r="AM414" i="9"/>
  <c r="R310" i="9"/>
  <c r="G5" i="8"/>
  <c r="I5" i="8" s="1"/>
  <c r="F5" i="8"/>
  <c r="H5" i="8" s="1"/>
  <c r="C6" i="8"/>
  <c r="L400" i="9"/>
  <c r="C38" i="8"/>
  <c r="C46" i="8" s="1"/>
  <c r="F22" i="8"/>
  <c r="H22" i="8" s="1"/>
  <c r="C23" i="8"/>
  <c r="G22" i="8"/>
  <c r="I22" i="8" s="1"/>
  <c r="D62" i="8"/>
  <c r="S27" i="9"/>
  <c r="C72" i="8"/>
  <c r="AO472" i="9"/>
  <c r="E70" i="8"/>
  <c r="G4" i="8"/>
  <c r="I4" i="8" s="1"/>
  <c r="F4" i="8"/>
  <c r="H4" i="8" s="1"/>
  <c r="AM416" i="9"/>
  <c r="AF469" i="9"/>
  <c r="AH469" i="9" s="1"/>
  <c r="AI469" i="9" s="1"/>
  <c r="C70" i="8"/>
  <c r="AN420" i="9"/>
  <c r="AO420" i="9" s="1"/>
  <c r="D50" i="8"/>
  <c r="D55" i="8" s="1"/>
  <c r="G13" i="8"/>
  <c r="I13" i="8" s="1"/>
  <c r="C14" i="8"/>
  <c r="F13" i="8"/>
  <c r="H13" i="8" s="1"/>
  <c r="S286" i="9"/>
  <c r="K74" i="12"/>
  <c r="S310" i="12"/>
  <c r="S311" i="12" s="1"/>
  <c r="L315" i="12"/>
  <c r="C8" i="8"/>
  <c r="F43" i="8"/>
  <c r="H43" i="8" s="1"/>
  <c r="G43" i="8"/>
  <c r="I43" i="8" s="1"/>
  <c r="Y449" i="9" l="1"/>
  <c r="Y434" i="9"/>
  <c r="Y420" i="9"/>
  <c r="Y453" i="9"/>
  <c r="Y408" i="9"/>
  <c r="AE453" i="9"/>
  <c r="AE420" i="9"/>
  <c r="K352" i="9"/>
  <c r="L401" i="9"/>
  <c r="AL408" i="12"/>
  <c r="AJ434" i="12" s="1"/>
  <c r="P54" i="12"/>
  <c r="AL469" i="12"/>
  <c r="S352" i="12"/>
  <c r="Q354" i="12"/>
  <c r="P27" i="12"/>
  <c r="N28" i="9"/>
  <c r="E109" i="12"/>
  <c r="P72" i="12"/>
  <c r="X408" i="9"/>
  <c r="AF408" i="9"/>
  <c r="P41" i="12"/>
  <c r="S27" i="12"/>
  <c r="S28" i="12" s="1"/>
  <c r="Q85" i="12"/>
  <c r="S85" i="12" s="1"/>
  <c r="S74" i="12"/>
  <c r="F400" i="12"/>
  <c r="P136" i="12"/>
  <c r="AL490" i="9"/>
  <c r="AL489" i="9" s="1"/>
  <c r="AK489" i="9" s="1"/>
  <c r="AK484" i="9"/>
  <c r="E27" i="12"/>
  <c r="E136" i="12"/>
  <c r="P74" i="12"/>
  <c r="E54" i="12"/>
  <c r="E123" i="12"/>
  <c r="R27" i="12"/>
  <c r="R28" i="12" s="1"/>
  <c r="E41" i="12"/>
  <c r="E74" i="12"/>
  <c r="Z469" i="12"/>
  <c r="E156" i="12"/>
  <c r="Z408" i="12"/>
  <c r="X453" i="12" s="1"/>
  <c r="AN434" i="12"/>
  <c r="AO434" i="12" s="1"/>
  <c r="Q400" i="12"/>
  <c r="F166" i="12"/>
  <c r="F354" i="12"/>
  <c r="E211" i="12"/>
  <c r="E232" i="12"/>
  <c r="S195" i="12"/>
  <c r="S196" i="12" s="1"/>
  <c r="F290" i="12"/>
  <c r="E230" i="12"/>
  <c r="P123" i="12"/>
  <c r="F85" i="12"/>
  <c r="P156" i="12"/>
  <c r="P310" i="12"/>
  <c r="O315" i="12"/>
  <c r="R315" i="12" s="1"/>
  <c r="E24" i="12"/>
  <c r="E31" i="12"/>
  <c r="E40" i="12"/>
  <c r="E33" i="12"/>
  <c r="E35" i="12"/>
  <c r="E37" i="12"/>
  <c r="E36" i="12"/>
  <c r="E34" i="12"/>
  <c r="E38" i="12"/>
  <c r="E32" i="12"/>
  <c r="E39" i="12"/>
  <c r="Q166" i="12"/>
  <c r="S166" i="12" s="1"/>
  <c r="F234" i="12"/>
  <c r="F196" i="12"/>
  <c r="Q290" i="12"/>
  <c r="S290" i="12" s="1"/>
  <c r="P232" i="12"/>
  <c r="D315" i="12"/>
  <c r="E310" i="12"/>
  <c r="P154" i="12"/>
  <c r="P24" i="12"/>
  <c r="P32" i="12"/>
  <c r="P34" i="12"/>
  <c r="P40" i="12"/>
  <c r="P33" i="12"/>
  <c r="P36" i="12"/>
  <c r="P39" i="12"/>
  <c r="P31" i="12"/>
  <c r="P38" i="12"/>
  <c r="P35" i="12"/>
  <c r="P37" i="12"/>
  <c r="P230" i="12"/>
  <c r="Q234" i="12"/>
  <c r="S234" i="12" s="1"/>
  <c r="Q196" i="12"/>
  <c r="R195" i="12" s="1"/>
  <c r="P109"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L316" i="9"/>
  <c r="K350" i="9"/>
  <c r="K331" i="9"/>
  <c r="AF407" i="12"/>
  <c r="AR407" i="12" s="1"/>
  <c r="K352" i="12"/>
  <c r="S166" i="9"/>
  <c r="G46" i="8"/>
  <c r="I46" i="8" s="1"/>
  <c r="F46" i="8"/>
  <c r="H46" i="8" s="1"/>
  <c r="AN469" i="9"/>
  <c r="AO469"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L402" i="12" s="1"/>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X19" i="12"/>
  <c r="F39" i="8"/>
  <c r="H39" i="8" s="1"/>
  <c r="G39" i="8"/>
  <c r="I39" i="8" s="1"/>
  <c r="AD408" i="9" l="1"/>
  <c r="AE408" i="9"/>
  <c r="AL484" i="12"/>
  <c r="AL490" i="12" s="1"/>
  <c r="F402" i="12"/>
  <c r="AH408" i="9"/>
  <c r="AI408" i="9" s="1"/>
  <c r="X420" i="12"/>
  <c r="X469" i="12"/>
  <c r="X467" i="12"/>
  <c r="AL499" i="9"/>
  <c r="AK490" i="9"/>
  <c r="Z484" i="12"/>
  <c r="Z490" i="12" s="1"/>
  <c r="U27" i="12"/>
  <c r="X434" i="12"/>
  <c r="S400" i="12"/>
  <c r="X482" i="12"/>
  <c r="AJ469" i="12"/>
  <c r="AJ420" i="12"/>
  <c r="AJ467" i="12"/>
  <c r="AJ453" i="12"/>
  <c r="E315" i="12"/>
  <c r="Z407" i="12"/>
  <c r="P315"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Z489" i="12" l="1"/>
  <c r="Z499" i="12"/>
  <c r="Y489" i="12"/>
  <c r="AL499" i="12"/>
  <c r="AK499" i="12" s="1"/>
  <c r="AL489" i="12"/>
  <c r="AK489" i="12" s="1"/>
  <c r="AK499" i="9"/>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18" i="12"/>
  <c r="N284" i="12"/>
  <c r="N226" i="12"/>
  <c r="F74" i="8" l="1"/>
  <c r="H74" i="8" s="1"/>
  <c r="C81" i="8"/>
  <c r="AF489" i="9"/>
  <c r="AN489" i="9" s="1"/>
  <c r="AO489" i="9" s="1"/>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E489" i="9" l="1"/>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U41"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L28" i="12"/>
  <c r="N109" i="12"/>
  <c r="N110" i="12" s="1"/>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W18" i="12"/>
  <c r="Y18" i="12" s="1"/>
  <c r="E76" i="8"/>
  <c r="AN499" i="9"/>
  <c r="AO499" i="9" s="1"/>
  <c r="AH420" i="12"/>
  <c r="AI420" i="12" s="1"/>
  <c r="N156" i="12"/>
  <c r="L110" i="12" l="1"/>
  <c r="N27" i="12"/>
  <c r="N28" i="12" s="1"/>
  <c r="M109" i="12"/>
  <c r="M110" i="12" s="1"/>
  <c r="AM417" i="12"/>
  <c r="AG417" i="12"/>
  <c r="M27" i="12"/>
  <c r="M28" i="12" s="1"/>
  <c r="M106" i="12"/>
  <c r="N195" i="12"/>
  <c r="N196" i="12" s="1"/>
  <c r="N74" i="12"/>
  <c r="AM410" i="12"/>
  <c r="AG410" i="12"/>
  <c r="AM416" i="12"/>
  <c r="AG416" i="12"/>
  <c r="AM414" i="12"/>
  <c r="AG414" i="12"/>
  <c r="AM411" i="12"/>
  <c r="AG411" i="12"/>
  <c r="N288" i="12"/>
  <c r="AM419" i="12"/>
  <c r="AG419" i="12"/>
  <c r="AM412" i="12"/>
  <c r="AG412" i="12"/>
  <c r="N354" i="12"/>
  <c r="N310" i="12"/>
  <c r="N311" i="12" s="1"/>
  <c r="AM413" i="12"/>
  <c r="AG413" i="12"/>
  <c r="AH453" i="12"/>
  <c r="AI453" i="12" s="1"/>
  <c r="AM415" i="12"/>
  <c r="AG415" i="12"/>
  <c r="AM418" i="12"/>
  <c r="AG418" i="12"/>
  <c r="N290" i="12"/>
  <c r="E77" i="8"/>
  <c r="G77" i="8" s="1"/>
  <c r="I77" i="8" s="1"/>
  <c r="C89" i="8"/>
  <c r="G76" i="8"/>
  <c r="I76" i="8" s="1"/>
  <c r="W19" i="12"/>
  <c r="Y19" i="12" s="1"/>
  <c r="N234" i="12"/>
  <c r="M195" i="12"/>
  <c r="N166" i="12"/>
  <c r="M315" i="12"/>
  <c r="N85" i="12" l="1"/>
  <c r="AH469" i="12"/>
  <c r="AI469" i="12" s="1"/>
  <c r="N315" i="12"/>
  <c r="N316" i="12" s="1"/>
  <c r="AH490" i="12" l="1"/>
  <c r="AI490" i="12" s="1"/>
  <c r="AH484" i="12"/>
  <c r="AI484" i="12" s="1"/>
  <c r="AH408" i="12"/>
  <c r="AI408" i="12" s="1"/>
  <c r="D88" i="8" l="1"/>
  <c r="AH499" i="12" l="1"/>
  <c r="AI499" i="12" s="1"/>
  <c r="Z501" i="12"/>
  <c r="Z50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6"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<sst xmlns="http://schemas.openxmlformats.org/spreadsheetml/2006/main" count="18145" uniqueCount="3874">
  <si>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</si>
  <si>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</si>
  <si>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</si>
  <si>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</si>
  <si>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</si>
  <si>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</si>
  <si>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</si>
  <si>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</si>
  <si>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</si>
  <si>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</si>
  <si>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</si>
  <si>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</si>
  <si>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</si>
  <si>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</si>
  <si>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</si>
  <si>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</si>
  <si>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</si>
  <si>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</si>
  <si>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</si>
  <si>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</si>
  <si>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</si>
  <si>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</si>
  <si>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</si>
  <si>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</si>
  <si>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</si>
  <si>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</si>
  <si>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</si>
  <si>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</si>
  <si>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</si>
  <si>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</si>
  <si>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</si>
  <si>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</si>
  <si>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</si>
  <si>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</si>
  <si>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</si>
  <si>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</si>
  <si>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</si>
  <si>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</si>
  <si>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</si>
  <si>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</si>
  <si>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</si>
  <si>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</si>
  <si>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</si>
  <si>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</si>
  <si>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</si>
  <si>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</si>
  <si>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</si>
  <si>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</si>
  <si>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</si>
  <si>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</si>
  <si>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</si>
  <si>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</si>
  <si>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</si>
  <si>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</si>
  <si>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</si>
  <si>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</si>
  <si>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</si>
  <si>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</si>
  <si>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</si>
  <si>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</si>
  <si>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</si>
  <si>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</si>
  <si>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</si>
  <si>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</si>
  <si>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</si>
  <si>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</si>
  <si>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</si>
  <si>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</si>
  <si>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</si>
  <si>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</si>
  <si>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</si>
  <si>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</si>
  <si>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</si>
  <si>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</si>
  <si>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</si>
  <si>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</si>
  <si>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</si>
  <si>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</si>
  <si>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</si>
  <si>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</si>
  <si>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</si>
  <si>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</si>
  <si>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</si>
  <si>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</si>
  <si>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</si>
  <si>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</si>
  <si>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</si>
  <si>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</si>
  <si>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</si>
  <si>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</si>
  <si>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</si>
  <si>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</si>
  <si>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</si>
  <si>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</si>
  <si>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</si>
  <si>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</si>
  <si>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</si>
  <si>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</si>
  <si>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</si>
  <si>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</si>
  <si>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</si>
  <si>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</si>
  <si>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</si>
  <si>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</si>
  <si>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</si>
  <si>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</si>
  <si>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</si>
  <si>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</si>
  <si>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</si>
  <si>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</si>
  <si>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</si>
  <si>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</si>
  <si>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</si>
  <si>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</si>
  <si>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</si>
  <si>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</si>
  <si>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</si>
  <si>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</si>
  <si>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</si>
  <si>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</si>
  <si>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</si>
  <si>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</si>
  <si>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</si>
  <si>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</si>
  <si>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</si>
  <si>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</si>
  <si>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</si>
  <si>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</si>
  <si>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</si>
  <si>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</si>
  <si>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</si>
  <si>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</si>
  <si>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</si>
  <si>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</si>
  <si>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</si>
  <si>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</si>
  <si>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</si>
  <si>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</si>
  <si>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</si>
  <si>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</si>
  <si>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</si>
  <si>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</si>
  <si>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</si>
  <si>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</si>
  <si>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</si>
  <si>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</si>
  <si>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</si>
  <si>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</si>
  <si>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</si>
  <si>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</si>
  <si>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</si>
  <si>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</si>
  <si>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</si>
  <si>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</si>
  <si>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</si>
  <si>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</si>
  <si>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</si>
  <si>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</si>
  <si>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</si>
  <si>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</si>
  <si>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</si>
  <si>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</si>
  <si>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</si>
  <si>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</si>
  <si>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</si>
  <si>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</si>
  <si>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</si>
  <si>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</si>
  <si>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</si>
  <si>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</si>
  <si>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</si>
  <si>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</si>
  <si>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</si>
  <si>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</si>
  <si>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</si>
  <si>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</si>
  <si>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</si>
  <si>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</si>
  <si>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</si>
  <si>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</si>
  <si>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</si>
  <si>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</si>
  <si>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</si>
  <si>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</si>
  <si>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</si>
  <si>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</si>
  <si>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</si>
  <si>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</si>
  <si>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</si>
  <si>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</si>
  <si>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</si>
  <si>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</si>
  <si>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</si>
  <si>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</si>
  <si>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</si>
  <si>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</si>
  <si>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</si>
  <si>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</si>
  <si>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</si>
  <si>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</si>
  <si>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</si>
  <si>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</si>
  <si>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</si>
  <si>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</si>
  <si>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</si>
  <si>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</si>
  <si>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</si>
  <si>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</si>
  <si>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</si>
  <si>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</si>
  <si>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</si>
  <si>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</si>
  <si>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</si>
  <si>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</si>
  <si>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</si>
  <si>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</si>
  <si>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</si>
  <si>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</si>
  <si>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</si>
  <si>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</si>
  <si>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</si>
  <si>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</si>
  <si>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</si>
  <si>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</si>
  <si>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</si>
  <si>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</si>
  <si>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</si>
  <si>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</si>
  <si>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</si>
  <si>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</si>
  <si>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</si>
  <si>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</si>
  <si>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</si>
  <si>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</si>
  <si>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</si>
  <si>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</si>
  <si>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</si>
  <si>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</si>
  <si>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</si>
  <si>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</si>
  <si>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</si>
  <si>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</si>
  <si>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</si>
  <si>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</si>
  <si>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</si>
  <si>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</si>
  <si>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</si>
  <si>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</si>
  <si>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</si>
  <si>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</si>
  <si>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</si>
  <si>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</si>
  <si>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</si>
  <si>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</si>
  <si>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</si>
  <si>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</si>
  <si>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</si>
  <si>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</si>
  <si>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</si>
  <si>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</si>
  <si>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</si>
  <si>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</si>
  <si>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</si>
  <si>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</si>
  <si>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</si>
  <si>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</si>
  <si>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</si>
  <si>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</si>
  <si>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</si>
  <si>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</si>
  <si>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</si>
  <si>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</si>
  <si>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</si>
  <si>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</si>
  <si>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</si>
  <si>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</si>
  <si>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</si>
  <si>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</si>
  <si>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</si>
  <si>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</si>
  <si>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</si>
  <si>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</si>
  <si>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</si>
  <si>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</si>
  <si>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</si>
  <si>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</si>
  <si>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</si>
  <si>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</si>
  <si>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</si>
  <si>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</si>
  <si>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</si>
  <si>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</si>
  <si>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</si>
  <si>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</si>
  <si>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</si>
  <si>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</si>
  <si>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</si>
  <si>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</si>
  <si>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</si>
  <si>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</si>
  <si>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</si>
  <si>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</si>
  <si>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</si>
  <si>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</si>
  <si>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</si>
  <si>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</si>
  <si>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</si>
  <si>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</si>
  <si>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</si>
  <si>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</si>
  <si>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</si>
  <si>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</si>
  <si>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</si>
  <si>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</si>
  <si>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</si>
  <si>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</si>
  <si>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</si>
  <si>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</si>
  <si>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</si>
  <si>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</si>
  <si>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</si>
  <si>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</si>
  <si>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</si>
  <si>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</si>
  <si>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</si>
  <si>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</si>
  <si>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</si>
  <si>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</si>
  <si>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</si>
  <si>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</si>
  <si>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</si>
  <si>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</si>
  <si>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</si>
  <si>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</si>
  <si>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</si>
  <si>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</si>
  <si>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</si>
  <si>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</si>
  <si>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</si>
  <si>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</si>
  <si>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</si>
  <si>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</si>
  <si>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</si>
  <si>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</si>
  <si>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</si>
  <si>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</si>
  <si>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</si>
  <si>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</si>
  <si>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</si>
  <si>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</si>
  <si>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</si>
  <si>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</si>
  <si>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</si>
  <si>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</si>
  <si>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</si>
  <si>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</si>
  <si>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</si>
  <si>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</si>
  <si>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</si>
  <si>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</si>
  <si>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</si>
  <si>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</si>
  <si>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</si>
  <si>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</si>
  <si>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</si>
  <si>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</si>
  <si>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</si>
  <si>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</si>
  <si>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</si>
  <si>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</si>
  <si>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</si>
  <si>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</si>
  <si>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</si>
  <si>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</si>
  <si>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</si>
  <si>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</si>
  <si>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</si>
  <si>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</si>
  <si>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</si>
  <si>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</si>
  <si>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</si>
  <si>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</si>
  <si>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</si>
  <si>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</si>
  <si>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</si>
  <si>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</si>
  <si>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</si>
  <si>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</si>
  <si>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</si>
  <si>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</si>
  <si>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</si>
  <si>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</si>
  <si>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</si>
  <si>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</si>
  <si>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</si>
  <si>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</si>
  <si>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</si>
  <si>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</si>
  <si>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</si>
  <si>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</si>
  <si>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</si>
  <si>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</si>
  <si>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</si>
  <si>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</si>
  <si>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</si>
  <si>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</si>
  <si>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</si>
  <si>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</si>
  <si>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</si>
  <si>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</si>
  <si>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</si>
  <si>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</si>
  <si>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</si>
  <si>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</si>
  <si>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</si>
  <si>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</si>
  <si>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</si>
  <si>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</si>
  <si>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</si>
  <si>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</si>
  <si>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</si>
  <si>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</si>
  <si>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</si>
  <si>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</si>
  <si>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</si>
  <si>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</si>
  <si>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</si>
  <si>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</si>
  <si>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</si>
  <si>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</si>
  <si>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</si>
  <si>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</si>
  <si>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</si>
  <si>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</si>
  <si>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</si>
  <si>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</si>
  <si>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</si>
  <si>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</si>
  <si>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</si>
  <si>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</si>
  <si>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</si>
  <si>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</si>
  <si>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</si>
  <si>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</si>
  <si>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</si>
  <si>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</si>
  <si>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</si>
  <si>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</si>
  <si>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</si>
  <si>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</si>
  <si>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</si>
  <si>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</si>
  <si>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</si>
  <si>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</si>
  <si>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</si>
  <si>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</si>
  <si>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</si>
  <si>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</si>
  <si>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</si>
  <si>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</si>
  <si>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</si>
  <si>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</si>
  <si>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</si>
  <si>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</si>
  <si>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</si>
  <si>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</si>
  <si>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</si>
  <si>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</si>
  <si>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</si>
  <si>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</si>
  <si>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</si>
  <si>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</si>
  <si>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</si>
  <si>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</si>
  <si>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</si>
  <si>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</si>
  <si>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</si>
  <si>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</si>
  <si>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</si>
  <si>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</si>
  <si>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</si>
  <si>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</si>
  <si>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</si>
  <si>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</si>
  <si>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</si>
  <si>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</si>
  <si>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</si>
  <si>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</si>
  <si>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</si>
  <si>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</si>
  <si>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</si>
  <si>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</si>
  <si>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</si>
  <si>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</si>
  <si>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</si>
  <si>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</si>
  <si>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</si>
  <si>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</si>
  <si>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</si>
  <si>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</si>
  <si>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</si>
  <si>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</si>
  <si>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</si>
  <si>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</si>
  <si>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</si>
  <si>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</si>
  <si>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</si>
  <si>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</si>
  <si>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</si>
  <si>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</si>
  <si>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</si>
  <si>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</si>
  <si>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</si>
  <si>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</si>
  <si>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</si>
  <si>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</si>
  <si>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</si>
  <si>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</si>
  <si>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</si>
  <si>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</si>
  <si>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</si>
  <si>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</si>
  <si>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</si>
  <si>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</si>
  <si>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</si>
  <si>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</si>
  <si>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</si>
  <si>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</si>
  <si>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</si>
  <si>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</si>
  <si>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</si>
  <si>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</si>
  <si>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</si>
  <si>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</si>
  <si>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</si>
  <si>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</si>
  <si>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</si>
  <si>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</si>
  <si>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</si>
  <si>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</si>
  <si>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</si>
  <si>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</si>
  <si>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</si>
  <si>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</si>
  <si>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</si>
  <si>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</si>
  <si>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</si>
  <si>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</si>
  <si>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</si>
  <si>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</si>
  <si>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</si>
  <si>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</si>
  <si>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</si>
  <si>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</si>
  <si>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</si>
  <si>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</si>
  <si>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</si>
  <si>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</si>
  <si>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</si>
  <si>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</si>
  <si>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</si>
  <si>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</si>
  <si>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</si>
  <si>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</si>
  <si>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</si>
  <si>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</si>
  <si>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</si>
  <si>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</si>
  <si>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</si>
  <si>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</si>
  <si>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</si>
  <si>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</si>
  <si>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</si>
  <si>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</si>
  <si>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</si>
  <si>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</si>
  <si>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</si>
  <si>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</si>
  <si>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</si>
  <si>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</si>
  <si>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</si>
  <si>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</si>
  <si>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</si>
  <si>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</si>
  <si>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</si>
  <si>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</si>
  <si>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</si>
  <si>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</si>
  <si>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</si>
  <si>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</si>
  <si>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</si>
  <si>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</si>
  <si>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</si>
  <si>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</si>
  <si>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</si>
  <si>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</si>
  <si>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</si>
  <si>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</si>
  <si>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</si>
  <si>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</si>
  <si>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</si>
  <si>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</si>
  <si>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</si>
  <si>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</si>
  <si>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</si>
  <si>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</si>
  <si>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</si>
  <si>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</si>
  <si>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</si>
  <si>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</si>
  <si>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</si>
  <si>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</si>
  <si>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</si>
  <si>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</si>
  <si>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</si>
  <si>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</si>
  <si>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</si>
  <si>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</si>
  <si>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</si>
  <si>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</si>
  <si>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</si>
  <si>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</si>
  <si>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</si>
  <si>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</si>
  <si>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</si>
  <si>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</si>
  <si>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</si>
  <si>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</si>
  <si>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</si>
  <si>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</si>
  <si>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</si>
  <si>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</si>
  <si>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</si>
  <si>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</si>
  <si>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</si>
  <si>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</si>
  <si>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</si>
  <si>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</si>
  <si>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</si>
  <si>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</si>
  <si>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</si>
  <si>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</si>
  <si>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</si>
  <si>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</si>
  <si>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</si>
  <si>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</si>
  <si>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</si>
  <si>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</si>
  <si>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</si>
  <si>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</si>
  <si>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</si>
  <si>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</si>
  <si>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</si>
  <si>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</si>
  <si>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</si>
  <si>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</si>
  <si>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</si>
  <si>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</si>
  <si>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</si>
  <si>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</si>
  <si>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</si>
  <si>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</si>
  <si>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</si>
  <si>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</si>
  <si>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</si>
  <si>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</si>
  <si>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</si>
  <si>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</si>
  <si>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</si>
  <si>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</si>
  <si>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</si>
  <si>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</si>
  <si>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</si>
  <si>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</si>
  <si>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</si>
  <si>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</si>
  <si>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</si>
  <si>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</si>
  <si>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</si>
  <si>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</si>
  <si>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</si>
  <si>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</si>
  <si>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</si>
  <si>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</si>
  <si>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</si>
  <si>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</si>
  <si>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</si>
  <si>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</si>
  <si>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</si>
  <si>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</si>
  <si>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</si>
  <si>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</si>
  <si>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</si>
  <si>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</si>
  <si>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</si>
  <si>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</si>
  <si>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</si>
  <si>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</si>
  <si>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</si>
  <si>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</si>
  <si>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</si>
  <si>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</si>
  <si>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</si>
  <si>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</si>
  <si>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</si>
  <si>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</si>
  <si>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</si>
  <si>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</si>
  <si>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</si>
  <si>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</si>
  <si>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</si>
  <si>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</si>
  <si>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</si>
  <si>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</si>
  <si>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</si>
  <si>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</si>
  <si>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</si>
  <si>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</si>
  <si>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</si>
  <si>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</si>
  <si>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</si>
  <si>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</si>
  <si>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</si>
  <si>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</si>
  <si>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</si>
  <si>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</si>
  <si>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</si>
  <si>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</si>
  <si>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</si>
  <si>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</si>
  <si>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</si>
  <si>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</si>
  <si>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</si>
  <si>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</si>
  <si>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</si>
  <si>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</si>
  <si>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</si>
  <si>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</si>
  <si>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</si>
  <si>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</si>
  <si>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</si>
  <si>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</si>
  <si>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</si>
  <si>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</si>
  <si>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</si>
  <si>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</si>
  <si>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</si>
  <si>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</si>
  <si>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</si>
  <si>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</si>
  <si>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</si>
  <si>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</si>
  <si>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</si>
  <si>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</si>
  <si>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</si>
  <si>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</si>
  <si>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</si>
  <si>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</si>
  <si>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</si>
  <si>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</si>
  <si>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</si>
  <si>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</si>
  <si>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</si>
  <si>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</si>
  <si>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</si>
  <si>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</si>
  <si>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</si>
  <si>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</si>
  <si>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</si>
  <si>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</si>
  <si>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</si>
  <si>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</si>
  <si>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</si>
  <si>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</si>
  <si>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</si>
  <si>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</si>
  <si>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</si>
  <si>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</si>
  <si>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</si>
  <si>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</si>
  <si>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</si>
  <si>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</si>
  <si>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</si>
  <si>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</si>
  <si>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</si>
  <si>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</si>
  <si>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</si>
  <si>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</si>
  <si>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</si>
  <si>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</si>
  <si>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</si>
  <si>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</si>
  <si>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</si>
  <si>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</si>
  <si>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</si>
  <si>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</si>
  <si>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</si>
  <si>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</si>
  <si>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</si>
  <si>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</si>
  <si>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</si>
  <si>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</si>
  <si>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</si>
  <si>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</si>
  <si>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</si>
  <si>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</si>
  <si>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</si>
  <si>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</si>
  <si>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</si>
  <si>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</si>
  <si>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</si>
  <si>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</si>
  <si>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</si>
  <si>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</si>
  <si>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</si>
  <si>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</si>
  <si>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</si>
  <si>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</si>
  <si>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</si>
  <si>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</si>
  <si>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</si>
  <si>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</si>
  <si>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</si>
  <si>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</si>
  <si>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</si>
  <si>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</si>
  <si>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</si>
  <si>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</si>
  <si>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</si>
  <si>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</si>
  <si>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</si>
  <si>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</si>
  <si>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</si>
  <si>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</si>
  <si>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</si>
  <si>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</si>
  <si>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</si>
  <si>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</si>
  <si>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</si>
  <si>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</si>
  <si>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</si>
  <si>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</si>
  <si>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</si>
  <si>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</si>
  <si>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</si>
  <si>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</si>
  <si>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</si>
  <si>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</si>
  <si>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</si>
  <si>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</si>
  <si>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</si>
  <si>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</si>
  <si>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</si>
  <si>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</si>
  <si>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</si>
  <si>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</si>
  <si>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</si>
  <si>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</si>
  <si>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</si>
  <si>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</si>
  <si>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</si>
  <si>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</si>
  <si>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</si>
  <si>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</si>
  <si>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</si>
  <si>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</si>
  <si>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</si>
  <si>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</si>
  <si>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</si>
  <si>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</si>
  <si>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</si>
  <si>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</si>
  <si>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</si>
  <si>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</si>
  <si>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</si>
  <si>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</si>
  <si>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</si>
  <si>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</si>
  <si>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</si>
  <si>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</si>
  <si>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</si>
  <si>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</si>
  <si>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</si>
  <si>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</si>
  <si>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</si>
  <si>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</si>
  <si>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</si>
  <si>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</si>
  <si>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</si>
  <si>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</si>
  <si>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</si>
  <si>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</si>
  <si>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</si>
  <si>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</si>
  <si>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</si>
  <si>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</si>
  <si>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</si>
  <si>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</si>
  <si>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</si>
  <si>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</si>
  <si>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</si>
  <si>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</si>
  <si>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</si>
  <si>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</si>
  <si>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</si>
  <si>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</si>
  <si>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</si>
  <si>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</si>
  <si>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</si>
  <si>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</si>
  <si>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</si>
  <si>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</si>
  <si>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</si>
  <si>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</si>
  <si>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</si>
  <si>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</si>
  <si>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</si>
  <si>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</si>
  <si>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</si>
  <si>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</si>
  <si>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</si>
  <si>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</si>
  <si>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</si>
  <si>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</si>
  <si>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</si>
  <si>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</si>
  <si>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</si>
  <si>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</si>
  <si>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</si>
  <si>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</si>
  <si>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</si>
  <si>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</si>
  <si>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</si>
  <si>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</si>
  <si>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</si>
  <si>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</si>
  <si>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</si>
  <si>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</si>
  <si>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</si>
  <si>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</si>
  <si>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</si>
  <si>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</si>
  <si>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</si>
  <si>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</si>
  <si>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</si>
  <si>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</si>
  <si>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</si>
  <si>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</si>
  <si>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</si>
  <si>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</si>
  <si>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</si>
  <si>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</si>
  <si>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</si>
  <si>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</si>
  <si>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</si>
  <si>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</si>
  <si>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</si>
  <si>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</si>
  <si>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</si>
  <si>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</si>
  <si>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</si>
  <si>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</si>
  <si>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</si>
  <si>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</si>
  <si>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</si>
  <si>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</si>
  <si>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</si>
  <si>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</si>
  <si>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</si>
  <si>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</si>
  <si>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</si>
  <si>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</si>
  <si>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</si>
  <si>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</si>
  <si>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</si>
  <si>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</si>
  <si>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</si>
  <si>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</si>
  <si>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</si>
  <si>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</si>
  <si>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</si>
  <si>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</si>
  <si>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</si>
  <si>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</si>
  <si>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</si>
  <si>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</si>
  <si>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</si>
  <si>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</si>
  <si>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</si>
  <si>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</si>
  <si>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</si>
  <si>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</si>
  <si>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</si>
  <si>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</si>
  <si>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</si>
  <si>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</si>
  <si>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</si>
  <si>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</si>
  <si>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</si>
  <si>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</si>
  <si>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</si>
  <si>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</si>
  <si>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</si>
  <si>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</si>
  <si>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</si>
  <si>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</si>
  <si>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</si>
  <si>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</si>
  <si>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</si>
  <si>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</si>
  <si>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</si>
  <si>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</si>
  <si>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</si>
  <si>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</si>
  <si>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</si>
  <si>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</si>
  <si>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</si>
  <si>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</si>
  <si>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</si>
  <si>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</si>
  <si>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</si>
  <si>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</si>
  <si>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</si>
  <si>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</si>
  <si>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</si>
  <si>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</si>
  <si>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</si>
  <si>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</si>
  <si>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</si>
  <si>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</si>
  <si>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</si>
  <si>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</si>
  <si>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</si>
  <si>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</si>
  <si>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</si>
  <si>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</si>
  <si>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</si>
  <si>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</si>
  <si>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</si>
  <si>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</si>
  <si>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</si>
  <si>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</si>
  <si>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</si>
  <si>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</si>
  <si>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</si>
  <si>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</si>
  <si>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</si>
  <si>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</si>
  <si>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</si>
  <si>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</si>
  <si>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</si>
  <si>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</si>
  <si>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</si>
  <si>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</si>
  <si>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</si>
  <si>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</si>
  <si>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</si>
  <si>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</si>
  <si>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</si>
  <si>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</si>
  <si>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</si>
  <si>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</si>
  <si>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</si>
  <si>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</si>
  <si>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</si>
  <si>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</si>
  <si>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</si>
  <si>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</si>
  <si>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</si>
  <si>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</si>
  <si>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</si>
  <si>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</si>
  <si>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</si>
  <si>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</si>
  <si>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</si>
  <si>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</si>
  <si>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</si>
  <si>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</si>
  <si>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</si>
  <si>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</si>
  <si>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</si>
  <si>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</si>
  <si>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</si>
  <si>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</si>
  <si>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</si>
  <si>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</si>
  <si>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</si>
  <si>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</si>
  <si>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</si>
  <si>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</si>
  <si>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</si>
  <si>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</si>
  <si>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</si>
  <si>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</si>
  <si>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</si>
  <si>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</si>
  <si>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</si>
  <si>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</si>
  <si>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</si>
  <si>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</si>
  <si>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</si>
  <si>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</si>
  <si>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</si>
  <si>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</si>
  <si>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</si>
  <si>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</si>
  <si>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</si>
  <si>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</si>
  <si>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</si>
  <si>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</si>
  <si>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</si>
  <si>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</si>
  <si>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</si>
  <si>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</si>
  <si>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</si>
  <si>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</si>
  <si>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</si>
  <si>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</si>
  <si>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</si>
  <si>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</si>
  <si>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</si>
  <si>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</si>
  <si>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</si>
  <si>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</si>
  <si>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</si>
  <si>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</si>
  <si>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</si>
  <si>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</si>
  <si>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</si>
  <si>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</si>
  <si>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</si>
  <si>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</si>
  <si>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</si>
  <si>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</si>
  <si>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</si>
  <si>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</si>
  <si>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</si>
  <si>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</si>
  <si>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</si>
  <si>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</si>
  <si>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</si>
  <si>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</si>
  <si>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</si>
  <si>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</si>
  <si>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</si>
  <si>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</si>
  <si>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</si>
  <si>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</si>
  <si>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</si>
  <si>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</si>
  <si>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</si>
  <si>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</si>
  <si>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</si>
  <si>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</si>
  <si>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</si>
  <si>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</si>
  <si>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</si>
  <si>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</si>
  <si>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</si>
  <si>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</si>
  <si>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</si>
  <si>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</si>
  <si>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</si>
  <si>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</si>
  <si>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</si>
  <si>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</si>
  <si>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</si>
  <si>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</si>
  <si>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</si>
  <si>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</si>
  <si>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</si>
  <si>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</si>
  <si>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</si>
  <si>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</si>
  <si>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</si>
  <si>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</si>
  <si>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</si>
  <si>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</si>
  <si>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</si>
  <si>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</si>
  <si>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</si>
  <si>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</si>
  <si>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</si>
  <si>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</si>
  <si>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</si>
  <si>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</si>
  <si>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</si>
  <si>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</si>
  <si>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</si>
  <si>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</si>
  <si>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</si>
  <si>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</si>
  <si>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</si>
  <si>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</si>
  <si>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</si>
  <si>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</si>
  <si>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</si>
  <si>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</si>
  <si>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</si>
  <si>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</si>
  <si>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</si>
  <si>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</si>
  <si>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</si>
  <si>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</si>
  <si>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</si>
  <si>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</si>
  <si>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</si>
  <si>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</si>
  <si>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</si>
  <si>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</si>
  <si>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</si>
  <si>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</si>
  <si>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</si>
  <si>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</si>
  <si>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</si>
  <si>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</si>
  <si>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</si>
  <si>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</si>
  <si>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</si>
  <si>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</si>
  <si>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</si>
  <si>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</si>
  <si>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</si>
  <si>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</si>
  <si>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</si>
  <si>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</si>
  <si>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</si>
  <si>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</si>
  <si>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</si>
  <si>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</si>
  <si>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</si>
  <si>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</si>
  <si>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</si>
  <si>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</si>
  <si>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</si>
  <si>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</si>
  <si>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</si>
  <si>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</si>
  <si>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</si>
  <si>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</si>
  <si>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</si>
  <si>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</si>
  <si>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</si>
  <si>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</si>
  <si>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</si>
  <si>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</si>
  <si>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</si>
  <si>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</si>
  <si>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</si>
  <si>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</si>
  <si>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</si>
  <si>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</si>
  <si>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</si>
  <si>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</si>
  <si>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</si>
  <si>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</si>
  <si>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</si>
  <si>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</si>
  <si>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</si>
  <si>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</si>
  <si>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</si>
  <si>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</si>
  <si>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</si>
  <si>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</si>
  <si>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</si>
  <si>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</si>
  <si>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</si>
  <si>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</si>
  <si>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</si>
  <si>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</si>
  <si>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</si>
  <si>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</si>
  <si>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</si>
  <si>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</si>
  <si>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</si>
  <si>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</si>
  <si>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</si>
  <si>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</si>
  <si>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</si>
  <si>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</si>
  <si>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</si>
  <si>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</si>
  <si>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</si>
  <si>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</si>
  <si>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</si>
  <si>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</si>
  <si>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</si>
  <si>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</si>
  <si>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</si>
  <si>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</si>
  <si>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</si>
  <si>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</si>
  <si>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</si>
  <si>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</si>
  <si>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</si>
  <si>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</si>
  <si>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</si>
  <si>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</si>
  <si>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</si>
  <si>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</si>
  <si>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</si>
  <si>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</si>
  <si>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</si>
  <si>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</si>
  <si>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</si>
  <si>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</si>
  <si>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</si>
  <si>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</si>
  <si>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</si>
  <si>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</si>
  <si>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</si>
  <si>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</si>
  <si>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</si>
  <si>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</si>
  <si>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</si>
  <si>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</si>
  <si>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</si>
  <si>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</si>
  <si>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</si>
  <si>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</si>
  <si>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</si>
  <si>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</si>
  <si>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</si>
  <si>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</si>
  <si>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</si>
  <si>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</si>
  <si>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</si>
  <si>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</si>
  <si>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</si>
  <si>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</si>
  <si>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</si>
  <si>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</si>
  <si>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</si>
  <si>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</si>
  <si>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</si>
  <si>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</si>
  <si>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</si>
  <si>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</si>
  <si>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</si>
  <si>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</si>
  <si>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</si>
  <si>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</si>
  <si>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</si>
  <si>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</si>
  <si>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</si>
  <si>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</si>
  <si>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</si>
  <si>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</si>
  <si>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</si>
  <si>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</si>
  <si>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</si>
  <si>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</si>
  <si>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</si>
  <si>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</si>
  <si>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</si>
  <si>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</si>
  <si>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</si>
  <si>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</si>
  <si>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</si>
  <si>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</si>
  <si>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</si>
  <si>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</si>
  <si>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</si>
  <si>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</si>
  <si>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</si>
  <si>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</si>
  <si>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</si>
  <si>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</si>
  <si>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</si>
  <si>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</si>
  <si>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</si>
  <si>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</si>
  <si>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</si>
  <si>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</si>
  <si>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</si>
  <si>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</si>
  <si>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</si>
  <si>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</si>
  <si>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</si>
  <si>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</si>
  <si>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</si>
  <si>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</si>
  <si>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</si>
  <si>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</si>
  <si>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</si>
  <si>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</si>
  <si>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</si>
  <si>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</si>
  <si>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</si>
  <si>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</si>
  <si>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</si>
  <si>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</si>
  <si>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</si>
  <si>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</si>
  <si>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</si>
  <si>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</si>
  <si>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</si>
  <si>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</si>
  <si>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</si>
  <si>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</si>
  <si>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</si>
  <si>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</si>
  <si>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</si>
  <si>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</si>
  <si>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</si>
  <si>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</si>
  <si>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</si>
  <si>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</si>
  <si>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</si>
  <si>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</si>
  <si>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</si>
  <si>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</si>
  <si>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</si>
  <si>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</si>
  <si>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</si>
  <si>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</si>
  <si>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</si>
  <si>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</si>
  <si>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</si>
  <si>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</si>
  <si>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</si>
  <si>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</si>
  <si>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</si>
  <si>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</si>
  <si>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</si>
  <si>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</si>
  <si>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</si>
  <si>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</si>
  <si>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</si>
  <si>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</si>
  <si>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</si>
  <si>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</si>
  <si>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</si>
  <si>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</si>
  <si>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</si>
  <si>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</si>
  <si>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</si>
  <si>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</si>
  <si>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</si>
  <si>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</si>
  <si>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</si>
  <si>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</si>
  <si>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</si>
  <si>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</si>
  <si>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</si>
  <si>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</si>
  <si>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</si>
  <si>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</si>
  <si>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</si>
  <si>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</si>
  <si>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</si>
  <si>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</si>
  <si>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</si>
  <si>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</si>
  <si>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</si>
  <si>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</si>
  <si>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</si>
  <si>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</si>
  <si>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</si>
  <si>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</si>
  <si>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</si>
  <si>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</si>
  <si>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</si>
  <si>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</si>
  <si>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</si>
  <si>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</si>
  <si>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</si>
  <si>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</si>
  <si>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</si>
  <si>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</si>
  <si>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</si>
  <si>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</si>
  <si>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</si>
  <si>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</si>
  <si>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</si>
  <si>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</si>
  <si>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</si>
  <si>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</si>
  <si>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</si>
  <si>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</si>
  <si>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</si>
  <si>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</si>
  <si>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</si>
  <si>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</si>
  <si>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</si>
  <si>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</si>
  <si>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</si>
  <si>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</si>
  <si>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</si>
  <si>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</si>
  <si>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</si>
  <si>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</si>
  <si>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</si>
  <si>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</si>
  <si>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</si>
  <si>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</si>
  <si>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</si>
  <si>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</si>
  <si>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</si>
  <si>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</si>
  <si>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</si>
  <si>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</si>
  <si>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</si>
  <si>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</si>
  <si>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</si>
  <si>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</si>
  <si>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</si>
  <si>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</si>
  <si>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</si>
  <si>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</si>
  <si>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</si>
  <si>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</si>
  <si>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</si>
  <si>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</si>
  <si>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</si>
  <si>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</si>
  <si>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</si>
  <si>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</si>
  <si>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</si>
  <si>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</si>
  <si>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</si>
  <si>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</si>
  <si>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</si>
  <si>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</si>
  <si>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</si>
  <si>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</si>
  <si>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</si>
  <si>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</si>
  <si>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</si>
  <si>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</si>
  <si>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</si>
  <si>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</si>
  <si>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</si>
  <si>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</si>
  <si>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</si>
  <si>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</si>
  <si>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</si>
  <si>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</si>
  <si>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</si>
  <si>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</si>
  <si>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</si>
  <si>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</si>
  <si>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</si>
  <si>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</si>
  <si>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</si>
  <si>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</si>
  <si>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</si>
  <si>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</si>
  <si>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</si>
  <si>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</si>
  <si>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</si>
  <si>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</si>
  <si>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</si>
  <si>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</si>
  <si>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</si>
  <si>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</si>
  <si>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</si>
  <si>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</si>
  <si>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</si>
  <si>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</si>
  <si>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</si>
  <si>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</si>
  <si>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</si>
  <si>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</si>
  <si>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</si>
  <si>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</si>
  <si>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</si>
  <si>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</si>
  <si>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</si>
  <si>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</si>
  <si>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</si>
  <si>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</si>
  <si>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</si>
  <si>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</si>
  <si>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</si>
  <si>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</si>
  <si>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</si>
  <si>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</si>
  <si>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</si>
  <si>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</si>
  <si>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</si>
  <si>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</si>
  <si>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</si>
  <si>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</si>
  <si>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</si>
  <si>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</si>
  <si>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</si>
  <si>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</si>
  <si>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</si>
  <si>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</si>
  <si>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</si>
  <si>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</si>
  <si>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</si>
  <si>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</si>
  <si>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</si>
  <si>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</si>
  <si>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</si>
  <si>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</si>
  <si>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</si>
  <si>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</si>
  <si>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</si>
  <si>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</si>
  <si>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</si>
  <si>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</si>
  <si>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</si>
  <si>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</si>
  <si>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</si>
  <si>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</si>
  <si>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</si>
  <si>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</si>
  <si>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</si>
  <si>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</si>
  <si>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</si>
  <si>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</si>
  <si>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</si>
  <si>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</si>
  <si>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</si>
  <si>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</si>
  <si>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</si>
  <si>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</si>
  <si>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</si>
  <si>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</si>
  <si>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</si>
  <si>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</si>
  <si>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</si>
  <si>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</si>
  <si>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</si>
  <si>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</si>
  <si>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</si>
  <si>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</si>
  <si>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</si>
  <si>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</si>
  <si>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</si>
  <si>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</si>
  <si>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</si>
  <si>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</si>
  <si>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</si>
  <si>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</si>
  <si>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</si>
  <si>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</si>
  <si>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</si>
  <si>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</si>
  <si>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</si>
  <si>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</si>
  <si>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</si>
  <si>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</si>
  <si>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</si>
  <si>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</si>
  <si>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</si>
  <si>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</si>
  <si>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</si>
  <si>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</si>
  <si>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</si>
  <si>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</si>
  <si>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</si>
  <si>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</si>
  <si>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</si>
  <si>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</si>
  <si>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</si>
  <si>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</si>
  <si>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</si>
  <si>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</si>
  <si>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</si>
  <si>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</si>
  <si>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</si>
  <si>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</si>
  <si>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</si>
  <si>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</si>
  <si>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</si>
  <si>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</si>
  <si>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</si>
  <si>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</si>
  <si>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</si>
  <si>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</si>
  <si>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</si>
  <si>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</si>
  <si>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</si>
  <si>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</si>
  <si>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</si>
  <si>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</si>
  <si>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</si>
  <si>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</si>
  <si>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</si>
  <si>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</si>
  <si>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</si>
  <si>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</si>
  <si>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</si>
  <si>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</si>
  <si>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</si>
  <si>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</si>
  <si>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</si>
  <si>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</si>
  <si>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</si>
  <si>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</si>
  <si>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</si>
  <si>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</si>
  <si>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</si>
  <si>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</si>
  <si>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</si>
  <si>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</si>
  <si>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</si>
  <si>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</si>
  <si>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</si>
  <si>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</si>
  <si>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</si>
  <si>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</si>
  <si>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</si>
  <si>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</si>
  <si>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</si>
  <si>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</si>
  <si>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</si>
  <si>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</si>
  <si>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</si>
  <si>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</si>
  <si>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</si>
  <si>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</si>
  <si>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</si>
  <si>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</si>
  <si>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</si>
  <si>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</si>
  <si>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</si>
  <si>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</si>
  <si>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</si>
  <si>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</si>
  <si>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</si>
  <si>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</si>
  <si>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</si>
  <si>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</si>
  <si>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</si>
  <si>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</si>
  <si>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</si>
  <si>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</si>
  <si>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</si>
  <si>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</si>
  <si>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</si>
  <si>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</si>
  <si>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</si>
  <si>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</si>
  <si>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</si>
  <si>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</si>
  <si>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</si>
  <si>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</si>
  <si>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</si>
  <si>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</si>
  <si>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</si>
  <si>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</si>
  <si>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</si>
  <si>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</si>
  <si>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</si>
  <si>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</si>
  <si>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</si>
  <si>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</si>
  <si>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</si>
  <si>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</si>
  <si>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</si>
  <si>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</si>
  <si>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</si>
  <si>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</si>
  <si>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</si>
  <si>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</si>
  <si>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</si>
  <si>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</si>
  <si>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</si>
  <si>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</si>
  <si>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</si>
  <si>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</si>
  <si>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</si>
  <si>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</si>
  <si>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</si>
  <si>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</si>
  <si>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</si>
  <si>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</si>
  <si>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</si>
  <si>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</si>
  <si>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</si>
  <si>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</si>
  <si>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</si>
  <si>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</si>
  <si>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</si>
  <si>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</si>
  <si>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</si>
  <si>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</si>
  <si>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</si>
  <si>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</si>
  <si>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</si>
  <si>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</si>
  <si>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</si>
  <si>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</si>
  <si>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</si>
  <si>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</si>
  <si>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</si>
  <si>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</si>
  <si>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</si>
  <si>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</si>
  <si>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</si>
  <si>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</si>
  <si>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</si>
  <si>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</si>
  <si>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</si>
  <si>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</si>
  <si>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</si>
  <si>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</si>
  <si>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</si>
  <si>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</si>
  <si>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</si>
  <si>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</si>
  <si>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</si>
  <si>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</si>
  <si>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</si>
  <si>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</si>
  <si>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</si>
  <si>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</si>
  <si>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</si>
  <si>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</si>
  <si>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</si>
  <si>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</si>
  <si>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</si>
  <si>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</si>
  <si>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</si>
  <si>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</si>
  <si>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</si>
  <si>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</si>
  <si>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</si>
  <si>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</si>
  <si>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</si>
  <si>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</si>
  <si>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</si>
  <si>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</si>
  <si>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</si>
  <si>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</si>
  <si>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</si>
  <si>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</si>
  <si>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</si>
  <si>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</si>
  <si>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</si>
  <si>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</si>
  <si>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</si>
  <si>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</si>
  <si>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</si>
  <si>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</si>
  <si>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</si>
  <si>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</si>
  <si>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</si>
  <si>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</si>
  <si>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</si>
  <si>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</si>
  <si>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</si>
  <si>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</si>
  <si>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</si>
  <si>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</si>
  <si>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</si>
  <si>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</si>
  <si>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</si>
  <si>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</si>
  <si>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</si>
  <si>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</si>
  <si>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</si>
  <si>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</si>
  <si>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</si>
  <si>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</si>
  <si>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</si>
  <si>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</si>
  <si>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</si>
  <si>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</si>
  <si>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</si>
  <si>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</si>
  <si>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</si>
  <si>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</si>
  <si>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</si>
  <si>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</si>
  <si>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</si>
  <si>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</si>
  <si>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</si>
  <si>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</si>
  <si>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</si>
  <si>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</si>
  <si>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</si>
  <si>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</si>
  <si>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</si>
  <si>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</si>
  <si>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</si>
  <si>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</si>
  <si>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</si>
  <si>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</si>
  <si>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</si>
  <si>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</si>
  <si>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</si>
  <si>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</si>
  <si>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</si>
  <si>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</si>
  <si>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</si>
  <si>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</si>
  <si>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</si>
  <si>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</si>
  <si>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</si>
  <si>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</si>
  <si>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</si>
  <si>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</si>
  <si>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</si>
  <si>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</si>
  <si>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</si>
  <si>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</si>
  <si>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</si>
  <si>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</si>
  <si>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</si>
  <si>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</si>
  <si>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</si>
  <si>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</si>
  <si>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</si>
  <si>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</si>
  <si>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</si>
  <si>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</si>
  <si>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</si>
  <si>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</si>
  <si>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</si>
  <si>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</si>
  <si>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</si>
  <si>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</si>
  <si>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</si>
  <si>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</si>
  <si>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</si>
  <si>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</si>
  <si>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</si>
  <si>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</si>
  <si>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</si>
  <si>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</si>
  <si>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</si>
  <si>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</si>
  <si>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</si>
  <si>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</si>
  <si>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</si>
  <si>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</si>
  <si>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</si>
  <si>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</si>
  <si>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</si>
  <si>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</si>
  <si>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</si>
  <si>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</si>
  <si>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</si>
  <si>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</si>
  <si>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</si>
  <si>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</si>
  <si>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</si>
  <si>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</si>
  <si>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</si>
  <si>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</si>
  <si>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</si>
  <si>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</si>
  <si>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</si>
  <si>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</si>
  <si>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</si>
  <si>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</si>
  <si>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</si>
  <si>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</si>
  <si>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</si>
  <si>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</si>
  <si>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</si>
  <si>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</si>
  <si>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</si>
  <si>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</si>
  <si>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</si>
  <si>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</si>
  <si>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</si>
  <si>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</si>
  <si>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</si>
  <si>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</si>
  <si>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</si>
  <si>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</si>
  <si>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</si>
  <si>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</si>
  <si>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</si>
  <si>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</si>
  <si>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</si>
  <si>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</si>
  <si>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</si>
  <si>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</si>
  <si>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</si>
  <si>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</si>
  <si>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</si>
  <si>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</si>
  <si>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</si>
  <si>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</si>
  <si>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</si>
  <si>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</si>
  <si>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</si>
  <si>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</si>
  <si>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</si>
  <si>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</si>
  <si>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</si>
  <si>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</si>
  <si>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</si>
  <si>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</si>
  <si>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</si>
  <si>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</si>
  <si>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</si>
  <si>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</si>
  <si>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</si>
  <si>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</si>
  <si>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</si>
  <si>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</si>
  <si>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</si>
  <si>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</si>
  <si>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</si>
  <si>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</si>
  <si>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</si>
  <si>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</si>
  <si>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</si>
  <si>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</si>
  <si>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</si>
  <si>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</si>
  <si>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</si>
  <si>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</si>
  <si>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</si>
  <si>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</si>
  <si>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</si>
  <si>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</si>
  <si>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</si>
  <si>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</si>
  <si>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</si>
  <si>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</si>
  <si>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</si>
  <si>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</si>
  <si>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</si>
  <si>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</si>
  <si>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</si>
  <si>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</si>
  <si>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</si>
  <si>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</si>
  <si>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</si>
  <si>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</si>
  <si>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</si>
  <si>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</si>
  <si>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</si>
  <si>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</si>
  <si>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</si>
  <si>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</si>
  <si>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</si>
  <si>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</si>
  <si>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</si>
  <si>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</si>
  <si>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</si>
  <si>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</si>
  <si>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</si>
  <si>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</si>
  <si>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</si>
  <si>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</si>
  <si>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</si>
  <si>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</si>
  <si>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</si>
  <si>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</si>
  <si>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</si>
  <si>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</si>
  <si>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</si>
  <si>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</si>
  <si>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</si>
  <si>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</si>
  <si>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</si>
  <si>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</si>
  <si>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</si>
  <si>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</si>
  <si>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</si>
  <si>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</si>
  <si>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</si>
  <si>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</si>
  <si>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</si>
  <si>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</si>
  <si>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</si>
  <si>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</si>
  <si>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</si>
  <si>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</si>
  <si>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</si>
  <si>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</si>
  <si>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</si>
  <si>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</si>
  <si>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</si>
  <si>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</si>
  <si>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</si>
  <si>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</si>
  <si>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</si>
  <si>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</si>
  <si>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</si>
  <si>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</si>
  <si>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</si>
  <si>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</si>
  <si>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</si>
  <si>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</si>
  <si>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</si>
  <si>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</si>
  <si>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</si>
  <si>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</si>
  <si>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</si>
  <si>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</si>
  <si>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</si>
  <si>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</si>
  <si>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</si>
  <si>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</si>
  <si>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</si>
  <si>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</si>
  <si>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</si>
  <si>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</si>
  <si>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</si>
  <si>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</si>
  <si>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</si>
  <si>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</si>
  <si>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</si>
  <si>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</si>
  <si>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</si>
  <si>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</si>
  <si>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</si>
  <si>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</si>
  <si>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</si>
  <si>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</si>
  <si>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</si>
  <si>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</si>
  <si>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</si>
  <si>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</si>
  <si>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</si>
  <si>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</si>
  <si>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</si>
  <si>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</si>
  <si>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</si>
  <si>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</si>
  <si>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</si>
  <si>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</si>
  <si>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</si>
  <si>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</si>
  <si>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</si>
  <si>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</si>
  <si>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</si>
  <si>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</si>
  <si>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</si>
  <si>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</si>
  <si>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</si>
  <si>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</si>
  <si>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</si>
  <si>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</si>
  <si>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</si>
  <si>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</si>
  <si>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</si>
  <si>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</si>
  <si>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</si>
  <si>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</si>
  <si>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</si>
  <si>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</si>
  <si>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</si>
  <si>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</si>
  <si>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</si>
  <si>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</si>
  <si>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</si>
  <si>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</si>
  <si>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</si>
  <si>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</si>
  <si>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</si>
  <si>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</si>
  <si>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</si>
  <si>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</si>
  <si>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</si>
  <si>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</si>
  <si>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</si>
  <si>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</si>
  <si>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</si>
  <si>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</si>
  <si>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</si>
  <si>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</si>
  <si>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</si>
  <si>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</si>
  <si>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</si>
  <si>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</si>
  <si>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</si>
  <si>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</si>
  <si>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</si>
  <si>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</si>
  <si>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</si>
  <si>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</si>
  <si>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</si>
  <si>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</si>
  <si>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</si>
  <si>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</si>
  <si>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</si>
  <si>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</si>
  <si>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</si>
  <si>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</si>
  <si>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</si>
  <si>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</si>
  <si>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</si>
  <si>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</si>
  <si>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</si>
  <si>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</si>
  <si>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</si>
  <si>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</si>
  <si>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</si>
  <si>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</si>
  <si>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</si>
  <si>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</si>
  <si>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</si>
  <si>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</si>
  <si>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</si>
  <si>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</si>
  <si>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</si>
  <si>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</si>
  <si>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</si>
  <si>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</si>
  <si>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</si>
  <si>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</si>
  <si>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</si>
  <si>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</si>
  <si>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</si>
  <si>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</si>
  <si>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</si>
  <si>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</si>
  <si>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</si>
  <si>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</si>
  <si>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</si>
  <si>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</si>
  <si>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</si>
  <si>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</si>
  <si>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</si>
  <si>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</si>
  <si>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</si>
  <si>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</si>
  <si>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</si>
  <si>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</si>
  <si>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</si>
  <si>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</si>
  <si>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</si>
  <si>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</si>
  <si>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</si>
  <si>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</si>
  <si>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</si>
  <si>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</si>
  <si>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</si>
  <si>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</si>
  <si>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</si>
  <si>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</si>
  <si>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</si>
  <si>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</si>
  <si>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</si>
  <si>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</si>
  <si>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</si>
  <si>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</si>
  <si>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</si>
  <si>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</si>
  <si>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</si>
  <si>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</si>
  <si>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</si>
  <si>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</si>
  <si>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</si>
  <si>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</si>
  <si>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</si>
  <si>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</si>
  <si>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</si>
  <si>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</si>
  <si>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</si>
  <si>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</si>
  <si>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</si>
  <si>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</si>
  <si>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</si>
  <si>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</si>
  <si>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</si>
  <si>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</si>
  <si>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</si>
  <si>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</si>
  <si>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</si>
  <si>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</si>
  <si>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</si>
  <si>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</si>
  <si>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</si>
  <si>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</si>
  <si>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</si>
  <si>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</si>
  <si>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</si>
  <si>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</si>
  <si>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</si>
  <si>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</si>
  <si>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</si>
  <si>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</si>
  <si>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</si>
  <si>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</si>
  <si>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</si>
  <si>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</si>
  <si>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</si>
  <si>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</si>
  <si>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</si>
  <si>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</si>
  <si>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</si>
  <si>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</si>
  <si>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</si>
  <si>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</si>
  <si>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</si>
  <si>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</si>
  <si>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</si>
  <si>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</si>
  <si>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</si>
  <si>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</si>
  <si>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</si>
  <si>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</si>
  <si>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</si>
  <si>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</si>
  <si>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</si>
  <si>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</si>
  <si>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</si>
  <si>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</si>
  <si>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</si>
  <si>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</si>
  <si>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</si>
  <si>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</si>
  <si>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</si>
  <si>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</si>
  <si>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</si>
  <si>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</si>
  <si>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</si>
  <si>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</si>
  <si>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</si>
  <si>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</si>
  <si>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</si>
  <si>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</si>
  <si>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</si>
  <si>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</si>
  <si>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</si>
  <si>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</si>
  <si>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</si>
  <si>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</si>
  <si>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</si>
  <si>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</si>
  <si>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</si>
  <si>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</si>
  <si>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</si>
  <si>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</si>
  <si>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</si>
  <si>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</si>
  <si>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</si>
  <si>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</si>
  <si>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</si>
  <si>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</si>
  <si>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</si>
  <si>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</si>
  <si>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</si>
  <si>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</si>
  <si>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</si>
  <si>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</si>
  <si>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</si>
  <si>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</si>
  <si>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</si>
  <si>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</si>
  <si>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</si>
  <si>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</si>
  <si>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</si>
  <si>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</si>
  <si>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</si>
  <si>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</si>
  <si>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</si>
  <si>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</si>
  <si>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</si>
  <si>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</si>
  <si>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</si>
  <si>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</si>
  <si>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</si>
  <si>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</si>
  <si>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</si>
  <si>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</si>
  <si>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</si>
  <si>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</si>
  <si>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</si>
  <si>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</si>
  <si>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</si>
  <si>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</si>
  <si>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</si>
  <si>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</si>
  <si>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</si>
  <si>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</si>
  <si>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</si>
  <si>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</si>
  <si>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</si>
  <si>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</si>
  <si>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</si>
  <si>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</si>
  <si>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</si>
  <si>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</si>
  <si>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</si>
  <si>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</si>
  <si>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</si>
  <si>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</si>
  <si>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</si>
  <si>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</si>
  <si>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</si>
  <si>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</si>
  <si>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</si>
  <si>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</si>
  <si>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</si>
  <si>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</si>
  <si>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</si>
  <si>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</si>
  <si>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</si>
  <si>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</si>
  <si>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</si>
  <si>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</si>
  <si>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</si>
  <si>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</si>
  <si>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</si>
  <si>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</si>
  <si>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</si>
  <si>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</si>
  <si>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</si>
  <si>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</si>
  <si>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</si>
  <si>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</si>
  <si>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</si>
  <si>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</si>
  <si>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</si>
  <si>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</si>
  <si>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</si>
  <si>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</si>
  <si>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</si>
  <si>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</si>
  <si>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</si>
  <si>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</si>
  <si>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</si>
  <si>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</si>
  <si>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</si>
  <si>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</si>
  <si>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</si>
  <si>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</si>
  <si>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</si>
  <si>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</si>
  <si>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</si>
  <si>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</si>
  <si>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</si>
  <si>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</si>
  <si>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</si>
  <si>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</si>
  <si>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</si>
  <si>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</si>
  <si>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</si>
  <si>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</si>
  <si>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</si>
  <si>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</si>
  <si>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</si>
  <si>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</si>
  <si>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</si>
  <si>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</si>
  <si>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</si>
  <si>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</si>
  <si>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</si>
  <si>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</si>
  <si>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</si>
  <si>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</si>
  <si>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</si>
  <si>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</si>
  <si>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</si>
  <si>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</si>
  <si>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</si>
  <si>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</si>
  <si>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</si>
  <si>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</si>
  <si>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</si>
  <si>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</si>
  <si>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</si>
  <si>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</si>
  <si>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</si>
  <si>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</si>
  <si>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</si>
  <si>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</si>
  <si>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</si>
  <si>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</si>
  <si>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</si>
  <si>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</si>
  <si>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</si>
  <si>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</si>
  <si>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</si>
  <si>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</si>
  <si>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</si>
  <si>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</si>
  <si>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</si>
  <si>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</si>
  <si>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</si>
  <si>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</si>
  <si>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</si>
  <si>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</si>
  <si>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</si>
  <si>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</si>
  <si>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</si>
  <si>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</si>
  <si>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</si>
  <si>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</si>
  <si>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</si>
  <si>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</si>
  <si>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</si>
  <si>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</si>
  <si>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</si>
  <si>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</si>
  <si>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</si>
  <si>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</si>
  <si>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</si>
  <si>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</si>
  <si>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</si>
  <si>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</si>
  <si>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</si>
  <si>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</si>
  <si>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</si>
  <si>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</si>
  <si>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</si>
  <si>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</si>
  <si>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</si>
  <si>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</si>
  <si>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</si>
  <si>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</si>
  <si>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</si>
  <si>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</si>
  <si>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</si>
  <si>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</si>
  <si>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</si>
  <si>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</si>
  <si>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</si>
  <si>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</si>
  <si>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</si>
  <si>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</si>
  <si>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</si>
  <si>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</si>
  <si>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</si>
  <si>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</si>
  <si>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</si>
  <si>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</si>
  <si>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</si>
  <si>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</si>
  <si>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</si>
  <si>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</si>
  <si>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</si>
  <si>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</si>
  <si>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</si>
  <si>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</si>
  <si>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</si>
  <si>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</si>
  <si>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</si>
  <si>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</si>
  <si>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</si>
  <si>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</si>
  <si>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</si>
  <si>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</si>
  <si>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</si>
  <si>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</si>
  <si>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</si>
  <si>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</si>
  <si>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</si>
  <si>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</si>
  <si>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</si>
  <si>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</si>
  <si>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</si>
  <si>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</si>
  <si>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</si>
  <si>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</si>
  <si>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</si>
  <si>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</si>
  <si>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</si>
  <si>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</si>
  <si>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</si>
  <si>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</si>
  <si>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</si>
  <si>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</si>
  <si>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</si>
  <si>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</si>
  <si>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</si>
  <si>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</si>
  <si>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</si>
  <si>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</si>
  <si>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</si>
  <si>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</si>
  <si>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</si>
  <si>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</si>
  <si>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</si>
  <si>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</si>
  <si>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</si>
  <si>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</si>
  <si>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</si>
  <si>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</si>
  <si>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</si>
  <si>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</si>
  <si>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</si>
  <si>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</si>
  <si>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</si>
  <si>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</si>
  <si>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</si>
  <si>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</si>
  <si>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</si>
  <si>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</si>
  <si>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</si>
  <si>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</si>
  <si>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</si>
  <si>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</si>
  <si>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</si>
  <si>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</si>
  <si>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</si>
  <si>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</si>
  <si>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</si>
  <si>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</si>
  <si>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</si>
  <si>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</si>
  <si>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</si>
  <si>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</si>
  <si>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</si>
  <si>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</si>
  <si>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</si>
  <si>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</si>
  <si>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</si>
  <si>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</si>
  <si>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</si>
  <si>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</si>
  <si>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</si>
  <si>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</si>
  <si>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</si>
  <si>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</si>
  <si>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</si>
  <si>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</si>
  <si>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</si>
  <si>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</si>
  <si>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</si>
  <si>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</si>
  <si>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</si>
  <si>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</si>
  <si>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</si>
  <si>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</si>
  <si>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</si>
  <si>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</si>
  <si>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</si>
  <si>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</si>
  <si>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</si>
  <si>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</si>
  <si>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</si>
  <si>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</si>
  <si>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</si>
  <si>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</si>
  <si>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</si>
  <si>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</si>
  <si>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</si>
  <si>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</si>
  <si>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</si>
  <si>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</si>
  <si>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</si>
  <si>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</si>
  <si>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</si>
  <si>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</si>
  <si>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</si>
  <si>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</si>
  <si>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</si>
  <si>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</si>
  <si>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</si>
  <si>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</si>
  <si>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</si>
  <si>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</si>
  <si>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</si>
  <si>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</si>
  <si>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</si>
  <si>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</si>
  <si>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</si>
  <si>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</si>
  <si>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</si>
  <si>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</si>
  <si>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</si>
  <si>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</si>
  <si>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</si>
  <si>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</si>
  <si>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</si>
  <si>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</si>
  <si>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</si>
  <si>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</si>
  <si>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</si>
  <si>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</si>
  <si>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</si>
  <si>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</si>
  <si>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</si>
  <si>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</si>
  <si>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</si>
  <si>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</si>
  <si>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</si>
  <si>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</si>
  <si>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</si>
  <si>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</si>
  <si>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</si>
  <si>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</si>
  <si>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</si>
  <si>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</si>
  <si>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</si>
  <si>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</si>
  <si>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</si>
  <si>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</si>
  <si>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</si>
  <si>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</si>
  <si>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</si>
  <si>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</si>
  <si>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</si>
  <si>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</si>
  <si>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</si>
  <si>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</si>
  <si>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</si>
  <si>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</si>
  <si>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</si>
  <si>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</si>
  <si>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</si>
  <si>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</si>
  <si>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</si>
  <si>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</si>
  <si>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</si>
  <si>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</si>
  <si>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</si>
  <si>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</si>
  <si>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</si>
  <si>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</si>
  <si>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</si>
  <si>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</si>
  <si>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</si>
  <si>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</si>
  <si>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</si>
  <si>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</si>
  <si>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</si>
  <si>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</si>
  <si>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</si>
  <si>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</si>
  <si>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</si>
  <si>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</si>
  <si>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</si>
  <si>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</si>
  <si>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</si>
  <si>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</si>
  <si>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</si>
  <si>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</si>
  <si>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</si>
  <si>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</si>
  <si>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</si>
  <si>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</si>
  <si>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</si>
  <si>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</si>
  <si>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</si>
  <si>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</si>
  <si>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</si>
  <si>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</si>
  <si>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</si>
  <si>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</si>
  <si>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</si>
  <si>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</si>
  <si>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</si>
  <si>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</si>
  <si>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</si>
  <si>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</si>
  <si>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</si>
  <si>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</si>
  <si>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</si>
  <si>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</si>
  <si>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</si>
  <si>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</si>
  <si>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</si>
  <si>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</si>
  <si>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</si>
  <si>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</si>
  <si>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</si>
  <si>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</si>
  <si>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</si>
  <si>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</si>
  <si>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</si>
  <si>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</si>
  <si>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</si>
  <si>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</si>
  <si>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</si>
  <si>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</si>
  <si>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</si>
  <si>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</si>
  <si>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</si>
  <si>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</si>
  <si>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</si>
  <si>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</si>
  <si>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</si>
  <si>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</si>
  <si>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</si>
  <si>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</si>
  <si>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</si>
  <si>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</si>
  <si>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</si>
  <si>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</si>
  <si>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</si>
  <si>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</si>
  <si>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</si>
  <si>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</si>
  <si>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</si>
  <si>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</si>
  <si>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</si>
  <si>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</si>
  <si>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</si>
  <si>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</si>
  <si>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</si>
  <si>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</si>
  <si>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</si>
  <si>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</si>
  <si>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</si>
  <si>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</si>
  <si>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</si>
  <si>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</si>
  <si>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</si>
  <si>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</si>
  <si>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</si>
  <si>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</si>
  <si>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</si>
  <si>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</si>
  <si>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</si>
  <si>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</si>
  <si>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</si>
  <si>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</si>
  <si>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</si>
  <si>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</si>
  <si>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</si>
  <si>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</si>
  <si>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</si>
  <si>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</si>
  <si>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</si>
  <si>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</si>
  <si>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</si>
  <si>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</si>
  <si>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</si>
  <si>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</si>
  <si>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</si>
  <si>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</si>
  <si>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</si>
  <si>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</si>
  <si>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</si>
  <si>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</si>
  <si>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</si>
  <si>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</si>
  <si>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</si>
  <si>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</si>
  <si>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</si>
  <si>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</si>
  <si>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</si>
  <si>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</si>
  <si>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</si>
  <si>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</si>
  <si>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</si>
  <si>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</si>
  <si>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</si>
  <si>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</si>
  <si>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</si>
  <si>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</si>
  <si>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</si>
  <si>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</si>
  <si>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</si>
  <si>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</si>
  <si>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</si>
  <si>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</si>
  <si>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</si>
  <si>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</si>
  <si>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</si>
  <si>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</si>
  <si>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</si>
  <si>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</si>
  <si>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</si>
  <si>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</si>
  <si>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</si>
  <si>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</si>
  <si>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</si>
  <si>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</si>
  <si>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</si>
  <si>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</si>
  <si>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</si>
  <si>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</si>
  <si>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</si>
  <si>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</si>
  <si>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</si>
  <si>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</si>
  <si>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</si>
  <si>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</si>
  <si>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</si>
  <si>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</si>
  <si>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</si>
  <si>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</si>
  <si>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</si>
  <si>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</si>
  <si>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</si>
  <si>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</si>
  <si>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</si>
  <si>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</si>
  <si>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</si>
  <si>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</si>
  <si>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</si>
  <si>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</si>
  <si>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</si>
  <si>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</si>
  <si>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</si>
  <si>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</si>
  <si>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</si>
  <si>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</si>
  <si>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</si>
  <si>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</si>
  <si>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</si>
  <si>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</si>
  <si>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</si>
  <si>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</si>
  <si>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</si>
  <si>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</si>
  <si>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</si>
  <si>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</si>
  <si>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</si>
  <si>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</si>
  <si>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</si>
  <si>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</si>
  <si>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</si>
  <si>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</si>
  <si>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</si>
  <si>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</si>
  <si>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</si>
  <si>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</si>
  <si>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</si>
  <si>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</si>
  <si>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</si>
  <si>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</si>
  <si>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</si>
  <si>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</si>
  <si>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</si>
  <si>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</si>
  <si>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</si>
  <si>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</si>
  <si>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</si>
  <si>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</si>
  <si>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</si>
  <si>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</si>
  <si>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</si>
  <si>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</si>
  <si>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</si>
  <si>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</si>
  <si>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</si>
  <si>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</si>
  <si>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</si>
  <si>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</si>
  <si>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</si>
  <si>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</si>
  <si>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</si>
  <si>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</si>
  <si>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</si>
  <si>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</si>
  <si>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</si>
  <si>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</si>
  <si>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</si>
  <si>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</si>
  <si>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</si>
  <si>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</si>
  <si>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</si>
  <si>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</si>
  <si>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</si>
  <si>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</si>
  <si>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</si>
  <si>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</si>
  <si>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</si>
  <si>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</si>
  <si>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</si>
  <si>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</si>
  <si>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</si>
  <si>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</si>
  <si>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</si>
  <si>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</si>
  <si>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</si>
  <si>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</si>
  <si>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</si>
  <si>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</si>
  <si>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</si>
  <si>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</si>
  <si>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</si>
  <si>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</si>
  <si>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</si>
  <si>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</si>
  <si>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</si>
  <si>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</si>
  <si>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</si>
  <si>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</si>
  <si>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</si>
  <si>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</si>
  <si>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</si>
  <si>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</si>
  <si>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</si>
  <si>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</si>
  <si>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</si>
  <si>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</si>
  <si>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</si>
  <si>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</si>
  <si>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</si>
  <si>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</si>
  <si>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</si>
  <si>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</si>
  <si>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</si>
  <si>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</si>
  <si>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</si>
  <si>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</si>
  <si>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</si>
  <si>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</si>
  <si>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</si>
  <si>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</si>
  <si>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</si>
  <si>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</si>
  <si>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</si>
  <si>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</si>
  <si>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</si>
  <si>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</si>
  <si>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</si>
  <si>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</si>
  <si>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</si>
  <si>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</si>
  <si>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</si>
  <si>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</si>
  <si>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</si>
  <si>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</si>
  <si>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</si>
  <si>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</si>
  <si>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</si>
  <si>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</si>
  <si>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</si>
  <si>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</si>
  <si>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</si>
  <si>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</si>
  <si>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</si>
  <si>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</si>
  <si>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</si>
  <si>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</si>
  <si>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</si>
  <si>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</si>
  <si>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</si>
  <si>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</si>
  <si>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</si>
  <si>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</si>
  <si>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</si>
  <si>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</si>
  <si>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</si>
  <si>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</si>
  <si>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</si>
  <si>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</si>
  <si>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</si>
  <si>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</si>
  <si>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</si>
  <si>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</si>
  <si>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</si>
  <si>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</si>
  <si>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</si>
  <si>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</si>
  <si>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</si>
  <si>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</si>
  <si>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</si>
  <si>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</si>
  <si>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</si>
  <si>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</si>
  <si>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</si>
  <si>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</si>
  <si>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</si>
  <si>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</si>
  <si>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</si>
  <si>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</si>
  <si>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</si>
  <si>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</si>
  <si>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</si>
  <si>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</si>
  <si>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</si>
  <si>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</si>
  <si>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</si>
  <si>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</si>
  <si>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</si>
  <si>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</si>
  <si>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</si>
  <si>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</si>
  <si>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</si>
  <si>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</si>
  <si>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</si>
  <si>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</si>
  <si>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</si>
  <si>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</si>
  <si>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</si>
  <si>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</si>
  <si>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</si>
  <si>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</si>
  <si>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</si>
  <si>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</si>
  <si>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</si>
  <si>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</si>
  <si>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</si>
  <si>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</si>
  <si>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</si>
  <si>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</si>
  <si>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</si>
  <si>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</si>
  <si>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</si>
  <si>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</si>
  <si>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</si>
  <si>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</si>
  <si>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</si>
  <si>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</si>
  <si>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</si>
  <si>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</si>
  <si>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</si>
  <si>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</si>
  <si>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</si>
  <si>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</si>
  <si>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</si>
  <si>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</si>
  <si>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</si>
  <si>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</si>
  <si>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</si>
  <si>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</si>
  <si>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</si>
  <si>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</si>
  <si>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</si>
  <si>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</si>
  <si>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</si>
  <si>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</si>
  <si>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</si>
  <si>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</si>
  <si>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</si>
  <si>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</si>
  <si>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</si>
  <si>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</si>
  <si>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</si>
  <si>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</si>
  <si>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</si>
  <si>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</si>
  <si>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</si>
  <si>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</si>
  <si>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</si>
  <si>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</si>
  <si>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</si>
  <si>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</si>
  <si>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</si>
  <si>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</si>
  <si>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</si>
  <si>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</si>
  <si>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</si>
  <si>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</si>
  <si>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</si>
  <si>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</si>
  <si>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</si>
  <si>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</si>
  <si>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</si>
  <si>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</si>
  <si>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</si>
  <si>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</si>
  <si>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</si>
  <si>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</si>
  <si>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</si>
  <si>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</si>
  <si>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</si>
  <si>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</si>
  <si>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</si>
  <si>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</si>
  <si>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</si>
  <si>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</si>
  <si>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</si>
  <si>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</si>
  <si>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</si>
  <si>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</si>
  <si>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</si>
  <si>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</si>
  <si>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</si>
  <si>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</si>
  <si>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</si>
  <si>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</si>
  <si>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</si>
  <si>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</si>
  <si>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</si>
  <si>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</si>
  <si>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</si>
  <si>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</si>
  <si>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</si>
  <si>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</si>
  <si>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</si>
  <si>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</si>
  <si>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</si>
  <si>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</si>
  <si>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</si>
  <si>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</si>
  <si>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</si>
  <si>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</si>
  <si>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</si>
  <si>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</si>
  <si>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</si>
  <si>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</si>
  <si>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</si>
  <si>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</si>
  <si>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</si>
  <si>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</si>
  <si>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</si>
  <si>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</si>
  <si>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</si>
  <si>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</si>
  <si>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</si>
  <si>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</si>
  <si>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</si>
  <si>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</si>
  <si>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</si>
  <si>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</si>
  <si>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</si>
  <si>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</si>
  <si>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</si>
  <si>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</si>
  <si>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</si>
  <si>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</si>
  <si>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</si>
  <si>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</si>
  <si>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</si>
  <si>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</si>
  <si>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</si>
  <si>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</si>
  <si>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</si>
  <si>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</si>
  <si>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</si>
  <si>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</si>
  <si>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</si>
  <si>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</si>
  <si>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</si>
  <si>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</si>
  <si>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</si>
  <si>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</si>
  <si>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</si>
  <si>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</si>
  <si>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</si>
  <si>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</si>
  <si>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</si>
  <si>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</si>
  <si>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</si>
  <si>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</si>
  <si>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</si>
  <si>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</si>
  <si>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</si>
  <si>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</si>
  <si>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</si>
  <si>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</si>
  <si>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</si>
  <si>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</si>
  <si>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</si>
  <si>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</si>
  <si>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</si>
  <si>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</si>
  <si>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</si>
  <si>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</si>
  <si>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</si>
  <si>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</si>
  <si>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</si>
  <si>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</si>
  <si>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</si>
  <si>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</si>
  <si>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</si>
  <si>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</si>
  <si>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</si>
  <si>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</si>
  <si>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</si>
  <si>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</si>
  <si>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</si>
  <si>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</si>
  <si>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</si>
  <si>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</si>
  <si>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</si>
  <si>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</si>
  <si>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</si>
  <si>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</si>
  <si>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</si>
  <si>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</si>
  <si>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</si>
  <si>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</si>
  <si>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</si>
  <si>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</si>
  <si>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</si>
  <si>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</si>
  <si>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</si>
  <si>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</si>
  <si>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</si>
  <si>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</si>
  <si>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</si>
  <si>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</si>
  <si>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</si>
  <si>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</si>
  <si>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</si>
  <si>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</si>
  <si>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</si>
  <si>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</si>
  <si>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</si>
  <si>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</si>
  <si>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</si>
  <si>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</si>
  <si>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</si>
  <si>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</si>
  <si>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</si>
  <si>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</si>
  <si>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</si>
  <si>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</si>
  <si>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</si>
  <si>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</si>
  <si>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</si>
  <si>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</si>
  <si>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</si>
  <si>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</si>
  <si>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</si>
  <si>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</si>
  <si>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</si>
  <si>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</si>
  <si>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</si>
  <si>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</si>
  <si>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</si>
  <si>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</si>
  <si>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</si>
  <si>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</si>
  <si>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</si>
  <si>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</si>
  <si>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</si>
  <si>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</si>
  <si>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</si>
  <si>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</si>
  <si>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</si>
  <si>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</si>
  <si>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</si>
  <si>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</si>
  <si>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</si>
  <si>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</si>
  <si>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</si>
  <si>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</si>
  <si>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</si>
  <si>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</si>
  <si>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</si>
  <si>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</si>
  <si>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</si>
  <si>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</si>
  <si>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</si>
  <si>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</si>
  <si>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</si>
  <si>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</si>
  <si>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</si>
  <si>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</si>
  <si>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</si>
  <si>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</si>
  <si>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</si>
  <si>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</si>
  <si>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</si>
  <si>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</si>
  <si>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</si>
  <si>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</si>
  <si>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</si>
  <si>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</si>
  <si>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</si>
  <si>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</si>
  <si>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</si>
  <si>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</si>
  <si>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</si>
  <si>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</si>
  <si>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</si>
  <si>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</si>
  <si>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</si>
  <si>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</si>
  <si>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</si>
  <si>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</si>
  <si>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</si>
  <si>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</si>
  <si>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</si>
  <si>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</si>
  <si>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</si>
  <si>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</si>
  <si>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</si>
  <si>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</si>
  <si>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</si>
  <si>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</si>
  <si>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</si>
  <si>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</si>
  <si>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</si>
  <si>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</si>
  <si>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</si>
  <si>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</si>
  <si>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</si>
  <si>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</si>
  <si>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</si>
  <si>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</si>
  <si>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</si>
  <si>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</si>
  <si>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</si>
  <si>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</si>
  <si>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</si>
  <si>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</si>
  <si>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</si>
  <si>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</si>
  <si>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</si>
  <si>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</si>
  <si>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</si>
  <si>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</si>
  <si>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</si>
  <si>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</si>
  <si>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</si>
  <si>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</si>
  <si>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</si>
  <si>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</si>
  <si>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</si>
  <si>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</si>
  <si>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</si>
  <si>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</si>
  <si>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</si>
  <si>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</si>
  <si>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</si>
  <si>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</si>
  <si>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</si>
  <si>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</si>
  <si>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</si>
  <si>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</si>
  <si>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</si>
  <si>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</si>
  <si>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</si>
  <si>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</si>
  <si>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</si>
  <si>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</si>
  <si>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</si>
  <si>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</si>
  <si>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</si>
  <si>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</si>
  <si>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</si>
  <si>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</si>
  <si>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</si>
  <si>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</si>
  <si>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</si>
  <si>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</si>
  <si>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</si>
  <si>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</si>
  <si>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</si>
  <si>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</si>
  <si>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</si>
  <si>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</si>
  <si>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</si>
  <si>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</si>
  <si>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</si>
  <si>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</si>
  <si>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</si>
  <si>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</si>
  <si>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</si>
  <si>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</si>
  <si>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</si>
  <si>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</si>
  <si>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</si>
  <si>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</si>
  <si>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</si>
  <si>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</si>
  <si>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</si>
  <si>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</si>
  <si>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</si>
  <si>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</si>
  <si>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</si>
  <si>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</si>
  <si>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</si>
  <si>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</si>
  <si>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</si>
  <si>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</si>
  <si>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</si>
  <si>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</si>
  <si>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</si>
  <si>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</si>
  <si>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</si>
  <si>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</si>
  <si>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</si>
  <si>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</si>
  <si>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</si>
  <si>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</si>
  <si>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</si>
  <si>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</si>
  <si>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</si>
  <si>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</si>
  <si>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</si>
  <si>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</si>
  <si>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</si>
  <si>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</si>
  <si>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</si>
  <si>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</si>
  <si>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</si>
  <si>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</si>
  <si>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</si>
  <si>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</si>
  <si>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</si>
  <si>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</si>
  <si>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</si>
  <si>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</si>
  <si>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</si>
  <si>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</si>
  <si>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</si>
  <si>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</si>
  <si>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</si>
  <si>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</si>
  <si>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</si>
  <si>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</si>
  <si>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</si>
  <si>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</si>
  <si>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</si>
  <si>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</si>
  <si>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</si>
  <si>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</si>
  <si>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</si>
  <si>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</si>
  <si>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</si>
  <si>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</si>
  <si>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</si>
  <si>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</si>
  <si>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</si>
  <si>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</si>
  <si>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</si>
  <si>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</si>
  <si>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</si>
  <si>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</si>
  <si>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</si>
  <si>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</si>
  <si>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</si>
  <si>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</si>
  <si>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</si>
  <si>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</si>
  <si>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</si>
  <si>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</si>
  <si>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</si>
  <si>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</si>
  <si>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</si>
  <si>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</si>
  <si>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</si>
  <si>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</si>
  <si>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</si>
  <si>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</si>
  <si>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</si>
  <si>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</si>
  <si>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</si>
  <si>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</si>
  <si>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</si>
  <si>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</si>
  <si>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</si>
  <si>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</si>
  <si>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</si>
  <si>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</si>
  <si>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</si>
  <si>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</si>
  <si>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</si>
  <si>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</si>
  <si>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</si>
  <si>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</si>
  <si>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</si>
  <si>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</si>
  <si>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</si>
  <si>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</si>
  <si>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</si>
  <si>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</si>
  <si>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</si>
  <si>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</si>
  <si>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</si>
  <si>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</si>
  <si>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</si>
  <si>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</si>
  <si>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</si>
  <si>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</si>
  <si>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</si>
  <si>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</si>
  <si>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</si>
  <si>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</si>
  <si>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</si>
  <si>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</si>
  <si>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</si>
  <si>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</si>
  <si>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</si>
  <si>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</si>
  <si>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</si>
  <si>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</si>
  <si>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</si>
  <si>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</si>
  <si>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</si>
  <si>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</si>
  <si>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</si>
  <si>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</si>
  <si>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</si>
  <si>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</si>
  <si>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</si>
  <si>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</si>
  <si>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</si>
  <si>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</si>
  <si>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</si>
  <si>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</si>
  <si>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</si>
  <si>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</si>
  <si>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</si>
  <si>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</si>
  <si>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</si>
  <si>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</si>
  <si>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</si>
  <si>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</si>
  <si>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</si>
  <si>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</si>
  <si>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</si>
  <si>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</si>
  <si>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</si>
  <si>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</si>
  <si>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</si>
  <si>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</si>
  <si>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</si>
  <si>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</si>
  <si>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</si>
  <si>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</si>
  <si>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</si>
  <si>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</si>
  <si>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</si>
  <si>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</si>
  <si>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</si>
  <si>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</si>
  <si>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</si>
  <si>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</si>
  <si>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</si>
  <si>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</si>
  <si>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</si>
  <si>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</si>
  <si>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</si>
  <si>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</si>
  <si>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</si>
  <si>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</si>
  <si>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</si>
  <si>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</si>
  <si>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</si>
  <si>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</si>
  <si>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</si>
  <si>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</si>
  <si>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</si>
  <si>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</si>
  <si>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</si>
  <si>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</si>
  <si>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</si>
  <si>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</si>
  <si>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</si>
  <si>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</si>
  <si>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</si>
  <si>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</si>
  <si>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</si>
  <si>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</si>
  <si>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</si>
  <si>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</si>
  <si>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</si>
  <si>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</si>
  <si>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</si>
  <si>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</si>
  <si>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</si>
  <si>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</si>
  <si>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</si>
  <si>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</si>
  <si>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</si>
  <si>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</si>
  <si>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</si>
  <si>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</si>
  <si>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</si>
  <si>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</si>
  <si>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</si>
  <si>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</si>
  <si>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</si>
  <si>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</si>
  <si>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</si>
  <si>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</si>
  <si>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</si>
  <si>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</si>
  <si>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</si>
  <si>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</si>
  <si>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</si>
  <si>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</si>
  <si>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</si>
  <si>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</si>
  <si>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</si>
  <si>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</si>
  <si>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</si>
  <si>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</si>
  <si>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</si>
  <si>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</si>
  <si>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</si>
  <si>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</si>
  <si>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</si>
  <si>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</si>
  <si>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</si>
  <si>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</si>
  <si>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</si>
  <si>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</si>
  <si>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</si>
  <si>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</si>
  <si>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</si>
  <si>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</si>
  <si>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</si>
  <si>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</si>
  <si>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</si>
  <si>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</si>
  <si>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</si>
  <si>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</si>
  <si>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</si>
  <si>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</si>
  <si>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</si>
  <si>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</si>
  <si>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</si>
  <si>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</si>
  <si>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</si>
  <si>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</si>
  <si>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</si>
  <si>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</si>
  <si>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</si>
  <si>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</si>
  <si>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</si>
  <si>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</si>
  <si>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</si>
  <si>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</si>
  <si>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</si>
  <si>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</si>
  <si>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</si>
  <si>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</si>
  <si>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</si>
  <si>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</si>
  <si>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</si>
  <si>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</si>
  <si>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</si>
  <si>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</si>
  <si>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</si>
  <si>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</si>
  <si>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</si>
  <si>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</si>
  <si>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</si>
  <si>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</si>
  <si>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</si>
  <si>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</si>
  <si>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</si>
  <si>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</si>
  <si>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</si>
  <si>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</si>
  <si>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</si>
  <si>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</si>
  <si>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</si>
  <si>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</si>
  <si>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</si>
  <si>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</si>
  <si>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</si>
  <si>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</si>
  <si>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</si>
  <si>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</si>
  <si>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</si>
  <si>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</si>
  <si>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</si>
  <si>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</si>
  <si>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</si>
  <si>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</si>
  <si>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</si>
  <si>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</si>
  <si>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</si>
  <si>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</si>
  <si>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</si>
  <si>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</si>
  <si>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</si>
  <si>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</si>
  <si>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</si>
  <si>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</si>
  <si>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</si>
  <si>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</si>
  <si>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</si>
  <si>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</si>
  <si>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</si>
  <si>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</si>
  <si>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</si>
  <si>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</si>
  <si>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</si>
  <si>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</si>
  <si>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</si>
  <si>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</si>
  <si>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</si>
  <si>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</si>
  <si>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</si>
  <si>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</si>
  <si>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</si>
  <si>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</si>
  <si>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</si>
  <si>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</si>
  <si>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</si>
  <si>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</si>
  <si>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</si>
  <si>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</si>
  <si>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</si>
  <si>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</si>
  <si>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</si>
  <si>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</si>
  <si>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</si>
  <si>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</si>
  <si>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</si>
  <si>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</si>
  <si>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</si>
  <si>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</si>
  <si>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</si>
  <si>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</si>
  <si>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</si>
  <si>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</si>
  <si>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</si>
  <si>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</si>
  <si>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</si>
  <si>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</si>
  <si>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</si>
  <si>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</si>
  <si>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</si>
  <si>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</si>
  <si>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</si>
  <si>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</si>
  <si>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</si>
  <si>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</si>
  <si>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</si>
  <si>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</si>
  <si>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</si>
  <si>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</si>
  <si>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</si>
  <si>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</si>
  <si>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</si>
  <si>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</si>
  <si>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</si>
  <si>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</si>
  <si>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</si>
  <si>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</si>
  <si>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</si>
  <si>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</si>
  <si>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</si>
  <si>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</si>
  <si>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</si>
  <si>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</si>
  <si>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</si>
  <si>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</si>
  <si>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</si>
  <si>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</si>
  <si>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</si>
  <si>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</si>
  <si>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</si>
  <si>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</si>
  <si>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</si>
  <si>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</si>
  <si>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</si>
  <si>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</si>
  <si>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</si>
  <si>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</si>
  <si>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</si>
  <si>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</si>
  <si>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</si>
  <si>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</si>
  <si>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</si>
  <si>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</si>
  <si>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</si>
  <si>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</si>
  <si>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</si>
  <si>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</si>
  <si>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</si>
  <si>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</si>
  <si>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</si>
  <si>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</si>
  <si>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</si>
  <si>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</si>
  <si>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</si>
  <si>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</si>
  <si>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</si>
  <si>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</si>
  <si>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</si>
  <si>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</si>
  <si>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</si>
  <si>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</si>
  <si>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</si>
  <si>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</si>
  <si>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</si>
  <si>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</si>
  <si>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</si>
  <si>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</si>
  <si>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</si>
  <si>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</si>
  <si>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</si>
  <si>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</si>
  <si>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</si>
  <si>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</si>
  <si>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</si>
  <si>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</si>
  <si>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</si>
  <si>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</si>
  <si>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</si>
  <si>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</si>
  <si>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</si>
  <si>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</si>
  <si>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940</t>
  </si>
  <si>
    <t>AVANCES 17089147</t>
  </si>
  <si>
    <t>AVANCES - STM</t>
  </si>
  <si>
    <t>AVANCES 9509</t>
  </si>
  <si>
    <t>1801</t>
  </si>
  <si>
    <t>180</t>
  </si>
  <si>
    <t>Salaire Commis N et U</t>
  </si>
  <si>
    <t>7910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</si>
</sst>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8" formatCode="&quot;$&quot;#,##0.00_);[Red]\(&quot;$&quot;#,##0.0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0\ &quot;$&quot;_);[Red]\(#,##0.00\ &quot;$&quot;\)"/>
    <numFmt numFmtId="167" formatCode="_ * #,##0.00_)\ &quot;$&quot;_ ;_ * \(#,##0.00\)\ &quot;$&quot;_ ;_ * &quot;-&quot;??_)\ &quot;$&quot;_ ;_ @_ "/>
    <numFmt numFmtId="168" formatCode="&quot;$&quot;#,##0"/>
    <numFmt numFmtId="169" formatCode="_ * #,##0_)\ _$_ ;_ * \(#,##0\)\ _$_ ;_ * &quot;-&quot;_)\ _$_ ;_ @_ "/>
    <numFmt numFmtId="170" formatCode="_-* #,##0\ _$_-;_-* #,##0\ _$\-;_-* &quot;-&quot;??\ _$_-;_-@"/>
    <numFmt numFmtId="171" formatCode="_(* #,##0_);_(* \(#,##0\);_(* &quot;-&quot;??_);_(@_)"/>
    <numFmt numFmtId="172" formatCode="dd\/mm\/yy_)"/>
    <numFmt numFmtId="173" formatCode="0_)"/>
    <numFmt numFmtId="174" formatCode="0.0%"/>
    <numFmt numFmtId="175" formatCode="0.00_)"/>
    <numFmt numFmtId="176" formatCode="_ * #,##0.00_)\ _$_ ;_ * \(#,##0.00\)\ _$_ ;_ * &quot;-&quot;??_)\ _$_ ;_ @_ "/>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 numFmtId="184" formatCode="#,###.00;\-#,###.00;.00;@"/>
    <numFmt numFmtId="185" formatCode="#;#;0;@"/>
    <numFmt numFmtId="186" formatCode="#,##0.00;\-#,##0.00;0.00;@"/>
  </numFmts>
  <fonts count="19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48">
    <xf numFmtId="0" fontId="0" fillId="0" borderId="0"/>
    <xf numFmtId="43" fontId="129" fillId="0" borderId="0" applyFont="0" applyFill="0" applyBorder="0" applyAlignment="0" applyProtection="0"/>
    <xf numFmtId="9" fontId="129" fillId="0" borderId="0" applyFont="0" applyFill="0" applyBorder="0" applyAlignment="0" applyProtection="0"/>
    <xf numFmtId="167" fontId="187" fillId="0" borderId="0" applyFont="0" applyFill="0" applyBorder="0" applyAlignment="0" applyProtection="0"/>
    <xf numFmtId="0" fontId="125" fillId="0" borderId="1"/>
    <xf numFmtId="165" fontId="125" fillId="0" borderId="1" applyFont="0" applyFill="0" applyBorder="0" applyAlignment="0" applyProtection="0"/>
    <xf numFmtId="0" fontId="124" fillId="0" borderId="1"/>
    <xf numFmtId="165" fontId="124" fillId="0" borderId="1" applyFont="0" applyFill="0" applyBorder="0" applyAlignment="0" applyProtection="0"/>
    <xf numFmtId="0" fontId="123" fillId="0" borderId="1"/>
    <xf numFmtId="165" fontId="123" fillId="0" borderId="1" applyFont="0" applyFill="0" applyBorder="0" applyAlignment="0" applyProtection="0"/>
    <xf numFmtId="0" fontId="122" fillId="0" borderId="1"/>
    <xf numFmtId="0" fontId="121" fillId="0" borderId="1"/>
    <xf numFmtId="165" fontId="121" fillId="0" borderId="1" applyFont="0" applyFill="0" applyBorder="0" applyAlignment="0" applyProtection="0"/>
    <xf numFmtId="0" fontId="120" fillId="0" borderId="1"/>
    <xf numFmtId="165" fontId="120" fillId="0" borderId="1" applyFont="0" applyFill="0" applyBorder="0" applyAlignment="0" applyProtection="0"/>
    <xf numFmtId="167"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165" fontId="120" fillId="0" borderId="1" applyFont="0" applyFill="0" applyBorder="0" applyAlignment="0" applyProtection="0"/>
    <xf numFmtId="0" fontId="120" fillId="0" borderId="1"/>
    <xf numFmtId="0" fontId="120" fillId="0" borderId="1"/>
    <xf numFmtId="165" fontId="120" fillId="0" borderId="1" applyFont="0" applyFill="0" applyBorder="0" applyAlignment="0" applyProtection="0"/>
    <xf numFmtId="167" fontId="120" fillId="0" borderId="1" applyFont="0" applyFill="0" applyBorder="0" applyAlignment="0" applyProtection="0"/>
    <xf numFmtId="0" fontId="119" fillId="0" borderId="1"/>
    <xf numFmtId="165" fontId="119" fillId="0" borderId="1" applyFont="0" applyFill="0" applyBorder="0" applyAlignment="0" applyProtection="0"/>
    <xf numFmtId="0" fontId="118" fillId="0" borderId="1"/>
    <xf numFmtId="165" fontId="118" fillId="0" borderId="1" applyFont="0" applyFill="0" applyBorder="0" applyAlignment="0" applyProtection="0"/>
    <xf numFmtId="0" fontId="117" fillId="0" borderId="1"/>
    <xf numFmtId="165" fontId="117" fillId="0" borderId="1" applyFont="0" applyFill="0" applyBorder="0" applyAlignment="0" applyProtection="0"/>
    <xf numFmtId="0" fontId="116" fillId="0" borderId="1"/>
    <xf numFmtId="165" fontId="116" fillId="0" borderId="1" applyFont="0" applyFill="0" applyBorder="0" applyAlignment="0" applyProtection="0"/>
    <xf numFmtId="0" fontId="115" fillId="0" borderId="1"/>
    <xf numFmtId="167"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167"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0" fontId="115" fillId="0" borderId="1"/>
    <xf numFmtId="165" fontId="115" fillId="0" borderId="1" applyFont="0" applyFill="0" applyBorder="0" applyAlignment="0" applyProtection="0"/>
    <xf numFmtId="167"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167"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7"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9"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7"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9"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9"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7"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5" fontId="95" fillId="0" borderId="1" applyFont="0" applyFill="0" applyBorder="0" applyAlignment="0" applyProtection="0"/>
    <xf numFmtId="9" fontId="95" fillId="0" borderId="1" applyFont="0" applyFill="0" applyBorder="0" applyAlignment="0" applyProtection="0"/>
    <xf numFmtId="167"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0" fontId="84" fillId="0" borderId="1"/>
    <xf numFmtId="9" fontId="84" fillId="0" borderId="1" applyFont="0" applyFill="0" applyBorder="0" applyAlignment="0" applyProtection="0"/>
    <xf numFmtId="44"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0" fontId="81" fillId="0" borderId="1"/>
    <xf numFmtId="0" fontId="80" fillId="0" borderId="1"/>
    <xf numFmtId="0" fontId="79" fillId="0" borderId="1"/>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7"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9" fontId="78" fillId="0" borderId="1" applyFont="0" applyFill="0" applyBorder="0" applyAlignment="0" applyProtection="0"/>
    <xf numFmtId="164"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0" fontId="78" fillId="0" borderId="1"/>
    <xf numFmtId="0" fontId="78" fillId="0" borderId="1"/>
    <xf numFmtId="0" fontId="190" fillId="0" borderId="0" applyNumberFormat="0" applyFill="0" applyBorder="0" applyAlignment="0" applyProtection="0"/>
    <xf numFmtId="0" fontId="77" fillId="0" borderId="1"/>
    <xf numFmtId="0" fontId="76" fillId="0" borderId="1"/>
    <xf numFmtId="0" fontId="75" fillId="0" borderId="1"/>
    <xf numFmtId="0" fontId="74" fillId="0" borderId="1"/>
    <xf numFmtId="0" fontId="73"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92">
    <xf numFmtId="0" fontId="0" fillId="0" borderId="0" xfId="0"/>
    <xf numFmtId="0" fontId="126" fillId="0" borderId="0" xfId="0" applyFont="1"/>
    <xf numFmtId="0" fontId="127" fillId="2" borderId="1" xfId="0" applyFont="1" applyFill="1" applyBorder="1" applyAlignment="1">
      <alignment horizontal="center"/>
    </xf>
    <xf numFmtId="0" fontId="127" fillId="0" borderId="0" xfId="0" applyFont="1"/>
    <xf numFmtId="0" fontId="128" fillId="0" borderId="0" xfId="0" applyFont="1" applyAlignment="1">
      <alignment horizontal="center"/>
    </xf>
    <xf numFmtId="0" fontId="129" fillId="0" borderId="0" xfId="0" applyFont="1"/>
    <xf numFmtId="0" fontId="126" fillId="0" borderId="0" xfId="0" applyFont="1" applyAlignment="1">
      <alignment horizontal="center"/>
    </xf>
    <xf numFmtId="168" fontId="127" fillId="0" borderId="0" xfId="0" applyNumberFormat="1" applyFont="1" applyAlignment="1">
      <alignment horizontal="center"/>
    </xf>
    <xf numFmtId="0" fontId="130" fillId="0" borderId="0" xfId="0" applyFont="1" applyAlignment="1">
      <alignment horizontal="left"/>
    </xf>
    <xf numFmtId="0" fontId="131" fillId="0" borderId="0" xfId="0" applyFont="1" applyAlignment="1">
      <alignment horizontal="center"/>
    </xf>
    <xf numFmtId="0" fontId="131" fillId="0" borderId="0" xfId="0" applyFont="1" applyAlignment="1">
      <alignment horizontal="right"/>
    </xf>
    <xf numFmtId="0" fontId="130" fillId="0" borderId="0" xfId="0" applyFont="1"/>
    <xf numFmtId="0" fontId="127" fillId="0" borderId="2" xfId="0" applyFont="1" applyBorder="1"/>
    <xf numFmtId="0" fontId="132" fillId="0" borderId="3" xfId="0" applyFont="1" applyBorder="1"/>
    <xf numFmtId="169" fontId="132" fillId="0" borderId="4" xfId="0" applyNumberFormat="1" applyFont="1" applyBorder="1"/>
    <xf numFmtId="170" fontId="132" fillId="0" borderId="0" xfId="0" applyNumberFormat="1" applyFont="1"/>
    <xf numFmtId="170" fontId="132" fillId="0" borderId="5" xfId="0" applyNumberFormat="1" applyFont="1" applyBorder="1"/>
    <xf numFmtId="0" fontId="133" fillId="0" borderId="6" xfId="0" applyFont="1" applyBorder="1"/>
    <xf numFmtId="169" fontId="133" fillId="0" borderId="7" xfId="0" applyNumberFormat="1" applyFont="1" applyBorder="1"/>
    <xf numFmtId="170" fontId="133" fillId="0" borderId="0" xfId="0" applyNumberFormat="1" applyFont="1"/>
    <xf numFmtId="0" fontId="132" fillId="0" borderId="8" xfId="0" applyFont="1" applyBorder="1"/>
    <xf numFmtId="169" fontId="132" fillId="0" borderId="9" xfId="0" applyNumberFormat="1" applyFont="1" applyBorder="1"/>
    <xf numFmtId="0" fontId="133" fillId="0" borderId="8" xfId="0" applyFont="1" applyBorder="1"/>
    <xf numFmtId="0" fontId="133" fillId="3" borderId="10" xfId="0" applyFont="1" applyFill="1" applyBorder="1"/>
    <xf numFmtId="169" fontId="133" fillId="3" borderId="11" xfId="0" applyNumberFormat="1" applyFont="1" applyFill="1" applyBorder="1"/>
    <xf numFmtId="0" fontId="133" fillId="3" borderId="12" xfId="0" applyFont="1" applyFill="1" applyBorder="1"/>
    <xf numFmtId="169" fontId="133" fillId="3" borderId="13" xfId="0" applyNumberFormat="1" applyFont="1" applyFill="1" applyBorder="1"/>
    <xf numFmtId="0" fontId="133" fillId="0" borderId="0" xfId="0" applyFont="1"/>
    <xf numFmtId="169" fontId="132" fillId="0" borderId="7" xfId="0" applyNumberFormat="1" applyFont="1" applyBorder="1"/>
    <xf numFmtId="170" fontId="127" fillId="0" borderId="0" xfId="0" applyNumberFormat="1" applyFont="1"/>
    <xf numFmtId="0" fontId="127" fillId="0" borderId="8" xfId="0" applyFont="1" applyBorder="1"/>
    <xf numFmtId="169" fontId="127" fillId="0" borderId="9" xfId="0" applyNumberFormat="1" applyFont="1" applyBorder="1"/>
    <xf numFmtId="171" fontId="127" fillId="0" borderId="0" xfId="0" applyNumberFormat="1" applyFont="1"/>
    <xf numFmtId="0" fontId="127" fillId="0" borderId="0" xfId="0" applyFont="1" applyAlignment="1">
      <alignment horizontal="center"/>
    </xf>
    <xf numFmtId="0" fontId="135" fillId="0" borderId="0" xfId="0" applyFont="1" applyAlignment="1">
      <alignment horizontal="center"/>
    </xf>
    <xf numFmtId="0" fontId="131" fillId="4" borderId="15" xfId="0" applyFont="1" applyFill="1" applyBorder="1" applyAlignment="1">
      <alignment horizontal="center"/>
    </xf>
    <xf numFmtId="0" fontId="131" fillId="0" borderId="0" xfId="0" applyFont="1"/>
    <xf numFmtId="172" fontId="136" fillId="0" borderId="0" xfId="0" applyNumberFormat="1" applyFont="1" applyAlignment="1">
      <alignment horizontal="left"/>
    </xf>
    <xf numFmtId="0" fontId="136" fillId="0" borderId="0" xfId="0" applyFont="1"/>
    <xf numFmtId="0" fontId="137" fillId="0" borderId="0" xfId="0" applyFont="1" applyAlignment="1">
      <alignment horizontal="center"/>
    </xf>
    <xf numFmtId="0" fontId="130" fillId="5" borderId="16" xfId="0" applyFont="1" applyFill="1" applyBorder="1" applyAlignment="1">
      <alignment horizontal="center"/>
    </xf>
    <xf numFmtId="0" fontId="137" fillId="0" borderId="0" xfId="0" applyFont="1"/>
    <xf numFmtId="0" fontId="137" fillId="5" borderId="19" xfId="0" applyFont="1" applyFill="1" applyBorder="1"/>
    <xf numFmtId="0" fontId="137" fillId="5" borderId="22" xfId="0" applyFont="1" applyFill="1" applyBorder="1"/>
    <xf numFmtId="0" fontId="137" fillId="5" borderId="20" xfId="0" applyFont="1" applyFill="1" applyBorder="1"/>
    <xf numFmtId="0" fontId="130" fillId="5" borderId="19" xfId="0" applyFont="1" applyFill="1" applyBorder="1"/>
    <xf numFmtId="0" fontId="130" fillId="5" borderId="22" xfId="0" applyFont="1" applyFill="1" applyBorder="1"/>
    <xf numFmtId="0" fontId="130" fillId="5" borderId="20" xfId="0" applyFont="1" applyFill="1" applyBorder="1"/>
    <xf numFmtId="0" fontId="137" fillId="5" borderId="1" xfId="0" applyFont="1" applyFill="1" applyBorder="1"/>
    <xf numFmtId="0" fontId="130" fillId="5" borderId="10" xfId="0" applyFont="1" applyFill="1" applyBorder="1"/>
    <xf numFmtId="0" fontId="130" fillId="5" borderId="12" xfId="0" applyFont="1" applyFill="1" applyBorder="1"/>
    <xf numFmtId="0" fontId="130" fillId="5" borderId="1" xfId="0" applyFont="1" applyFill="1" applyBorder="1"/>
    <xf numFmtId="0" fontId="130" fillId="5" borderId="20" xfId="0" applyFont="1" applyFill="1" applyBorder="1" applyAlignment="1">
      <alignment horizontal="left"/>
    </xf>
    <xf numFmtId="0" fontId="130" fillId="5" borderId="28" xfId="0" applyFont="1" applyFill="1" applyBorder="1"/>
    <xf numFmtId="0" fontId="138" fillId="5" borderId="20" xfId="0" applyFont="1" applyFill="1" applyBorder="1"/>
    <xf numFmtId="0" fontId="138" fillId="5" borderId="22" xfId="0" applyFont="1" applyFill="1" applyBorder="1"/>
    <xf numFmtId="0" fontId="130" fillId="5" borderId="31" xfId="0" applyFont="1" applyFill="1" applyBorder="1"/>
    <xf numFmtId="0" fontId="130" fillId="5" borderId="32" xfId="0" applyFont="1" applyFill="1" applyBorder="1"/>
    <xf numFmtId="0" fontId="139" fillId="5" borderId="1" xfId="0" applyFont="1" applyFill="1" applyBorder="1"/>
    <xf numFmtId="0" fontId="139" fillId="0" borderId="0" xfId="0" applyFont="1"/>
    <xf numFmtId="0" fontId="136" fillId="5" borderId="1" xfId="0" applyFont="1" applyFill="1" applyBorder="1"/>
    <xf numFmtId="0" fontId="131" fillId="5" borderId="1" xfId="0" applyFont="1" applyFill="1" applyBorder="1"/>
    <xf numFmtId="172" fontId="136" fillId="5" borderId="1" xfId="0" applyNumberFormat="1" applyFont="1" applyFill="1" applyBorder="1" applyAlignment="1">
      <alignment horizontal="left"/>
    </xf>
    <xf numFmtId="0" fontId="138" fillId="5" borderId="19" xfId="0" applyFont="1" applyFill="1" applyBorder="1"/>
    <xf numFmtId="0" fontId="130" fillId="5" borderId="33" xfId="0" applyFont="1" applyFill="1" applyBorder="1"/>
    <xf numFmtId="0" fontId="130" fillId="5" borderId="34" xfId="0" applyFont="1" applyFill="1" applyBorder="1"/>
    <xf numFmtId="0" fontId="130" fillId="5" borderId="37" xfId="0" applyFont="1" applyFill="1" applyBorder="1"/>
    <xf numFmtId="0" fontId="140" fillId="5" borderId="1" xfId="0" applyFont="1" applyFill="1" applyBorder="1" applyAlignment="1">
      <alignment horizontal="center" vertical="center"/>
    </xf>
    <xf numFmtId="0" fontId="140" fillId="5" borderId="22" xfId="0" applyFont="1" applyFill="1" applyBorder="1"/>
    <xf numFmtId="0" fontId="140" fillId="5" borderId="20" xfId="0" applyFont="1" applyFill="1" applyBorder="1"/>
    <xf numFmtId="0" fontId="140" fillId="5" borderId="28" xfId="0" applyFont="1" applyFill="1" applyBorder="1"/>
    <xf numFmtId="0" fontId="140" fillId="5" borderId="19" xfId="0" applyFont="1" applyFill="1" applyBorder="1"/>
    <xf numFmtId="0" fontId="140" fillId="5" borderId="37" xfId="0" applyFont="1" applyFill="1" applyBorder="1"/>
    <xf numFmtId="0" fontId="140" fillId="5" borderId="40" xfId="0" applyFont="1" applyFill="1" applyBorder="1"/>
    <xf numFmtId="0" fontId="136" fillId="5" borderId="41" xfId="0" applyFont="1" applyFill="1" applyBorder="1"/>
    <xf numFmtId="0" fontId="138" fillId="5" borderId="41" xfId="0" applyFont="1" applyFill="1" applyBorder="1"/>
    <xf numFmtId="0" fontId="137" fillId="5" borderId="41" xfId="0" applyFont="1" applyFill="1" applyBorder="1"/>
    <xf numFmtId="0" fontId="137" fillId="5" borderId="42" xfId="0" applyFont="1" applyFill="1" applyBorder="1"/>
    <xf numFmtId="0" fontId="140" fillId="5" borderId="43" xfId="0" applyFont="1" applyFill="1" applyBorder="1"/>
    <xf numFmtId="0" fontId="141" fillId="6" borderId="1" xfId="0" applyFont="1" applyFill="1" applyBorder="1"/>
    <xf numFmtId="0" fontId="136" fillId="6" borderId="1" xfId="0" applyFont="1" applyFill="1" applyBorder="1"/>
    <xf numFmtId="0" fontId="142" fillId="6" borderId="1" xfId="0" applyFont="1" applyFill="1" applyBorder="1"/>
    <xf numFmtId="0" fontId="143" fillId="6" borderId="1" xfId="0" applyFont="1" applyFill="1" applyBorder="1" applyAlignment="1">
      <alignment horizontal="center" vertical="center"/>
    </xf>
    <xf numFmtId="0" fontId="136" fillId="6" borderId="1" xfId="0" applyFont="1" applyFill="1" applyBorder="1" applyAlignment="1">
      <alignment horizontal="center" vertical="center"/>
    </xf>
    <xf numFmtId="0" fontId="141" fillId="6" borderId="1" xfId="0" applyFont="1" applyFill="1" applyBorder="1" applyAlignment="1">
      <alignment horizontal="center"/>
    </xf>
    <xf numFmtId="0" fontId="136" fillId="6" borderId="1" xfId="0" applyFont="1" applyFill="1" applyBorder="1" applyAlignment="1">
      <alignment horizontal="center"/>
    </xf>
    <xf numFmtId="0" fontId="144" fillId="6" borderId="1" xfId="0" applyFont="1" applyFill="1" applyBorder="1" applyAlignment="1">
      <alignment horizontal="center"/>
    </xf>
    <xf numFmtId="174" fontId="136" fillId="6" borderId="1" xfId="0" applyNumberFormat="1" applyFont="1" applyFill="1" applyBorder="1"/>
    <xf numFmtId="37" fontId="136" fillId="6" borderId="1" xfId="0" applyNumberFormat="1" applyFont="1" applyFill="1" applyBorder="1"/>
    <xf numFmtId="174" fontId="141" fillId="6" borderId="1" xfId="0" applyNumberFormat="1" applyFont="1" applyFill="1" applyBorder="1"/>
    <xf numFmtId="37" fontId="141" fillId="6" borderId="1" xfId="0" applyNumberFormat="1" applyFont="1" applyFill="1" applyBorder="1"/>
    <xf numFmtId="0" fontId="145" fillId="6" borderId="1" xfId="0" applyFont="1" applyFill="1" applyBorder="1"/>
    <xf numFmtId="0" fontId="144" fillId="6" borderId="1" xfId="0" applyFont="1" applyFill="1" applyBorder="1" applyAlignment="1">
      <alignment horizontal="left"/>
    </xf>
    <xf numFmtId="0" fontId="146" fillId="6" borderId="1" xfId="0" applyFont="1" applyFill="1" applyBorder="1"/>
    <xf numFmtId="37" fontId="136" fillId="0" borderId="0" xfId="0" applyNumberFormat="1" applyFont="1"/>
    <xf numFmtId="0" fontId="147" fillId="0" borderId="0" xfId="0" applyFont="1"/>
    <xf numFmtId="0" fontId="148" fillId="0" borderId="0" xfId="0" applyFont="1"/>
    <xf numFmtId="0" fontId="149" fillId="0" borderId="0" xfId="0" applyFont="1" applyAlignment="1">
      <alignment horizontal="center"/>
    </xf>
    <xf numFmtId="0" fontId="126" fillId="7" borderId="1" xfId="0" applyFont="1" applyFill="1" applyBorder="1" applyAlignment="1">
      <alignment horizontal="center"/>
    </xf>
    <xf numFmtId="0" fontId="126" fillId="8" borderId="45" xfId="0" applyFont="1" applyFill="1" applyBorder="1" applyAlignment="1">
      <alignment horizontal="center" vertical="center" wrapText="1"/>
    </xf>
    <xf numFmtId="0" fontId="126" fillId="8" borderId="46" xfId="0" applyFont="1" applyFill="1" applyBorder="1" applyAlignment="1">
      <alignment horizontal="center" vertical="center" wrapText="1"/>
    </xf>
    <xf numFmtId="0" fontId="126" fillId="8" borderId="47" xfId="0" applyFont="1" applyFill="1" applyBorder="1" applyAlignment="1">
      <alignment horizontal="center" vertical="center" wrapText="1"/>
    </xf>
    <xf numFmtId="0" fontId="126" fillId="8" borderId="48" xfId="0" applyFont="1" applyFill="1" applyBorder="1" applyAlignment="1">
      <alignment horizontal="center" vertical="center" wrapText="1"/>
    </xf>
    <xf numFmtId="168" fontId="150" fillId="9" borderId="52" xfId="0" applyNumberFormat="1" applyFont="1" applyFill="1" applyBorder="1" applyAlignment="1">
      <alignment horizontal="center" vertical="center"/>
    </xf>
    <xf numFmtId="168" fontId="150" fillId="9" borderId="53" xfId="0" applyNumberFormat="1" applyFont="1" applyFill="1" applyBorder="1" applyAlignment="1">
      <alignment horizontal="center" vertical="center"/>
    </xf>
    <xf numFmtId="3" fontId="126" fillId="9" borderId="52" xfId="0" applyNumberFormat="1" applyFont="1" applyFill="1" applyBorder="1" applyAlignment="1">
      <alignment horizontal="center" vertical="center"/>
    </xf>
    <xf numFmtId="3" fontId="126" fillId="9" borderId="53" xfId="0" applyNumberFormat="1" applyFont="1" applyFill="1" applyBorder="1" applyAlignment="1">
      <alignment horizontal="center" vertical="center"/>
    </xf>
    <xf numFmtId="0" fontId="127" fillId="9" borderId="54" xfId="0" applyFont="1" applyFill="1" applyBorder="1" applyAlignment="1">
      <alignment wrapText="1"/>
    </xf>
    <xf numFmtId="0" fontId="127" fillId="0" borderId="44" xfId="0" applyFont="1" applyBorder="1" applyAlignment="1">
      <alignment horizontal="center" vertical="center" wrapText="1"/>
    </xf>
    <xf numFmtId="0" fontId="127" fillId="0" borderId="44" xfId="0" applyFont="1" applyBorder="1" applyAlignment="1">
      <alignment horizontal="center" vertical="center"/>
    </xf>
    <xf numFmtId="0" fontId="127" fillId="0" borderId="55" xfId="0" applyFont="1" applyBorder="1" applyAlignment="1">
      <alignment horizontal="left" vertical="center" wrapText="1"/>
    </xf>
    <xf numFmtId="37" fontId="127" fillId="0" borderId="0" xfId="0" applyNumberFormat="1" applyFont="1" applyAlignment="1">
      <alignment horizontal="center" vertical="center"/>
    </xf>
    <xf numFmtId="37" fontId="127" fillId="0" borderId="56" xfId="0" applyNumberFormat="1" applyFont="1" applyBorder="1" applyAlignment="1">
      <alignment horizontal="center" vertical="center"/>
    </xf>
    <xf numFmtId="0" fontId="127" fillId="0" borderId="57" xfId="0" applyFont="1" applyBorder="1" applyAlignment="1">
      <alignment horizontal="center" vertical="center" wrapText="1"/>
    </xf>
    <xf numFmtId="0" fontId="127" fillId="0" borderId="57" xfId="0" applyFont="1" applyBorder="1" applyAlignment="1">
      <alignment horizontal="center" vertical="center"/>
    </xf>
    <xf numFmtId="0" fontId="127" fillId="0" borderId="56" xfId="0" applyFont="1" applyBorder="1" applyAlignment="1">
      <alignment horizontal="left" vertical="center" wrapText="1"/>
    </xf>
    <xf numFmtId="0" fontId="127" fillId="0" borderId="55" xfId="0" applyFont="1" applyBorder="1" applyAlignment="1">
      <alignment horizontal="center" vertical="center" wrapText="1"/>
    </xf>
    <xf numFmtId="0" fontId="127" fillId="0" borderId="56" xfId="0" applyFont="1" applyBorder="1" applyAlignment="1">
      <alignment horizontal="center" vertical="center" wrapText="1"/>
    </xf>
    <xf numFmtId="0" fontId="127" fillId="0" borderId="49" xfId="0" applyFont="1" applyBorder="1" applyAlignment="1">
      <alignment horizontal="center" vertical="center" wrapText="1"/>
    </xf>
    <xf numFmtId="0" fontId="127" fillId="0" borderId="49" xfId="0" applyFont="1" applyBorder="1" applyAlignment="1">
      <alignment horizontal="center" vertical="center"/>
    </xf>
    <xf numFmtId="0" fontId="127" fillId="0" borderId="58" xfId="0" applyFont="1" applyBorder="1" applyAlignment="1">
      <alignment horizontal="center" vertical="center" wrapText="1"/>
    </xf>
    <xf numFmtId="0" fontId="127" fillId="0" borderId="59" xfId="0" applyFont="1" applyBorder="1" applyAlignment="1">
      <alignment horizontal="center" vertical="center" wrapText="1"/>
    </xf>
    <xf numFmtId="37" fontId="127" fillId="0" borderId="58" xfId="0" applyNumberFormat="1" applyFont="1" applyBorder="1" applyAlignment="1">
      <alignment horizontal="center" vertical="center"/>
    </xf>
    <xf numFmtId="37" fontId="127" fillId="0" borderId="60" xfId="0" applyNumberFormat="1" applyFont="1" applyBorder="1" applyAlignment="1">
      <alignment horizontal="center" vertical="center"/>
    </xf>
    <xf numFmtId="0" fontId="127" fillId="0" borderId="0" xfId="0" applyFont="1" applyAlignment="1">
      <alignment wrapText="1"/>
    </xf>
    <xf numFmtId="0" fontId="127" fillId="0" borderId="0" xfId="0" applyFont="1" applyAlignment="1">
      <alignment horizontal="center" wrapText="1"/>
    </xf>
    <xf numFmtId="0" fontId="127" fillId="0" borderId="0" xfId="0" applyFont="1" applyAlignment="1">
      <alignment horizontal="right"/>
    </xf>
    <xf numFmtId="43" fontId="127" fillId="0" borderId="0" xfId="0" applyNumberFormat="1" applyFont="1" applyAlignment="1">
      <alignment horizontal="center"/>
    </xf>
    <xf numFmtId="0" fontId="127" fillId="0" borderId="61" xfId="0" applyFont="1" applyBorder="1" applyAlignment="1">
      <alignment horizontal="right" vertical="center"/>
    </xf>
    <xf numFmtId="0" fontId="127" fillId="0" borderId="61" xfId="0" applyFont="1" applyBorder="1" applyAlignment="1">
      <alignment vertical="center"/>
    </xf>
    <xf numFmtId="0" fontId="127" fillId="7" borderId="61" xfId="0" applyFont="1" applyFill="1" applyBorder="1" applyAlignment="1">
      <alignment horizontal="right" vertical="center" wrapText="1"/>
    </xf>
    <xf numFmtId="0" fontId="127" fillId="0" borderId="61" xfId="0" applyFont="1" applyBorder="1" applyAlignment="1">
      <alignment horizontal="center" vertical="center"/>
    </xf>
    <xf numFmtId="0" fontId="127" fillId="0" borderId="61" xfId="0" applyFont="1" applyBorder="1" applyAlignment="1">
      <alignment horizontal="center" vertical="center" wrapText="1"/>
    </xf>
    <xf numFmtId="0" fontId="127" fillId="0" borderId="0" xfId="0" applyFont="1" applyAlignment="1">
      <alignment horizontal="left"/>
    </xf>
    <xf numFmtId="43" fontId="127" fillId="0" borderId="0" xfId="0" applyNumberFormat="1" applyFont="1"/>
    <xf numFmtId="43" fontId="127" fillId="0" borderId="62" xfId="0" applyNumberFormat="1" applyFont="1" applyBorder="1"/>
    <xf numFmtId="43" fontId="127" fillId="0" borderId="63" xfId="0" applyNumberFormat="1" applyFont="1" applyBorder="1"/>
    <xf numFmtId="176" fontId="127" fillId="0" borderId="64" xfId="0" applyNumberFormat="1" applyFont="1" applyBorder="1"/>
    <xf numFmtId="0" fontId="128" fillId="0" borderId="0" xfId="0" applyFont="1"/>
    <xf numFmtId="177" fontId="128" fillId="0" borderId="0" xfId="0" applyNumberFormat="1" applyFont="1" applyAlignment="1">
      <alignment horizontal="left"/>
    </xf>
    <xf numFmtId="0" fontId="152" fillId="0" borderId="0" xfId="0" applyFont="1" applyAlignment="1">
      <alignment horizontal="center"/>
    </xf>
    <xf numFmtId="49" fontId="128" fillId="0" borderId="0" xfId="0" applyNumberFormat="1" applyFont="1" applyAlignment="1">
      <alignment horizontal="center" vertical="center"/>
    </xf>
    <xf numFmtId="171" fontId="128" fillId="10" borderId="1" xfId="0" applyNumberFormat="1" applyFont="1" applyFill="1" applyBorder="1" applyAlignment="1">
      <alignment horizontal="center" vertical="center"/>
    </xf>
    <xf numFmtId="171" fontId="128" fillId="10" borderId="1" xfId="0" applyNumberFormat="1" applyFont="1" applyFill="1" applyBorder="1" applyAlignment="1">
      <alignment horizontal="center"/>
    </xf>
    <xf numFmtId="174" fontId="128" fillId="0" borderId="0" xfId="0" applyNumberFormat="1" applyFont="1" applyAlignment="1">
      <alignment horizontal="center"/>
    </xf>
    <xf numFmtId="171" fontId="128" fillId="0" borderId="0" xfId="0" applyNumberFormat="1" applyFont="1"/>
    <xf numFmtId="43" fontId="128" fillId="0" borderId="0" xfId="0" applyNumberFormat="1" applyFont="1" applyAlignment="1">
      <alignment horizontal="center"/>
    </xf>
    <xf numFmtId="43" fontId="128" fillId="0" borderId="0" xfId="0" applyNumberFormat="1" applyFont="1"/>
    <xf numFmtId="0" fontId="128" fillId="11" borderId="1" xfId="0" applyFont="1" applyFill="1" applyBorder="1" applyAlignment="1">
      <alignment horizontal="center"/>
    </xf>
    <xf numFmtId="178" fontId="128" fillId="0" borderId="0" xfId="0" applyNumberFormat="1" applyFont="1"/>
    <xf numFmtId="44" fontId="128" fillId="0" borderId="0" xfId="0" applyNumberFormat="1" applyFont="1"/>
    <xf numFmtId="0" fontId="128" fillId="11" borderId="1" xfId="0" applyFont="1" applyFill="1" applyBorder="1" applyAlignment="1">
      <alignment horizontal="right"/>
    </xf>
    <xf numFmtId="43" fontId="128" fillId="11" borderId="1" xfId="0" applyNumberFormat="1" applyFont="1" applyFill="1" applyBorder="1"/>
    <xf numFmtId="0" fontId="128" fillId="10" borderId="1" xfId="0" applyFont="1" applyFill="1" applyBorder="1"/>
    <xf numFmtId="0" fontId="126" fillId="12" borderId="61" xfId="0" applyFont="1" applyFill="1" applyBorder="1" applyAlignment="1">
      <alignment horizontal="center"/>
    </xf>
    <xf numFmtId="0" fontId="126" fillId="12" borderId="65" xfId="0" applyFont="1" applyFill="1" applyBorder="1" applyAlignment="1">
      <alignment horizontal="center"/>
    </xf>
    <xf numFmtId="0" fontId="126" fillId="12" borderId="66" xfId="0" applyFont="1" applyFill="1" applyBorder="1" applyAlignment="1">
      <alignment horizontal="center"/>
    </xf>
    <xf numFmtId="0" fontId="126" fillId="12" borderId="67" xfId="0" applyFont="1" applyFill="1" applyBorder="1" applyAlignment="1">
      <alignment horizontal="center"/>
    </xf>
    <xf numFmtId="0" fontId="126" fillId="12" borderId="68" xfId="0" applyFont="1" applyFill="1" applyBorder="1" applyAlignment="1">
      <alignment horizontal="center"/>
    </xf>
    <xf numFmtId="0" fontId="126" fillId="0" borderId="69" xfId="0" applyFont="1" applyBorder="1"/>
    <xf numFmtId="37" fontId="126" fillId="0" borderId="70" xfId="0" applyNumberFormat="1" applyFont="1" applyBorder="1" applyAlignment="1">
      <alignment horizontal="center"/>
    </xf>
    <xf numFmtId="1" fontId="126" fillId="0" borderId="72" xfId="0" applyNumberFormat="1" applyFont="1" applyBorder="1" applyAlignment="1">
      <alignment horizontal="center"/>
    </xf>
    <xf numFmtId="1" fontId="126" fillId="0" borderId="73" xfId="0" applyNumberFormat="1" applyFont="1" applyBorder="1" applyAlignment="1">
      <alignment horizontal="center"/>
    </xf>
    <xf numFmtId="9" fontId="126" fillId="0" borderId="74" xfId="0" applyNumberFormat="1" applyFont="1" applyBorder="1" applyAlignment="1">
      <alignment horizontal="center"/>
    </xf>
    <xf numFmtId="9" fontId="126" fillId="0" borderId="75" xfId="0" applyNumberFormat="1" applyFont="1" applyBorder="1" applyAlignment="1">
      <alignment horizontal="center"/>
    </xf>
    <xf numFmtId="0" fontId="127" fillId="0" borderId="69" xfId="0" applyFont="1" applyBorder="1"/>
    <xf numFmtId="168" fontId="127" fillId="0" borderId="70" xfId="0" applyNumberFormat="1" applyFont="1" applyBorder="1" applyAlignment="1">
      <alignment horizontal="center"/>
    </xf>
    <xf numFmtId="168" fontId="127" fillId="0" borderId="72" xfId="0" applyNumberFormat="1" applyFont="1" applyBorder="1" applyAlignment="1">
      <alignment horizontal="center"/>
    </xf>
    <xf numFmtId="168" fontId="127" fillId="0" borderId="73" xfId="0" applyNumberFormat="1" applyFont="1" applyBorder="1" applyAlignment="1">
      <alignment horizontal="center"/>
    </xf>
    <xf numFmtId="9" fontId="127" fillId="0" borderId="70" xfId="0" applyNumberFormat="1" applyFont="1" applyBorder="1" applyAlignment="1">
      <alignment horizontal="center"/>
    </xf>
    <xf numFmtId="9" fontId="127" fillId="0" borderId="72" xfId="0" applyNumberFormat="1" applyFont="1" applyBorder="1" applyAlignment="1">
      <alignment horizontal="center"/>
    </xf>
    <xf numFmtId="9" fontId="127" fillId="0" borderId="76" xfId="0" applyNumberFormat="1" applyFont="1" applyBorder="1" applyAlignment="1">
      <alignment horizontal="center"/>
    </xf>
    <xf numFmtId="2" fontId="127" fillId="0" borderId="72" xfId="0" applyNumberFormat="1" applyFont="1" applyBorder="1" applyAlignment="1">
      <alignment horizontal="center"/>
    </xf>
    <xf numFmtId="2" fontId="127" fillId="0" borderId="73" xfId="0" applyNumberFormat="1" applyFont="1" applyBorder="1" applyAlignment="1">
      <alignment horizontal="center"/>
    </xf>
    <xf numFmtId="9" fontId="127" fillId="0" borderId="73" xfId="0" applyNumberFormat="1" applyFont="1" applyBorder="1" applyAlignment="1">
      <alignment horizontal="center"/>
    </xf>
    <xf numFmtId="0" fontId="126" fillId="0" borderId="77" xfId="0" applyFont="1" applyBorder="1"/>
    <xf numFmtId="0" fontId="127" fillId="0" borderId="78" xfId="0" applyFont="1" applyBorder="1"/>
    <xf numFmtId="168" fontId="127" fillId="0" borderId="79" xfId="0" applyNumberFormat="1" applyFont="1" applyBorder="1" applyAlignment="1">
      <alignment horizontal="center"/>
    </xf>
    <xf numFmtId="168" fontId="127" fillId="0" borderId="80" xfId="0" applyNumberFormat="1" applyFont="1" applyBorder="1" applyAlignment="1">
      <alignment horizontal="center"/>
    </xf>
    <xf numFmtId="9" fontId="127" fillId="0" borderId="79" xfId="0" applyNumberFormat="1" applyFont="1" applyBorder="1" applyAlignment="1">
      <alignment horizontal="center"/>
    </xf>
    <xf numFmtId="9" fontId="127" fillId="0" borderId="81" xfId="0" applyNumberFormat="1" applyFont="1" applyBorder="1" applyAlignment="1">
      <alignment horizontal="center"/>
    </xf>
    <xf numFmtId="0" fontId="127" fillId="0" borderId="69" xfId="0" applyFont="1" applyBorder="1" applyAlignment="1">
      <alignment horizontal="left"/>
    </xf>
    <xf numFmtId="0" fontId="127" fillId="0" borderId="70" xfId="0" applyFont="1" applyBorder="1" applyAlignment="1">
      <alignment horizontal="center"/>
    </xf>
    <xf numFmtId="0" fontId="127" fillId="0" borderId="82" xfId="0" applyFont="1" applyBorder="1" applyAlignment="1">
      <alignment horizontal="left"/>
    </xf>
    <xf numFmtId="168" fontId="127" fillId="0" borderId="83" xfId="0" applyNumberFormat="1" applyFont="1" applyBorder="1" applyAlignment="1">
      <alignment horizontal="center"/>
    </xf>
    <xf numFmtId="168" fontId="127" fillId="0" borderId="85" xfId="0" applyNumberFormat="1" applyFont="1" applyBorder="1" applyAlignment="1">
      <alignment horizontal="center"/>
    </xf>
    <xf numFmtId="168" fontId="127" fillId="0" borderId="86" xfId="0" applyNumberFormat="1" applyFont="1" applyBorder="1" applyAlignment="1">
      <alignment horizontal="center"/>
    </xf>
    <xf numFmtId="9" fontId="127" fillId="0" borderId="85" xfId="0" applyNumberFormat="1" applyFont="1" applyBorder="1" applyAlignment="1">
      <alignment horizontal="center"/>
    </xf>
    <xf numFmtId="9" fontId="127" fillId="0" borderId="87" xfId="0" applyNumberFormat="1" applyFont="1" applyBorder="1" applyAlignment="1">
      <alignment horizontal="center"/>
    </xf>
    <xf numFmtId="168" fontId="127" fillId="0" borderId="0" xfId="0" applyNumberFormat="1" applyFont="1"/>
    <xf numFmtId="0" fontId="126" fillId="14" borderId="61" xfId="0" applyFont="1" applyFill="1" applyBorder="1" applyAlignment="1">
      <alignment horizontal="center"/>
    </xf>
    <xf numFmtId="0" fontId="126" fillId="14" borderId="65" xfId="0" applyFont="1" applyFill="1" applyBorder="1" applyAlignment="1">
      <alignment horizontal="center"/>
    </xf>
    <xf numFmtId="0" fontId="126" fillId="14" borderId="66" xfId="0" applyFont="1" applyFill="1" applyBorder="1" applyAlignment="1">
      <alignment horizontal="center"/>
    </xf>
    <xf numFmtId="0" fontId="126" fillId="14" borderId="68" xfId="0" applyFont="1" applyFill="1" applyBorder="1" applyAlignment="1">
      <alignment horizontal="center"/>
    </xf>
    <xf numFmtId="0" fontId="126" fillId="15" borderId="61" xfId="0" applyFont="1" applyFill="1" applyBorder="1" applyAlignment="1">
      <alignment horizontal="center"/>
    </xf>
    <xf numFmtId="178" fontId="127" fillId="0" borderId="70" xfId="0" applyNumberFormat="1" applyFont="1" applyBorder="1" applyAlignment="1">
      <alignment horizontal="center"/>
    </xf>
    <xf numFmtId="0" fontId="126" fillId="9" borderId="61" xfId="0" applyFont="1" applyFill="1" applyBorder="1" applyAlignment="1">
      <alignment horizontal="center"/>
    </xf>
    <xf numFmtId="0" fontId="126" fillId="9" borderId="65" xfId="0" applyFont="1" applyFill="1" applyBorder="1" applyAlignment="1">
      <alignment horizontal="center"/>
    </xf>
    <xf numFmtId="0" fontId="126" fillId="9" borderId="66" xfId="0" applyFont="1" applyFill="1" applyBorder="1" applyAlignment="1">
      <alignment horizontal="center"/>
    </xf>
    <xf numFmtId="0" fontId="126" fillId="9" borderId="68" xfId="0" applyFont="1" applyFill="1" applyBorder="1" applyAlignment="1">
      <alignment horizontal="center"/>
    </xf>
    <xf numFmtId="168" fontId="126" fillId="0" borderId="70" xfId="0" applyNumberFormat="1" applyFont="1" applyBorder="1" applyAlignment="1">
      <alignment horizontal="center"/>
    </xf>
    <xf numFmtId="168" fontId="126" fillId="0" borderId="72" xfId="0" applyNumberFormat="1" applyFont="1" applyBorder="1" applyAlignment="1">
      <alignment horizontal="center"/>
    </xf>
    <xf numFmtId="168" fontId="126" fillId="0" borderId="73" xfId="0" applyNumberFormat="1" applyFont="1" applyBorder="1" applyAlignment="1">
      <alignment horizontal="center"/>
    </xf>
    <xf numFmtId="9" fontId="126" fillId="0" borderId="72" xfId="0" applyNumberFormat="1" applyFont="1" applyBorder="1" applyAlignment="1">
      <alignment horizontal="center"/>
    </xf>
    <xf numFmtId="9" fontId="126" fillId="0" borderId="76" xfId="0" applyNumberFormat="1" applyFont="1" applyBorder="1" applyAlignment="1">
      <alignment horizontal="center"/>
    </xf>
    <xf numFmtId="0" fontId="127" fillId="0" borderId="82" xfId="0" applyFont="1" applyBorder="1"/>
    <xf numFmtId="0" fontId="126" fillId="8" borderId="61" xfId="0" applyFont="1" applyFill="1" applyBorder="1" applyAlignment="1">
      <alignment horizontal="center"/>
    </xf>
    <xf numFmtId="0" fontId="126" fillId="8" borderId="65" xfId="0" applyFont="1" applyFill="1" applyBorder="1" applyAlignment="1">
      <alignment horizontal="center"/>
    </xf>
    <xf numFmtId="0" fontId="126" fillId="8" borderId="66" xfId="0" applyFont="1" applyFill="1" applyBorder="1" applyAlignment="1">
      <alignment horizontal="center"/>
    </xf>
    <xf numFmtId="0" fontId="126" fillId="8" borderId="68" xfId="0" applyFont="1" applyFill="1" applyBorder="1" applyAlignment="1">
      <alignment horizontal="center"/>
    </xf>
    <xf numFmtId="0" fontId="126" fillId="16" borderId="61" xfId="0" applyFont="1" applyFill="1" applyBorder="1" applyAlignment="1">
      <alignment horizontal="center"/>
    </xf>
    <xf numFmtId="0" fontId="126" fillId="0" borderId="69" xfId="0" applyFont="1" applyBorder="1" applyAlignment="1">
      <alignment horizontal="left"/>
    </xf>
    <xf numFmtId="0" fontId="126" fillId="17" borderId="61" xfId="0" applyFont="1" applyFill="1" applyBorder="1" applyAlignment="1">
      <alignment horizontal="center"/>
    </xf>
    <xf numFmtId="0" fontId="126" fillId="17" borderId="65" xfId="0" applyFont="1" applyFill="1" applyBorder="1" applyAlignment="1">
      <alignment horizontal="center"/>
    </xf>
    <xf numFmtId="0" fontId="126" fillId="17" borderId="66" xfId="0" applyFont="1" applyFill="1" applyBorder="1" applyAlignment="1">
      <alignment horizontal="center"/>
    </xf>
    <xf numFmtId="0" fontId="126" fillId="17" borderId="68" xfId="0" applyFont="1" applyFill="1" applyBorder="1" applyAlignment="1">
      <alignment horizontal="center"/>
    </xf>
    <xf numFmtId="0" fontId="126" fillId="18" borderId="88" xfId="0" applyFont="1" applyFill="1" applyBorder="1" applyAlignment="1">
      <alignment horizontal="center"/>
    </xf>
    <xf numFmtId="1" fontId="127" fillId="0" borderId="70" xfId="0" applyNumberFormat="1" applyFont="1" applyBorder="1" applyAlignment="1">
      <alignment horizontal="center"/>
    </xf>
    <xf numFmtId="1" fontId="127" fillId="0" borderId="72" xfId="0" applyNumberFormat="1" applyFont="1" applyBorder="1" applyAlignment="1">
      <alignment horizontal="center"/>
    </xf>
    <xf numFmtId="1" fontId="127" fillId="0" borderId="73" xfId="0" applyNumberFormat="1" applyFont="1" applyBorder="1" applyAlignment="1">
      <alignment horizontal="center"/>
    </xf>
    <xf numFmtId="0" fontId="126" fillId="19" borderId="61" xfId="0" applyFont="1" applyFill="1" applyBorder="1" applyAlignment="1">
      <alignment horizontal="center"/>
    </xf>
    <xf numFmtId="0" fontId="126" fillId="19" borderId="65" xfId="0" applyFont="1" applyFill="1" applyBorder="1" applyAlignment="1">
      <alignment horizontal="center"/>
    </xf>
    <xf numFmtId="0" fontId="126" fillId="19" borderId="66" xfId="0" applyFont="1" applyFill="1" applyBorder="1" applyAlignment="1">
      <alignment horizontal="center"/>
    </xf>
    <xf numFmtId="0" fontId="126" fillId="19" borderId="68" xfId="0" applyFont="1" applyFill="1" applyBorder="1" applyAlignment="1">
      <alignment horizontal="center"/>
    </xf>
    <xf numFmtId="0" fontId="126" fillId="20" borderId="61" xfId="0" applyFont="1" applyFill="1" applyBorder="1" applyAlignment="1">
      <alignment horizontal="center"/>
    </xf>
    <xf numFmtId="168" fontId="127" fillId="0" borderId="74" xfId="0" applyNumberFormat="1" applyFont="1" applyBorder="1" applyAlignment="1">
      <alignment horizontal="center"/>
    </xf>
    <xf numFmtId="168" fontId="127" fillId="0" borderId="90" xfId="0" applyNumberFormat="1" applyFont="1" applyBorder="1" applyAlignment="1">
      <alignment horizontal="center"/>
    </xf>
    <xf numFmtId="174" fontId="127" fillId="0" borderId="70" xfId="0" applyNumberFormat="1" applyFont="1" applyBorder="1" applyAlignment="1">
      <alignment horizontal="center"/>
    </xf>
    <xf numFmtId="174" fontId="127" fillId="0" borderId="83" xfId="0" applyNumberFormat="1" applyFont="1" applyBorder="1" applyAlignment="1">
      <alignment horizontal="center"/>
    </xf>
    <xf numFmtId="2" fontId="127" fillId="0" borderId="85" xfId="0" applyNumberFormat="1" applyFont="1" applyBorder="1" applyAlignment="1">
      <alignment horizontal="center"/>
    </xf>
    <xf numFmtId="2" fontId="127" fillId="0" borderId="86" xfId="0" applyNumberFormat="1" applyFont="1" applyBorder="1" applyAlignment="1">
      <alignment horizontal="center"/>
    </xf>
    <xf numFmtId="0" fontId="131" fillId="0" borderId="0" xfId="0" applyFont="1" applyAlignment="1">
      <alignment horizontal="center" vertical="center"/>
    </xf>
    <xf numFmtId="0" fontId="136" fillId="0" borderId="0" xfId="0" applyFont="1" applyAlignment="1">
      <alignment horizontal="left" vertical="center"/>
    </xf>
    <xf numFmtId="3" fontId="131" fillId="0" borderId="0" xfId="0" applyNumberFormat="1" applyFont="1"/>
    <xf numFmtId="0" fontId="136" fillId="0" borderId="0" xfId="0" applyFont="1" applyAlignment="1">
      <alignment horizontal="center"/>
    </xf>
    <xf numFmtId="0" fontId="155" fillId="21" borderId="10" xfId="0" applyFont="1" applyFill="1" applyBorder="1"/>
    <xf numFmtId="0" fontId="156" fillId="21" borderId="11" xfId="0" applyFont="1" applyFill="1" applyBorder="1"/>
    <xf numFmtId="0" fontId="137" fillId="0" borderId="3" xfId="0" applyFont="1" applyBorder="1"/>
    <xf numFmtId="0" fontId="157" fillId="21" borderId="20" xfId="0" applyFont="1" applyFill="1" applyBorder="1"/>
    <xf numFmtId="10" fontId="157" fillId="21" borderId="21" xfId="0" applyNumberFormat="1" applyFont="1" applyFill="1" applyBorder="1"/>
    <xf numFmtId="0" fontId="137" fillId="0" borderId="6" xfId="0" applyFont="1" applyBorder="1"/>
    <xf numFmtId="3" fontId="137" fillId="0" borderId="91" xfId="0" applyNumberFormat="1" applyFont="1" applyBorder="1" applyAlignment="1">
      <alignment horizontal="center"/>
    </xf>
    <xf numFmtId="3" fontId="137" fillId="0" borderId="0" xfId="0" applyNumberFormat="1" applyFont="1" applyAlignment="1">
      <alignment horizontal="center"/>
    </xf>
    <xf numFmtId="3" fontId="137" fillId="0" borderId="9" xfId="0" applyNumberFormat="1" applyFont="1" applyBorder="1" applyAlignment="1">
      <alignment horizontal="center"/>
    </xf>
    <xf numFmtId="3" fontId="137" fillId="0" borderId="8" xfId="0" applyNumberFormat="1" applyFont="1" applyBorder="1" applyAlignment="1">
      <alignment horizontal="center"/>
    </xf>
    <xf numFmtId="0" fontId="137" fillId="0" borderId="92" xfId="0" applyFont="1" applyBorder="1"/>
    <xf numFmtId="3" fontId="137" fillId="0" borderId="14" xfId="0" applyNumberFormat="1" applyFont="1" applyBorder="1" applyAlignment="1">
      <alignment horizontal="center"/>
    </xf>
    <xf numFmtId="3" fontId="137" fillId="0" borderId="5" xfId="0" applyNumberFormat="1" applyFont="1" applyBorder="1"/>
    <xf numFmtId="3" fontId="137" fillId="0" borderId="14" xfId="0" applyNumberFormat="1" applyFont="1" applyBorder="1" applyAlignment="1">
      <alignment horizontal="right"/>
    </xf>
    <xf numFmtId="3" fontId="137" fillId="0" borderId="14" xfId="0" applyNumberFormat="1" applyFont="1" applyBorder="1"/>
    <xf numFmtId="3" fontId="137" fillId="0" borderId="92" xfId="0" applyNumberFormat="1" applyFont="1" applyBorder="1" applyAlignment="1">
      <alignment horizontal="center"/>
    </xf>
    <xf numFmtId="3" fontId="137" fillId="0" borderId="5" xfId="0" applyNumberFormat="1" applyFont="1" applyBorder="1" applyAlignment="1">
      <alignment horizontal="center"/>
    </xf>
    <xf numFmtId="0" fontId="137" fillId="0" borderId="8" xfId="0" applyFont="1" applyBorder="1"/>
    <xf numFmtId="3" fontId="137" fillId="0" borderId="0" xfId="0" applyNumberFormat="1" applyFont="1"/>
    <xf numFmtId="3" fontId="137" fillId="0" borderId="8" xfId="0" applyNumberFormat="1" applyFont="1" applyBorder="1"/>
    <xf numFmtId="3" fontId="137" fillId="0" borderId="9" xfId="0" applyNumberFormat="1" applyFont="1" applyBorder="1"/>
    <xf numFmtId="0" fontId="156" fillId="21" borderId="12" xfId="0" applyFont="1" applyFill="1" applyBorder="1"/>
    <xf numFmtId="10" fontId="157" fillId="21" borderId="13" xfId="0" applyNumberFormat="1" applyFont="1" applyFill="1" applyBorder="1"/>
    <xf numFmtId="0" fontId="130" fillId="0" borderId="6" xfId="0" applyFont="1" applyBorder="1"/>
    <xf numFmtId="3" fontId="130" fillId="0" borderId="91" xfId="0" applyNumberFormat="1" applyFont="1" applyBorder="1"/>
    <xf numFmtId="3" fontId="130" fillId="0" borderId="7" xfId="0" applyNumberFormat="1" applyFont="1" applyBorder="1"/>
    <xf numFmtId="3" fontId="130" fillId="0" borderId="6" xfId="0" applyNumberFormat="1" applyFont="1" applyBorder="1"/>
    <xf numFmtId="0" fontId="137" fillId="0" borderId="9" xfId="0" applyFont="1" applyBorder="1"/>
    <xf numFmtId="174" fontId="130" fillId="0" borderId="8" xfId="0" applyNumberFormat="1" applyFont="1" applyBorder="1"/>
    <xf numFmtId="174" fontId="130" fillId="0" borderId="9" xfId="0" applyNumberFormat="1" applyFont="1" applyBorder="1"/>
    <xf numFmtId="0" fontId="130" fillId="0" borderId="92" xfId="0" applyFont="1" applyBorder="1"/>
    <xf numFmtId="3" fontId="137" fillId="0" borderId="92" xfId="0" applyNumberFormat="1" applyFont="1" applyBorder="1"/>
    <xf numFmtId="3" fontId="130" fillId="0" borderId="92" xfId="0" applyNumberFormat="1" applyFont="1" applyBorder="1"/>
    <xf numFmtId="3" fontId="130" fillId="0" borderId="14" xfId="0" applyNumberFormat="1" applyFont="1" applyBorder="1"/>
    <xf numFmtId="0" fontId="130" fillId="0" borderId="8" xfId="0" applyFont="1" applyBorder="1"/>
    <xf numFmtId="3" fontId="137" fillId="0" borderId="91" xfId="0" applyNumberFormat="1" applyFont="1" applyBorder="1"/>
    <xf numFmtId="3" fontId="137" fillId="0" borderId="7" xfId="0" applyNumberFormat="1" applyFont="1" applyBorder="1"/>
    <xf numFmtId="3" fontId="137" fillId="0" borderId="6" xfId="0" applyNumberFormat="1" applyFont="1" applyBorder="1"/>
    <xf numFmtId="43" fontId="137" fillId="0" borderId="0" xfId="0" applyNumberFormat="1" applyFont="1"/>
    <xf numFmtId="3" fontId="130" fillId="0" borderId="8" xfId="0" applyNumberFormat="1" applyFont="1" applyBorder="1"/>
    <xf numFmtId="37" fontId="137" fillId="0" borderId="9" xfId="0" applyNumberFormat="1" applyFont="1" applyBorder="1"/>
    <xf numFmtId="37" fontId="137" fillId="0" borderId="8" xfId="0" applyNumberFormat="1" applyFont="1" applyBorder="1"/>
    <xf numFmtId="0" fontId="130" fillId="3" borderId="10" xfId="0" applyFont="1" applyFill="1" applyBorder="1"/>
    <xf numFmtId="37" fontId="130" fillId="3" borderId="26" xfId="0" applyNumberFormat="1" applyFont="1" applyFill="1" applyBorder="1"/>
    <xf numFmtId="3" fontId="130" fillId="3" borderId="26" xfId="0" applyNumberFormat="1" applyFont="1" applyFill="1" applyBorder="1"/>
    <xf numFmtId="37" fontId="130" fillId="3" borderId="11" xfId="0" applyNumberFormat="1" applyFont="1" applyFill="1" applyBorder="1"/>
    <xf numFmtId="37" fontId="130" fillId="3" borderId="10" xfId="0" applyNumberFormat="1" applyFont="1" applyFill="1" applyBorder="1"/>
    <xf numFmtId="0" fontId="130" fillId="3" borderId="12" xfId="0" applyFont="1" applyFill="1" applyBorder="1"/>
    <xf numFmtId="0" fontId="130" fillId="3" borderId="27" xfId="0" applyFont="1" applyFill="1" applyBorder="1"/>
    <xf numFmtId="0" fontId="130" fillId="3" borderId="13" xfId="0" applyFont="1" applyFill="1" applyBorder="1"/>
    <xf numFmtId="174" fontId="130" fillId="3" borderId="12" xfId="0" applyNumberFormat="1" applyFont="1" applyFill="1" applyBorder="1"/>
    <xf numFmtId="174" fontId="130" fillId="3" borderId="13" xfId="0" applyNumberFormat="1" applyFont="1" applyFill="1" applyBorder="1"/>
    <xf numFmtId="0" fontId="130" fillId="0" borderId="9" xfId="0" applyFont="1" applyBorder="1"/>
    <xf numFmtId="0" fontId="130" fillId="0" borderId="8" xfId="0" applyFont="1" applyBorder="1" applyAlignment="1">
      <alignment horizontal="left"/>
    </xf>
    <xf numFmtId="174" fontId="137" fillId="0" borderId="0" xfId="0" applyNumberFormat="1" applyFont="1" applyAlignment="1">
      <alignment horizontal="right"/>
    </xf>
    <xf numFmtId="37" fontId="137" fillId="0" borderId="0" xfId="0" applyNumberFormat="1" applyFont="1"/>
    <xf numFmtId="174" fontId="137" fillId="0" borderId="8" xfId="0" applyNumberFormat="1" applyFont="1" applyBorder="1"/>
    <xf numFmtId="174" fontId="137" fillId="0" borderId="14" xfId="0" applyNumberFormat="1" applyFont="1" applyBorder="1" applyAlignment="1">
      <alignment horizontal="right"/>
    </xf>
    <xf numFmtId="37" fontId="137" fillId="0" borderId="14" xfId="0" applyNumberFormat="1" applyFont="1" applyBorder="1"/>
    <xf numFmtId="174" fontId="137" fillId="0" borderId="92" xfId="0" applyNumberFormat="1" applyFont="1" applyBorder="1"/>
    <xf numFmtId="37" fontId="137" fillId="0" borderId="5" xfId="0" applyNumberFormat="1" applyFont="1" applyBorder="1"/>
    <xf numFmtId="0" fontId="137" fillId="0" borderId="0" xfId="0" applyFont="1" applyAlignment="1">
      <alignment horizontal="right"/>
    </xf>
    <xf numFmtId="0" fontId="137" fillId="0" borderId="8" xfId="0" applyFont="1" applyBorder="1" applyAlignment="1">
      <alignment horizontal="right"/>
    </xf>
    <xf numFmtId="0" fontId="137" fillId="0" borderId="14" xfId="0" applyFont="1" applyBorder="1" applyAlignment="1">
      <alignment horizontal="right"/>
    </xf>
    <xf numFmtId="0" fontId="137" fillId="0" borderId="92" xfId="0" applyFont="1" applyBorder="1" applyAlignment="1">
      <alignment horizontal="right"/>
    </xf>
    <xf numFmtId="3" fontId="137" fillId="0" borderId="93" xfId="0" applyNumberFormat="1" applyFont="1" applyBorder="1"/>
    <xf numFmtId="3" fontId="137" fillId="0" borderId="55" xfId="0" applyNumberFormat="1" applyFont="1" applyBorder="1"/>
    <xf numFmtId="3" fontId="137" fillId="0" borderId="95" xfId="0" applyNumberFormat="1" applyFont="1" applyBorder="1"/>
    <xf numFmtId="0" fontId="130" fillId="3" borderId="28" xfId="0" applyFont="1" applyFill="1" applyBorder="1"/>
    <xf numFmtId="0" fontId="130" fillId="3" borderId="29" xfId="0" applyFont="1" applyFill="1" applyBorder="1" applyAlignment="1">
      <alignment horizontal="center"/>
    </xf>
    <xf numFmtId="174" fontId="130" fillId="3" borderId="29" xfId="0" applyNumberFormat="1" applyFont="1" applyFill="1" applyBorder="1"/>
    <xf numFmtId="37" fontId="130" fillId="3" borderId="30" xfId="0" applyNumberFormat="1" applyFont="1" applyFill="1" applyBorder="1"/>
    <xf numFmtId="0" fontId="130" fillId="3" borderId="28" xfId="0" applyFont="1" applyFill="1" applyBorder="1" applyAlignment="1">
      <alignment horizontal="center"/>
    </xf>
    <xf numFmtId="0" fontId="137" fillId="3" borderId="31" xfId="0" applyFont="1" applyFill="1" applyBorder="1"/>
    <xf numFmtId="37" fontId="130" fillId="3" borderId="29" xfId="0" applyNumberFormat="1" applyFont="1" applyFill="1" applyBorder="1"/>
    <xf numFmtId="0" fontId="137" fillId="3" borderId="28" xfId="0" applyFont="1" applyFill="1" applyBorder="1"/>
    <xf numFmtId="0" fontId="138" fillId="0" borderId="8" xfId="0" applyFont="1" applyBorder="1"/>
    <xf numFmtId="0" fontId="138" fillId="0" borderId="92" xfId="0" applyFont="1" applyBorder="1"/>
    <xf numFmtId="0" fontId="137" fillId="0" borderId="91" xfId="0" applyFont="1" applyBorder="1" applyAlignment="1">
      <alignment horizontal="right"/>
    </xf>
    <xf numFmtId="0" fontId="137" fillId="0" borderId="91" xfId="0" applyFont="1" applyBorder="1"/>
    <xf numFmtId="0" fontId="137" fillId="0" borderId="6" xfId="0" applyFont="1" applyBorder="1" applyAlignment="1">
      <alignment horizontal="right"/>
    </xf>
    <xf numFmtId="37" fontId="137" fillId="0" borderId="7" xfId="0" applyNumberFormat="1" applyFont="1" applyBorder="1"/>
    <xf numFmtId="0" fontId="137" fillId="0" borderId="14" xfId="0" applyFont="1" applyBorder="1"/>
    <xf numFmtId="37" fontId="130" fillId="0" borderId="0" xfId="0" applyNumberFormat="1" applyFont="1"/>
    <xf numFmtId="37" fontId="130" fillId="3" borderId="24" xfId="0" applyNumberFormat="1" applyFont="1" applyFill="1" applyBorder="1"/>
    <xf numFmtId="0" fontId="137" fillId="10" borderId="1" xfId="0" applyFont="1" applyFill="1" applyBorder="1"/>
    <xf numFmtId="1" fontId="137" fillId="0" borderId="8" xfId="0" applyNumberFormat="1" applyFont="1" applyBorder="1"/>
    <xf numFmtId="171" fontId="137" fillId="0" borderId="0" xfId="0" applyNumberFormat="1" applyFont="1"/>
    <xf numFmtId="0" fontId="130" fillId="6" borderId="20" xfId="0" applyFont="1" applyFill="1" applyBorder="1"/>
    <xf numFmtId="0" fontId="137" fillId="6" borderId="1" xfId="0" applyFont="1" applyFill="1" applyBorder="1"/>
    <xf numFmtId="0" fontId="130" fillId="6" borderId="1" xfId="0" applyFont="1" applyFill="1" applyBorder="1"/>
    <xf numFmtId="37" fontId="130" fillId="6" borderId="21" xfId="0" applyNumberFormat="1" applyFont="1" applyFill="1" applyBorder="1"/>
    <xf numFmtId="0" fontId="137" fillId="6" borderId="20" xfId="0" applyFont="1" applyFill="1" applyBorder="1"/>
    <xf numFmtId="0" fontId="137" fillId="6" borderId="22" xfId="0" applyFont="1" applyFill="1" applyBorder="1"/>
    <xf numFmtId="0" fontId="137" fillId="6" borderId="23" xfId="0" applyFont="1" applyFill="1" applyBorder="1"/>
    <xf numFmtId="37" fontId="130" fillId="6" borderId="24" xfId="0" applyNumberFormat="1" applyFont="1" applyFill="1" applyBorder="1"/>
    <xf numFmtId="0" fontId="130" fillId="3" borderId="34" xfId="0" applyFont="1" applyFill="1" applyBorder="1"/>
    <xf numFmtId="0" fontId="137" fillId="3" borderId="35" xfId="0" applyFont="1" applyFill="1" applyBorder="1"/>
    <xf numFmtId="0" fontId="130" fillId="3" borderId="35" xfId="0" applyFont="1" applyFill="1" applyBorder="1"/>
    <xf numFmtId="37" fontId="130" fillId="3" borderId="36" xfId="0" applyNumberFormat="1" applyFont="1" applyFill="1" applyBorder="1"/>
    <xf numFmtId="0" fontId="137" fillId="3" borderId="34" xfId="0" applyFont="1" applyFill="1" applyBorder="1"/>
    <xf numFmtId="1" fontId="139" fillId="0" borderId="0" xfId="0" applyNumberFormat="1" applyFont="1"/>
    <xf numFmtId="37" fontId="139" fillId="0" borderId="0" xfId="0" applyNumberFormat="1" applyFont="1"/>
    <xf numFmtId="0" fontId="158" fillId="22" borderId="1" xfId="0" applyFont="1" applyFill="1" applyBorder="1"/>
    <xf numFmtId="0" fontId="137" fillId="0" borderId="9" xfId="0" applyFont="1" applyBorder="1" applyAlignment="1">
      <alignment horizontal="center"/>
    </xf>
    <xf numFmtId="0" fontId="137" fillId="0" borderId="8" xfId="0" applyFont="1" applyBorder="1" applyAlignment="1">
      <alignment horizontal="center"/>
    </xf>
    <xf numFmtId="0" fontId="137" fillId="0" borderId="92" xfId="0" applyFont="1" applyBorder="1" applyAlignment="1">
      <alignment horizontal="center"/>
    </xf>
    <xf numFmtId="0" fontId="137" fillId="0" borderId="5" xfId="0" applyFont="1" applyBorder="1" applyAlignment="1">
      <alignment horizontal="center"/>
    </xf>
    <xf numFmtId="0" fontId="159" fillId="0" borderId="0" xfId="0" applyFont="1"/>
    <xf numFmtId="174" fontId="140" fillId="0" borderId="8" xfId="0" applyNumberFormat="1" applyFont="1" applyBorder="1"/>
    <xf numFmtId="174" fontId="140" fillId="0" borderId="9" xfId="0" applyNumberFormat="1" applyFont="1" applyBorder="1"/>
    <xf numFmtId="39" fontId="137" fillId="0" borderId="0" xfId="0" applyNumberFormat="1" applyFont="1"/>
    <xf numFmtId="3" fontId="130" fillId="0" borderId="5" xfId="0" applyNumberFormat="1" applyFont="1" applyBorder="1"/>
    <xf numFmtId="173" fontId="137" fillId="0" borderId="0" xfId="0" applyNumberFormat="1" applyFont="1"/>
    <xf numFmtId="173" fontId="130" fillId="3" borderId="26" xfId="0" applyNumberFormat="1" applyFont="1" applyFill="1" applyBorder="1"/>
    <xf numFmtId="9" fontId="130" fillId="3" borderId="12" xfId="0" applyNumberFormat="1" applyFont="1" applyFill="1" applyBorder="1"/>
    <xf numFmtId="174" fontId="130" fillId="9" borderId="13" xfId="0" applyNumberFormat="1" applyFont="1" applyFill="1" applyBorder="1"/>
    <xf numFmtId="174" fontId="137" fillId="0" borderId="0" xfId="0" applyNumberFormat="1" applyFont="1"/>
    <xf numFmtId="174" fontId="137" fillId="0" borderId="14" xfId="0" applyNumberFormat="1" applyFont="1" applyBorder="1"/>
    <xf numFmtId="0" fontId="137" fillId="3" borderId="22" xfId="0" applyFont="1" applyFill="1" applyBorder="1"/>
    <xf numFmtId="0" fontId="130" fillId="0" borderId="0" xfId="0" applyFont="1" applyAlignment="1">
      <alignment horizontal="center"/>
    </xf>
    <xf numFmtId="174" fontId="130" fillId="0" borderId="0" xfId="0" applyNumberFormat="1" applyFont="1"/>
    <xf numFmtId="0" fontId="130" fillId="0" borderId="8" xfId="0" applyFont="1" applyBorder="1" applyAlignment="1">
      <alignment horizontal="center"/>
    </xf>
    <xf numFmtId="1" fontId="137" fillId="0" borderId="0" xfId="0" applyNumberFormat="1" applyFont="1"/>
    <xf numFmtId="0" fontId="137" fillId="3" borderId="35" xfId="0" applyFont="1" applyFill="1" applyBorder="1" applyAlignment="1">
      <alignment horizontal="right"/>
    </xf>
    <xf numFmtId="0" fontId="137" fillId="3" borderId="34" xfId="0" applyFont="1" applyFill="1" applyBorder="1" applyAlignment="1">
      <alignment horizontal="right"/>
    </xf>
    <xf numFmtId="174" fontId="137" fillId="0" borderId="9" xfId="0" applyNumberFormat="1" applyFont="1" applyBorder="1"/>
    <xf numFmtId="39" fontId="137" fillId="0" borderId="14" xfId="0" applyNumberFormat="1" applyFont="1" applyBorder="1" applyAlignment="1">
      <alignment horizontal="center"/>
    </xf>
    <xf numFmtId="174" fontId="137" fillId="0" borderId="5" xfId="0" applyNumberFormat="1" applyFont="1" applyBorder="1"/>
    <xf numFmtId="37" fontId="137" fillId="0" borderId="92" xfId="0" applyNumberFormat="1" applyFont="1" applyBorder="1"/>
    <xf numFmtId="37" fontId="137" fillId="0" borderId="91" xfId="0" applyNumberFormat="1" applyFont="1" applyBorder="1"/>
    <xf numFmtId="37" fontId="137" fillId="0" borderId="6" xfId="0" applyNumberFormat="1" applyFont="1" applyBorder="1"/>
    <xf numFmtId="10" fontId="137" fillId="0" borderId="0" xfId="0" applyNumberFormat="1" applyFont="1"/>
    <xf numFmtId="174" fontId="130" fillId="0" borderId="92" xfId="0" applyNumberFormat="1" applyFont="1" applyBorder="1"/>
    <xf numFmtId="174" fontId="130" fillId="0" borderId="5" xfId="0" applyNumberFormat="1" applyFont="1" applyBorder="1"/>
    <xf numFmtId="174" fontId="137" fillId="0" borderId="6" xfId="0" applyNumberFormat="1" applyFont="1" applyBorder="1"/>
    <xf numFmtId="173" fontId="130" fillId="0" borderId="0" xfId="0" applyNumberFormat="1" applyFont="1"/>
    <xf numFmtId="37" fontId="130" fillId="0" borderId="8" xfId="0" applyNumberFormat="1" applyFont="1" applyBorder="1"/>
    <xf numFmtId="37" fontId="130" fillId="0" borderId="9" xfId="0" applyNumberFormat="1" applyFont="1" applyBorder="1"/>
    <xf numFmtId="0" fontId="130" fillId="0" borderId="14" xfId="0" applyFont="1" applyBorder="1"/>
    <xf numFmtId="173" fontId="130" fillId="0" borderId="14" xfId="0" applyNumberFormat="1" applyFont="1" applyBorder="1"/>
    <xf numFmtId="37" fontId="130" fillId="0" borderId="92" xfId="0" applyNumberFormat="1" applyFont="1" applyBorder="1"/>
    <xf numFmtId="37" fontId="130" fillId="0" borderId="5" xfId="0" applyNumberFormat="1" applyFont="1" applyBorder="1"/>
    <xf numFmtId="37" fontId="137" fillId="0" borderId="96" xfId="0" applyNumberFormat="1" applyFont="1" applyBorder="1"/>
    <xf numFmtId="0" fontId="130" fillId="6" borderId="10" xfId="0" applyFont="1" applyFill="1" applyBorder="1"/>
    <xf numFmtId="37" fontId="130" fillId="6" borderId="26" xfId="0" applyNumberFormat="1" applyFont="1" applyFill="1" applyBorder="1"/>
    <xf numFmtId="37" fontId="130" fillId="6" borderId="11" xfId="0" applyNumberFormat="1" applyFont="1" applyFill="1" applyBorder="1"/>
    <xf numFmtId="37" fontId="130" fillId="6" borderId="10" xfId="0" applyNumberFormat="1" applyFont="1" applyFill="1" applyBorder="1"/>
    <xf numFmtId="174" fontId="130" fillId="6" borderId="10" xfId="0" applyNumberFormat="1" applyFont="1" applyFill="1" applyBorder="1"/>
    <xf numFmtId="0" fontId="130" fillId="6" borderId="22" xfId="0" applyFont="1" applyFill="1" applyBorder="1"/>
    <xf numFmtId="37" fontId="130" fillId="6" borderId="23" xfId="0" applyNumberFormat="1" applyFont="1" applyFill="1" applyBorder="1"/>
    <xf numFmtId="39" fontId="130" fillId="6" borderId="23" xfId="0" applyNumberFormat="1" applyFont="1" applyFill="1" applyBorder="1" applyAlignment="1">
      <alignment horizontal="center"/>
    </xf>
    <xf numFmtId="174" fontId="130" fillId="6" borderId="24" xfId="0" applyNumberFormat="1" applyFont="1" applyFill="1" applyBorder="1"/>
    <xf numFmtId="37" fontId="130" fillId="6" borderId="22" xfId="0" applyNumberFormat="1" applyFont="1" applyFill="1" applyBorder="1"/>
    <xf numFmtId="37" fontId="130" fillId="0" borderId="91" xfId="0" applyNumberFormat="1" applyFont="1" applyBorder="1"/>
    <xf numFmtId="173" fontId="130" fillId="0" borderId="91" xfId="0" applyNumberFormat="1" applyFont="1" applyBorder="1"/>
    <xf numFmtId="37" fontId="130" fillId="0" borderId="7" xfId="0" applyNumberFormat="1" applyFont="1" applyBorder="1"/>
    <xf numFmtId="37" fontId="130" fillId="0" borderId="6" xfId="0" applyNumberFormat="1" applyFont="1" applyBorder="1"/>
    <xf numFmtId="0" fontId="130" fillId="6" borderId="19" xfId="0" applyFont="1" applyFill="1" applyBorder="1"/>
    <xf numFmtId="37" fontId="130" fillId="6" borderId="15" xfId="0" applyNumberFormat="1" applyFont="1" applyFill="1" applyBorder="1"/>
    <xf numFmtId="173" fontId="130" fillId="6" borderId="15" xfId="0" applyNumberFormat="1" applyFont="1" applyFill="1" applyBorder="1"/>
    <xf numFmtId="37" fontId="130" fillId="6" borderId="25" xfId="0" applyNumberFormat="1" applyFont="1" applyFill="1" applyBorder="1"/>
    <xf numFmtId="37" fontId="130" fillId="6" borderId="19" xfId="0" applyNumberFormat="1" applyFont="1" applyFill="1" applyBorder="1"/>
    <xf numFmtId="174" fontId="130" fillId="3" borderId="10" xfId="0" applyNumberFormat="1" applyFont="1" applyFill="1" applyBorder="1"/>
    <xf numFmtId="37" fontId="137" fillId="0" borderId="0" xfId="0" applyNumberFormat="1" applyFont="1" applyAlignment="1">
      <alignment horizontal="center"/>
    </xf>
    <xf numFmtId="0" fontId="137" fillId="0" borderId="14" xfId="0" applyFont="1" applyBorder="1" applyAlignment="1">
      <alignment horizontal="center"/>
    </xf>
    <xf numFmtId="1" fontId="137" fillId="0" borderId="6" xfId="0" applyNumberFormat="1" applyFont="1" applyBorder="1"/>
    <xf numFmtId="173" fontId="137" fillId="0" borderId="14" xfId="0" applyNumberFormat="1" applyFont="1" applyBorder="1"/>
    <xf numFmtId="2" fontId="137" fillId="0" borderId="14" xfId="0" applyNumberFormat="1" applyFont="1" applyBorder="1"/>
    <xf numFmtId="10" fontId="130" fillId="3" borderId="10" xfId="0" applyNumberFormat="1" applyFont="1" applyFill="1" applyBorder="1"/>
    <xf numFmtId="0" fontId="138" fillId="0" borderId="6" xfId="0" applyFont="1" applyBorder="1"/>
    <xf numFmtId="174" fontId="130" fillId="0" borderId="91" xfId="0" applyNumberFormat="1" applyFont="1" applyBorder="1"/>
    <xf numFmtId="174" fontId="130" fillId="0" borderId="6" xfId="0" applyNumberFormat="1" applyFont="1" applyBorder="1"/>
    <xf numFmtId="0" fontId="137" fillId="0" borderId="5" xfId="0" applyFont="1" applyBorder="1"/>
    <xf numFmtId="174" fontId="130" fillId="3" borderId="26" xfId="0" applyNumberFormat="1" applyFont="1" applyFill="1" applyBorder="1"/>
    <xf numFmtId="174" fontId="130" fillId="3" borderId="16" xfId="0" applyNumberFormat="1" applyFont="1" applyFill="1" applyBorder="1"/>
    <xf numFmtId="37" fontId="130" fillId="3" borderId="18" xfId="0" applyNumberFormat="1" applyFont="1" applyFill="1" applyBorder="1"/>
    <xf numFmtId="37" fontId="130" fillId="3" borderId="35" xfId="0" applyNumberFormat="1" applyFont="1" applyFill="1" applyBorder="1"/>
    <xf numFmtId="173" fontId="130" fillId="3" borderId="35" xfId="0" applyNumberFormat="1" applyFont="1" applyFill="1" applyBorder="1"/>
    <xf numFmtId="37" fontId="130" fillId="3" borderId="34" xfId="0" applyNumberFormat="1" applyFont="1" applyFill="1" applyBorder="1"/>
    <xf numFmtId="0" fontId="137" fillId="3" borderId="12" xfId="0" applyFont="1" applyFill="1" applyBorder="1"/>
    <xf numFmtId="6" fontId="137" fillId="0" borderId="0" xfId="0" applyNumberFormat="1" applyFont="1"/>
    <xf numFmtId="0" fontId="137" fillId="0" borderId="97" xfId="0" applyFont="1" applyBorder="1" applyAlignment="1">
      <alignment horizontal="center"/>
    </xf>
    <xf numFmtId="0" fontId="137" fillId="0" borderId="98" xfId="0" applyFont="1" applyBorder="1" applyAlignment="1">
      <alignment horizontal="center"/>
    </xf>
    <xf numFmtId="0" fontId="137" fillId="0" borderId="96" xfId="0" applyFont="1" applyBorder="1" applyAlignment="1">
      <alignment horizontal="center"/>
    </xf>
    <xf numFmtId="37" fontId="137" fillId="9" borderId="1" xfId="0" applyNumberFormat="1" applyFont="1" applyFill="1" applyBorder="1"/>
    <xf numFmtId="174" fontId="130" fillId="3" borderId="1" xfId="0" applyNumberFormat="1" applyFont="1" applyFill="1" applyBorder="1"/>
    <xf numFmtId="37" fontId="137" fillId="9" borderId="18" xfId="0" applyNumberFormat="1" applyFont="1" applyFill="1" applyBorder="1"/>
    <xf numFmtId="3" fontId="137" fillId="9" borderId="16" xfId="0" applyNumberFormat="1" applyFont="1" applyFill="1" applyBorder="1"/>
    <xf numFmtId="3" fontId="137" fillId="9" borderId="18" xfId="0" applyNumberFormat="1" applyFont="1" applyFill="1" applyBorder="1"/>
    <xf numFmtId="0" fontId="160" fillId="0" borderId="0" xfId="0" applyFont="1"/>
    <xf numFmtId="174" fontId="130" fillId="0" borderId="99" xfId="0" applyNumberFormat="1" applyFont="1" applyBorder="1"/>
    <xf numFmtId="0" fontId="130" fillId="3" borderId="37" xfId="0" applyFont="1" applyFill="1" applyBorder="1"/>
    <xf numFmtId="0" fontId="130" fillId="3" borderId="38" xfId="0" applyFont="1" applyFill="1" applyBorder="1"/>
    <xf numFmtId="37" fontId="130" fillId="3" borderId="39" xfId="0" applyNumberFormat="1" applyFont="1" applyFill="1" applyBorder="1"/>
    <xf numFmtId="0" fontId="137" fillId="3" borderId="37" xfId="0" applyFont="1" applyFill="1" applyBorder="1"/>
    <xf numFmtId="0" fontId="137" fillId="3" borderId="38" xfId="0" applyFont="1" applyFill="1" applyBorder="1"/>
    <xf numFmtId="0" fontId="161" fillId="23" borderId="1" xfId="0" applyFont="1" applyFill="1" applyBorder="1"/>
    <xf numFmtId="0" fontId="140" fillId="0" borderId="0" xfId="0" applyFont="1" applyAlignment="1">
      <alignment horizontal="center" vertical="center"/>
    </xf>
    <xf numFmtId="0" fontId="137" fillId="0" borderId="100" xfId="0" applyFont="1" applyBorder="1" applyAlignment="1">
      <alignment horizontal="left"/>
    </xf>
    <xf numFmtId="0" fontId="130" fillId="0" borderId="101" xfId="0" applyFont="1" applyBorder="1" applyAlignment="1">
      <alignment horizontal="center" vertical="center"/>
    </xf>
    <xf numFmtId="0" fontId="137" fillId="0" borderId="86" xfId="0" applyFont="1" applyBorder="1" applyAlignment="1">
      <alignment horizontal="center"/>
    </xf>
    <xf numFmtId="0" fontId="137" fillId="0" borderId="84" xfId="0" applyFont="1" applyBorder="1" applyAlignment="1">
      <alignment horizontal="center"/>
    </xf>
    <xf numFmtId="0" fontId="137" fillId="0" borderId="105" xfId="0" applyFont="1" applyBorder="1" applyAlignment="1">
      <alignment horizontal="center"/>
    </xf>
    <xf numFmtId="0" fontId="138" fillId="0" borderId="14" xfId="0" applyFont="1" applyBorder="1"/>
    <xf numFmtId="37" fontId="138" fillId="0" borderId="86" xfId="0" applyNumberFormat="1" applyFont="1" applyBorder="1"/>
    <xf numFmtId="37" fontId="138" fillId="0" borderId="84" xfId="0" applyNumberFormat="1" applyFont="1" applyBorder="1"/>
    <xf numFmtId="37" fontId="138" fillId="0" borderId="14" xfId="0" applyNumberFormat="1" applyFont="1" applyBorder="1"/>
    <xf numFmtId="174" fontId="138" fillId="0" borderId="14" xfId="0" applyNumberFormat="1" applyFont="1" applyBorder="1"/>
    <xf numFmtId="37" fontId="138" fillId="0" borderId="105" xfId="0" applyNumberFormat="1" applyFont="1" applyBorder="1"/>
    <xf numFmtId="174" fontId="138" fillId="0" borderId="5" xfId="0" applyNumberFormat="1" applyFont="1" applyBorder="1"/>
    <xf numFmtId="0" fontId="140" fillId="3" borderId="22" xfId="0" applyFont="1" applyFill="1" applyBorder="1"/>
    <xf numFmtId="0" fontId="140" fillId="3" borderId="23" xfId="0" applyFont="1" applyFill="1" applyBorder="1"/>
    <xf numFmtId="37" fontId="140" fillId="3" borderId="106" xfId="0" applyNumberFormat="1" applyFont="1" applyFill="1" applyBorder="1"/>
    <xf numFmtId="37" fontId="140" fillId="3" borderId="107" xfId="0" applyNumberFormat="1" applyFont="1" applyFill="1" applyBorder="1"/>
    <xf numFmtId="37" fontId="140" fillId="3" borderId="23" xfId="0" applyNumberFormat="1" applyFont="1" applyFill="1" applyBorder="1"/>
    <xf numFmtId="174" fontId="140" fillId="3" borderId="23" xfId="0" applyNumberFormat="1" applyFont="1" applyFill="1" applyBorder="1"/>
    <xf numFmtId="37" fontId="140" fillId="3" borderId="108" xfId="0" applyNumberFormat="1" applyFont="1" applyFill="1" applyBorder="1"/>
    <xf numFmtId="174" fontId="140" fillId="3" borderId="24" xfId="0" applyNumberFormat="1" applyFont="1" applyFill="1" applyBorder="1"/>
    <xf numFmtId="0" fontId="140" fillId="0" borderId="8" xfId="0" applyFont="1" applyBorder="1"/>
    <xf numFmtId="0" fontId="138" fillId="0" borderId="0" xfId="0" applyFont="1"/>
    <xf numFmtId="37" fontId="138" fillId="0" borderId="73" xfId="0" applyNumberFormat="1" applyFont="1" applyBorder="1"/>
    <xf numFmtId="37" fontId="138" fillId="0" borderId="71" xfId="0" applyNumberFormat="1" applyFont="1" applyBorder="1"/>
    <xf numFmtId="37" fontId="138" fillId="0" borderId="0" xfId="0" applyNumberFormat="1" applyFont="1"/>
    <xf numFmtId="174" fontId="138" fillId="0" borderId="0" xfId="0" applyNumberFormat="1" applyFont="1"/>
    <xf numFmtId="37" fontId="138" fillId="0" borderId="56" xfId="0" applyNumberFormat="1" applyFont="1" applyBorder="1"/>
    <xf numFmtId="174" fontId="138" fillId="0" borderId="7" xfId="0" applyNumberFormat="1" applyFont="1" applyBorder="1"/>
    <xf numFmtId="0" fontId="138" fillId="0" borderId="0" xfId="0" applyFont="1" applyAlignment="1">
      <alignment horizontal="right"/>
    </xf>
    <xf numFmtId="173" fontId="138" fillId="0" borderId="0" xfId="0" applyNumberFormat="1" applyFont="1"/>
    <xf numFmtId="0" fontId="138" fillId="0" borderId="71" xfId="0" applyFont="1" applyBorder="1"/>
    <xf numFmtId="174" fontId="138" fillId="0" borderId="9" xfId="0" applyNumberFormat="1" applyFont="1" applyBorder="1"/>
    <xf numFmtId="0" fontId="138" fillId="0" borderId="14" xfId="0" applyFont="1" applyBorder="1" applyAlignment="1">
      <alignment horizontal="right"/>
    </xf>
    <xf numFmtId="173" fontId="138" fillId="0" borderId="14" xfId="0" applyNumberFormat="1" applyFont="1" applyBorder="1"/>
    <xf numFmtId="0" fontId="138" fillId="0" borderId="84" xfId="0" applyFont="1" applyBorder="1"/>
    <xf numFmtId="174" fontId="138" fillId="0" borderId="86" xfId="0" applyNumberFormat="1" applyFont="1" applyBorder="1"/>
    <xf numFmtId="0" fontId="140" fillId="3" borderId="28" xfId="0" applyFont="1" applyFill="1" applyBorder="1"/>
    <xf numFmtId="0" fontId="140" fillId="3" borderId="29" xfId="0" applyFont="1" applyFill="1" applyBorder="1"/>
    <xf numFmtId="174" fontId="140" fillId="3" borderId="29" xfId="0" applyNumberFormat="1" applyFont="1" applyFill="1" applyBorder="1"/>
    <xf numFmtId="37" fontId="140" fillId="3" borderId="68" xfId="0" applyNumberFormat="1" applyFont="1" applyFill="1" applyBorder="1"/>
    <xf numFmtId="174" fontId="140" fillId="3" borderId="31" xfId="0" applyNumberFormat="1" applyFont="1" applyFill="1" applyBorder="1"/>
    <xf numFmtId="0" fontId="140" fillId="3" borderId="31" xfId="0" applyFont="1" applyFill="1" applyBorder="1"/>
    <xf numFmtId="37" fontId="140" fillId="3" borderId="29" xfId="0" applyNumberFormat="1" applyFont="1" applyFill="1" applyBorder="1"/>
    <xf numFmtId="0" fontId="140" fillId="3" borderId="111" xfId="0" applyFont="1" applyFill="1" applyBorder="1"/>
    <xf numFmtId="174" fontId="138" fillId="0" borderId="73" xfId="0" applyNumberFormat="1" applyFont="1" applyBorder="1"/>
    <xf numFmtId="173" fontId="140" fillId="3" borderId="29" xfId="0" applyNumberFormat="1" applyFont="1" applyFill="1" applyBorder="1"/>
    <xf numFmtId="37" fontId="140" fillId="3" borderId="31" xfId="0" applyNumberFormat="1" applyFont="1" applyFill="1" applyBorder="1"/>
    <xf numFmtId="37" fontId="140" fillId="3" borderId="111" xfId="0" applyNumberFormat="1" applyFont="1" applyFill="1" applyBorder="1"/>
    <xf numFmtId="0" fontId="138" fillId="0" borderId="91" xfId="0" applyFont="1" applyBorder="1" applyAlignment="1">
      <alignment horizontal="right"/>
    </xf>
    <xf numFmtId="0" fontId="138" fillId="0" borderId="91" xfId="0" applyFont="1" applyBorder="1"/>
    <xf numFmtId="37" fontId="138" fillId="0" borderId="90" xfId="0" applyNumberFormat="1" applyFont="1" applyBorder="1"/>
    <xf numFmtId="0" fontId="138" fillId="0" borderId="89" xfId="0" applyFont="1" applyBorder="1"/>
    <xf numFmtId="173" fontId="138" fillId="0" borderId="91" xfId="0" applyNumberFormat="1" applyFont="1" applyBorder="1"/>
    <xf numFmtId="37" fontId="138" fillId="0" borderId="91" xfId="0" applyNumberFormat="1" applyFont="1" applyBorder="1"/>
    <xf numFmtId="174" fontId="138" fillId="0" borderId="91" xfId="0" applyNumberFormat="1" applyFont="1" applyBorder="1"/>
    <xf numFmtId="37" fontId="138" fillId="0" borderId="112" xfId="0" applyNumberFormat="1" applyFont="1" applyBorder="1"/>
    <xf numFmtId="9" fontId="128" fillId="0" borderId="0" xfId="0" applyNumberFormat="1" applyFont="1"/>
    <xf numFmtId="37" fontId="138" fillId="0" borderId="89" xfId="0" applyNumberFormat="1" applyFont="1" applyBorder="1"/>
    <xf numFmtId="0" fontId="138" fillId="3" borderId="29" xfId="0" applyFont="1" applyFill="1" applyBorder="1"/>
    <xf numFmtId="3" fontId="140" fillId="3" borderId="29" xfId="0" applyNumberFormat="1" applyFont="1" applyFill="1" applyBorder="1" applyAlignment="1">
      <alignment horizontal="center"/>
    </xf>
    <xf numFmtId="174" fontId="140" fillId="3" borderId="30" xfId="0" applyNumberFormat="1" applyFont="1" applyFill="1" applyBorder="1"/>
    <xf numFmtId="174" fontId="140" fillId="0" borderId="0" xfId="0" applyNumberFormat="1" applyFont="1"/>
    <xf numFmtId="0" fontId="140" fillId="0" borderId="0" xfId="0" applyFont="1"/>
    <xf numFmtId="174" fontId="138" fillId="0" borderId="90" xfId="0" applyNumberFormat="1" applyFont="1" applyBorder="1"/>
    <xf numFmtId="0" fontId="138" fillId="0" borderId="73" xfId="0" applyFont="1" applyBorder="1"/>
    <xf numFmtId="0" fontId="138" fillId="0" borderId="56" xfId="0" applyFont="1" applyBorder="1"/>
    <xf numFmtId="174" fontId="138" fillId="0" borderId="113" xfId="0" applyNumberFormat="1" applyFont="1" applyBorder="1"/>
    <xf numFmtId="174" fontId="140" fillId="0" borderId="91" xfId="0" applyNumberFormat="1" applyFont="1" applyBorder="1"/>
    <xf numFmtId="0" fontId="140" fillId="0" borderId="91" xfId="0" applyFont="1" applyBorder="1"/>
    <xf numFmtId="174" fontId="140" fillId="0" borderId="89" xfId="0" applyNumberFormat="1" applyFont="1" applyBorder="1"/>
    <xf numFmtId="37" fontId="140" fillId="0" borderId="89" xfId="0" applyNumberFormat="1" applyFont="1" applyBorder="1"/>
    <xf numFmtId="37" fontId="138" fillId="0" borderId="93" xfId="0" applyNumberFormat="1" applyFont="1" applyBorder="1"/>
    <xf numFmtId="37" fontId="140" fillId="0" borderId="91" xfId="0" applyNumberFormat="1" applyFont="1" applyBorder="1"/>
    <xf numFmtId="37" fontId="140" fillId="0" borderId="0" xfId="0" applyNumberFormat="1" applyFont="1"/>
    <xf numFmtId="1" fontId="140" fillId="0" borderId="0" xfId="0" applyNumberFormat="1" applyFont="1"/>
    <xf numFmtId="37" fontId="140" fillId="0" borderId="71" xfId="0" applyNumberFormat="1" applyFont="1" applyBorder="1"/>
    <xf numFmtId="174" fontId="140" fillId="0" borderId="71" xfId="0" applyNumberFormat="1" applyFont="1" applyBorder="1"/>
    <xf numFmtId="37" fontId="138" fillId="0" borderId="55" xfId="0" applyNumberFormat="1" applyFont="1" applyBorder="1"/>
    <xf numFmtId="43" fontId="140" fillId="0" borderId="71" xfId="0" applyNumberFormat="1" applyFont="1" applyBorder="1"/>
    <xf numFmtId="174" fontId="138" fillId="3" borderId="31" xfId="0" applyNumberFormat="1" applyFont="1" applyFill="1" applyBorder="1"/>
    <xf numFmtId="174" fontId="138" fillId="3" borderId="29" xfId="0" applyNumberFormat="1" applyFont="1" applyFill="1" applyBorder="1"/>
    <xf numFmtId="37" fontId="138" fillId="3" borderId="111" xfId="0" applyNumberFormat="1" applyFont="1" applyFill="1" applyBorder="1"/>
    <xf numFmtId="0" fontId="140" fillId="6" borderId="19" xfId="0" applyFont="1" applyFill="1" applyBorder="1"/>
    <xf numFmtId="0" fontId="140" fillId="6" borderId="15" xfId="0" applyFont="1" applyFill="1" applyBorder="1"/>
    <xf numFmtId="37" fontId="140" fillId="6" borderId="15" xfId="0" applyNumberFormat="1" applyFont="1" applyFill="1" applyBorder="1"/>
    <xf numFmtId="37" fontId="138" fillId="6" borderId="114" xfId="0" applyNumberFormat="1" applyFont="1" applyFill="1" applyBorder="1"/>
    <xf numFmtId="0" fontId="138" fillId="6" borderId="15" xfId="0" applyFont="1" applyFill="1" applyBorder="1"/>
    <xf numFmtId="37" fontId="138" fillId="6" borderId="15" xfId="0" applyNumberFormat="1" applyFont="1" applyFill="1" applyBorder="1"/>
    <xf numFmtId="37" fontId="138" fillId="6" borderId="115" xfId="0" applyNumberFormat="1" applyFont="1" applyFill="1" applyBorder="1"/>
    <xf numFmtId="37" fontId="138" fillId="6" borderId="1" xfId="0" applyNumberFormat="1" applyFont="1" applyFill="1" applyBorder="1"/>
    <xf numFmtId="174" fontId="138" fillId="6" borderId="1" xfId="0" applyNumberFormat="1" applyFont="1" applyFill="1" applyBorder="1"/>
    <xf numFmtId="174" fontId="138" fillId="6" borderId="115" xfId="0" applyNumberFormat="1" applyFont="1" applyFill="1" applyBorder="1"/>
    <xf numFmtId="174" fontId="138" fillId="6" borderId="15" xfId="0" applyNumberFormat="1" applyFont="1" applyFill="1" applyBorder="1"/>
    <xf numFmtId="37" fontId="138" fillId="6" borderId="116" xfId="0" applyNumberFormat="1" applyFont="1" applyFill="1" applyBorder="1"/>
    <xf numFmtId="174" fontId="138" fillId="0" borderId="98" xfId="0" applyNumberFormat="1" applyFont="1" applyBorder="1"/>
    <xf numFmtId="0" fontId="140" fillId="3" borderId="37" xfId="0" applyFont="1" applyFill="1" applyBorder="1"/>
    <xf numFmtId="0" fontId="140" fillId="3" borderId="38" xfId="0" applyFont="1" applyFill="1" applyBorder="1"/>
    <xf numFmtId="0" fontId="140" fillId="3" borderId="38" xfId="0" applyFont="1" applyFill="1" applyBorder="1" applyAlignment="1">
      <alignment horizontal="center"/>
    </xf>
    <xf numFmtId="174" fontId="140" fillId="3" borderId="38" xfId="0" applyNumberFormat="1" applyFont="1" applyFill="1" applyBorder="1"/>
    <xf numFmtId="37" fontId="140" fillId="3" borderId="117" xfId="0" applyNumberFormat="1" applyFont="1" applyFill="1" applyBorder="1"/>
    <xf numFmtId="37" fontId="140" fillId="3" borderId="38" xfId="0" applyNumberFormat="1" applyFont="1" applyFill="1" applyBorder="1"/>
    <xf numFmtId="37" fontId="140" fillId="3" borderId="118" xfId="0" applyNumberFormat="1" applyFont="1" applyFill="1" applyBorder="1"/>
    <xf numFmtId="174" fontId="140" fillId="3" borderId="119" xfId="0" applyNumberFormat="1" applyFont="1" applyFill="1" applyBorder="1"/>
    <xf numFmtId="0" fontId="140" fillId="3" borderId="118" xfId="0" applyFont="1" applyFill="1" applyBorder="1" applyAlignment="1">
      <alignment horizontal="center"/>
    </xf>
    <xf numFmtId="37" fontId="140" fillId="3" borderId="120" xfId="0" applyNumberFormat="1" applyFont="1" applyFill="1" applyBorder="1"/>
    <xf numFmtId="174" fontId="140" fillId="3" borderId="13" xfId="0" applyNumberFormat="1" applyFont="1" applyFill="1" applyBorder="1"/>
    <xf numFmtId="39" fontId="138" fillId="0" borderId="0" xfId="0" applyNumberFormat="1" applyFont="1"/>
    <xf numFmtId="0" fontId="131" fillId="0" borderId="0" xfId="0" applyFont="1" applyAlignment="1">
      <alignment horizontal="right" vertical="center"/>
    </xf>
    <xf numFmtId="37" fontId="140" fillId="3" borderId="121" xfId="0" applyNumberFormat="1" applyFont="1" applyFill="1" applyBorder="1"/>
    <xf numFmtId="37" fontId="140" fillId="3" borderId="122" xfId="0" applyNumberFormat="1" applyFont="1" applyFill="1" applyBorder="1"/>
    <xf numFmtId="37" fontId="140" fillId="3" borderId="123" xfId="0" applyNumberFormat="1" applyFont="1" applyFill="1" applyBorder="1"/>
    <xf numFmtId="174" fontId="140" fillId="3" borderId="124" xfId="0" applyNumberFormat="1" applyFont="1" applyFill="1" applyBorder="1"/>
    <xf numFmtId="0" fontId="136" fillId="0" borderId="8" xfId="0" applyFont="1" applyBorder="1"/>
    <xf numFmtId="37" fontId="136" fillId="0" borderId="73" xfId="0" applyNumberFormat="1" applyFont="1" applyBorder="1"/>
    <xf numFmtId="0" fontId="136" fillId="0" borderId="73" xfId="0" applyFont="1" applyBorder="1"/>
    <xf numFmtId="0" fontId="136" fillId="0" borderId="55" xfId="0" applyFont="1" applyBorder="1"/>
    <xf numFmtId="0" fontId="136" fillId="0" borderId="56" xfId="0" applyFont="1" applyBorder="1"/>
    <xf numFmtId="0" fontId="136" fillId="0" borderId="9" xfId="0" applyFont="1" applyBorder="1"/>
    <xf numFmtId="174" fontId="140" fillId="3" borderId="39" xfId="0" applyNumberFormat="1" applyFont="1" applyFill="1" applyBorder="1"/>
    <xf numFmtId="177" fontId="136" fillId="0" borderId="0" xfId="0" applyNumberFormat="1" applyFont="1" applyAlignment="1">
      <alignment horizontal="right"/>
    </xf>
    <xf numFmtId="43" fontId="136" fillId="0" borderId="0" xfId="0" applyNumberFormat="1" applyFont="1"/>
    <xf numFmtId="10" fontId="128" fillId="0" borderId="0" xfId="0" applyNumberFormat="1" applyFont="1"/>
    <xf numFmtId="0" fontId="162" fillId="0" borderId="0" xfId="0" applyFont="1"/>
    <xf numFmtId="10" fontId="162" fillId="0" borderId="0" xfId="0" applyNumberFormat="1" applyFont="1"/>
    <xf numFmtId="37" fontId="130" fillId="3" borderId="12" xfId="0" applyNumberFormat="1" applyFont="1" applyFill="1" applyBorder="1"/>
    <xf numFmtId="9" fontId="137" fillId="0" borderId="0" xfId="0" applyNumberFormat="1" applyFont="1"/>
    <xf numFmtId="179" fontId="137" fillId="0" borderId="0" xfId="0" applyNumberFormat="1" applyFont="1"/>
    <xf numFmtId="0" fontId="137" fillId="21" borderId="1" xfId="0" applyFont="1" applyFill="1" applyBorder="1"/>
    <xf numFmtId="39" fontId="137" fillId="0" borderId="14" xfId="0" applyNumberFormat="1" applyFont="1" applyBorder="1"/>
    <xf numFmtId="2" fontId="137" fillId="0" borderId="0" xfId="0" applyNumberFormat="1" applyFont="1"/>
    <xf numFmtId="175" fontId="137" fillId="0" borderId="0" xfId="0" applyNumberFormat="1" applyFont="1"/>
    <xf numFmtId="39" fontId="130" fillId="6" borderId="23" xfId="0" applyNumberFormat="1" applyFont="1" applyFill="1" applyBorder="1"/>
    <xf numFmtId="171" fontId="137" fillId="0" borderId="9" xfId="0" applyNumberFormat="1" applyFont="1" applyBorder="1"/>
    <xf numFmtId="39" fontId="130" fillId="0" borderId="0" xfId="0" applyNumberFormat="1" applyFont="1"/>
    <xf numFmtId="174" fontId="136" fillId="0" borderId="0" xfId="0" applyNumberFormat="1" applyFont="1"/>
    <xf numFmtId="3" fontId="136" fillId="0" borderId="0" xfId="0" applyNumberFormat="1" applyFont="1"/>
    <xf numFmtId="4" fontId="136" fillId="0" borderId="0" xfId="0" applyNumberFormat="1" applyFont="1"/>
    <xf numFmtId="9" fontId="136" fillId="0" borderId="0" xfId="0" applyNumberFormat="1" applyFont="1"/>
    <xf numFmtId="2" fontId="128" fillId="0" borderId="0" xfId="0" applyNumberFormat="1" applyFont="1"/>
    <xf numFmtId="0" fontId="140" fillId="10" borderId="52" xfId="0" applyFont="1" applyFill="1" applyBorder="1" applyAlignment="1">
      <alignment horizontal="center"/>
    </xf>
    <xf numFmtId="0" fontId="140" fillId="10" borderId="128" xfId="0" applyFont="1" applyFill="1" applyBorder="1" applyAlignment="1">
      <alignment horizontal="center"/>
    </xf>
    <xf numFmtId="3" fontId="128" fillId="0" borderId="0" xfId="0" applyNumberFormat="1" applyFont="1"/>
    <xf numFmtId="37" fontId="138" fillId="0" borderId="95" xfId="0" applyNumberFormat="1" applyFont="1" applyBorder="1"/>
    <xf numFmtId="37" fontId="140" fillId="3" borderId="129" xfId="0" applyNumberFormat="1" applyFont="1" applyFill="1" applyBorder="1"/>
    <xf numFmtId="37" fontId="138" fillId="0" borderId="130" xfId="0" applyNumberFormat="1" applyFont="1" applyBorder="1"/>
    <xf numFmtId="37" fontId="138" fillId="0" borderId="131" xfId="0" applyNumberFormat="1" applyFont="1" applyBorder="1"/>
    <xf numFmtId="37" fontId="140" fillId="3" borderId="132" xfId="0" applyNumberFormat="1" applyFont="1" applyFill="1" applyBorder="1"/>
    <xf numFmtId="37" fontId="140" fillId="3" borderId="133" xfId="0" applyNumberFormat="1" applyFont="1" applyFill="1" applyBorder="1"/>
    <xf numFmtId="4" fontId="128" fillId="0" borderId="0" xfId="0" applyNumberFormat="1" applyFont="1"/>
    <xf numFmtId="174" fontId="128" fillId="0" borderId="0" xfId="0" applyNumberFormat="1" applyFont="1"/>
    <xf numFmtId="37" fontId="138" fillId="0" borderId="134" xfId="0" applyNumberFormat="1" applyFont="1" applyBorder="1"/>
    <xf numFmtId="171" fontId="136" fillId="0" borderId="0" xfId="0" applyNumberFormat="1" applyFont="1"/>
    <xf numFmtId="0" fontId="138" fillId="0" borderId="130" xfId="0" applyFont="1" applyBorder="1"/>
    <xf numFmtId="0" fontId="138" fillId="0" borderId="55" xfId="0" applyFont="1" applyBorder="1"/>
    <xf numFmtId="37" fontId="138" fillId="6" borderId="135" xfId="0" applyNumberFormat="1" applyFont="1" applyFill="1" applyBorder="1"/>
    <xf numFmtId="39" fontId="138" fillId="0" borderId="56" xfId="0" applyNumberFormat="1" applyFont="1" applyBorder="1"/>
    <xf numFmtId="39" fontId="138" fillId="0" borderId="55" xfId="0" applyNumberFormat="1" applyFont="1" applyBorder="1"/>
    <xf numFmtId="0" fontId="131" fillId="0" borderId="56" xfId="0" applyFont="1" applyBorder="1"/>
    <xf numFmtId="0" fontId="131" fillId="0" borderId="55" xfId="0" applyFont="1" applyBorder="1"/>
    <xf numFmtId="37" fontId="140" fillId="3" borderId="136" xfId="0" applyNumberFormat="1" applyFont="1" applyFill="1" applyBorder="1"/>
    <xf numFmtId="0" fontId="136" fillId="0" borderId="130" xfId="0" applyFont="1" applyBorder="1"/>
    <xf numFmtId="37" fontId="140" fillId="3" borderId="137" xfId="0" applyNumberFormat="1" applyFont="1" applyFill="1" applyBorder="1"/>
    <xf numFmtId="37" fontId="163" fillId="0" borderId="0" xfId="0" applyNumberFormat="1" applyFont="1"/>
    <xf numFmtId="172" fontId="144" fillId="6" borderId="1" xfId="0" applyNumberFormat="1" applyFont="1" applyFill="1" applyBorder="1" applyAlignment="1">
      <alignment horizontal="right"/>
    </xf>
    <xf numFmtId="0" fontId="144" fillId="6" borderId="1" xfId="0" applyFont="1" applyFill="1" applyBorder="1"/>
    <xf numFmtId="9" fontId="136" fillId="6" borderId="1" xfId="0" applyNumberFormat="1" applyFont="1" applyFill="1" applyBorder="1"/>
    <xf numFmtId="0" fontId="143" fillId="6" borderId="1" xfId="0" applyFont="1" applyFill="1" applyBorder="1" applyAlignment="1">
      <alignment horizontal="center"/>
    </xf>
    <xf numFmtId="172" fontId="136" fillId="6" borderId="1" xfId="0" applyNumberFormat="1" applyFont="1" applyFill="1" applyBorder="1" applyAlignment="1">
      <alignment horizontal="center"/>
    </xf>
    <xf numFmtId="0" fontId="164" fillId="6" borderId="1" xfId="0" applyFont="1" applyFill="1" applyBorder="1" applyAlignment="1">
      <alignment horizontal="center"/>
    </xf>
    <xf numFmtId="0" fontId="165" fillId="0" borderId="0" xfId="0" applyFont="1" applyAlignment="1">
      <alignment horizontal="center" vertical="top"/>
    </xf>
    <xf numFmtId="168" fontId="166" fillId="0" borderId="0" xfId="0" applyNumberFormat="1" applyFont="1" applyAlignment="1">
      <alignment horizontal="center" vertical="top"/>
    </xf>
    <xf numFmtId="0" fontId="167" fillId="24" borderId="138" xfId="0" applyFont="1" applyFill="1" applyBorder="1" applyAlignment="1">
      <alignment horizontal="center" vertical="center" wrapText="1"/>
    </xf>
    <xf numFmtId="49" fontId="127" fillId="4" borderId="1" xfId="0" applyNumberFormat="1" applyFont="1" applyFill="1" applyBorder="1" applyAlignment="1">
      <alignment horizontal="left" vertical="center"/>
    </xf>
    <xf numFmtId="0" fontId="127" fillId="4" borderId="1" xfId="0" applyFont="1" applyFill="1" applyBorder="1"/>
    <xf numFmtId="180" fontId="127" fillId="4" borderId="1" xfId="0" applyNumberFormat="1" applyFont="1" applyFill="1" applyBorder="1" applyAlignment="1">
      <alignment horizontal="right" vertical="center"/>
    </xf>
    <xf numFmtId="1" fontId="127" fillId="0" borderId="0" xfId="0" applyNumberFormat="1" applyFont="1" applyAlignment="1">
      <alignment horizontal="left" vertical="top"/>
    </xf>
    <xf numFmtId="49" fontId="127" fillId="0" borderId="0" xfId="0" applyNumberFormat="1" applyFont="1" applyAlignment="1">
      <alignment horizontal="left" vertical="top"/>
    </xf>
    <xf numFmtId="4" fontId="127" fillId="0" borderId="0" xfId="0" applyNumberFormat="1" applyFont="1" applyAlignment="1">
      <alignment horizontal="center" vertical="top"/>
    </xf>
    <xf numFmtId="0" fontId="127" fillId="8" borderId="1" xfId="0" applyFont="1" applyFill="1" applyBorder="1" applyAlignment="1">
      <alignment horizontal="center"/>
    </xf>
    <xf numFmtId="177" fontId="128" fillId="0" borderId="0" xfId="0" applyNumberFormat="1" applyFont="1" applyAlignment="1">
      <alignment horizontal="center"/>
    </xf>
    <xf numFmtId="181" fontId="128" fillId="0" borderId="0" xfId="0" applyNumberFormat="1" applyFont="1" applyAlignment="1">
      <alignment horizontal="center"/>
    </xf>
    <xf numFmtId="168" fontId="127" fillId="0" borderId="0" xfId="0" applyNumberFormat="1" applyFont="1" applyAlignment="1">
      <alignment horizontal="center" vertical="top"/>
    </xf>
    <xf numFmtId="166" fontId="127" fillId="4" borderId="1" xfId="0" applyNumberFormat="1" applyFont="1" applyFill="1" applyBorder="1"/>
    <xf numFmtId="4" fontId="127" fillId="25" borderId="1" xfId="0" applyNumberFormat="1" applyFont="1" applyFill="1" applyBorder="1" applyAlignment="1">
      <alignment horizontal="center" vertical="top"/>
    </xf>
    <xf numFmtId="4" fontId="127" fillId="10" borderId="1" xfId="0" applyNumberFormat="1" applyFont="1" applyFill="1" applyBorder="1" applyAlignment="1">
      <alignment horizontal="center" vertical="top"/>
    </xf>
    <xf numFmtId="0" fontId="127" fillId="4" borderId="1" xfId="0" applyFont="1" applyFill="1" applyBorder="1" applyAlignment="1">
      <alignment horizontal="left" vertical="top"/>
    </xf>
    <xf numFmtId="166" fontId="127" fillId="4" borderId="1" xfId="0" applyNumberFormat="1" applyFont="1" applyFill="1" applyBorder="1" applyAlignment="1">
      <alignment horizontal="left" vertical="top"/>
    </xf>
    <xf numFmtId="1" fontId="127" fillId="4" borderId="1" xfId="0" applyNumberFormat="1" applyFont="1" applyFill="1" applyBorder="1" applyAlignment="1">
      <alignment horizontal="center" vertical="top"/>
    </xf>
    <xf numFmtId="1" fontId="127" fillId="4" borderId="1" xfId="0" applyNumberFormat="1" applyFont="1" applyFill="1" applyBorder="1" applyAlignment="1">
      <alignment horizontal="center"/>
    </xf>
    <xf numFmtId="1" fontId="127" fillId="4" borderId="1" xfId="0" applyNumberFormat="1" applyFont="1" applyFill="1" applyBorder="1" applyAlignment="1">
      <alignment horizontal="center" vertical="center"/>
    </xf>
    <xf numFmtId="49" fontId="127" fillId="26" borderId="1" xfId="0" applyNumberFormat="1" applyFont="1" applyFill="1" applyBorder="1" applyAlignment="1">
      <alignment horizontal="left" vertical="top"/>
    </xf>
    <xf numFmtId="4" fontId="127" fillId="26" borderId="1" xfId="0" applyNumberFormat="1" applyFont="1" applyFill="1" applyBorder="1" applyAlignment="1">
      <alignment horizontal="center" vertical="top"/>
    </xf>
    <xf numFmtId="4" fontId="127" fillId="4" borderId="1" xfId="0" applyNumberFormat="1" applyFont="1" applyFill="1" applyBorder="1"/>
    <xf numFmtId="0" fontId="168" fillId="8" borderId="1" xfId="0" applyFont="1" applyFill="1" applyBorder="1" applyAlignment="1">
      <alignment horizontal="center"/>
    </xf>
    <xf numFmtId="4" fontId="127" fillId="4" borderId="1" xfId="0" applyNumberFormat="1" applyFont="1" applyFill="1" applyBorder="1" applyAlignment="1">
      <alignment horizontal="left" vertical="top"/>
    </xf>
    <xf numFmtId="168" fontId="128" fillId="0" borderId="0" xfId="0" applyNumberFormat="1" applyFont="1"/>
    <xf numFmtId="0" fontId="167" fillId="27" borderId="1" xfId="0" applyFont="1" applyFill="1" applyBorder="1" applyAlignment="1">
      <alignment horizontal="left" vertical="top"/>
    </xf>
    <xf numFmtId="0" fontId="128" fillId="27" borderId="1" xfId="0" applyFont="1" applyFill="1" applyBorder="1" applyAlignment="1">
      <alignment horizontal="center"/>
    </xf>
    <xf numFmtId="0" fontId="126" fillId="7" borderId="1" xfId="0" applyFont="1" applyFill="1" applyBorder="1"/>
    <xf numFmtId="0" fontId="169" fillId="23" borderId="139" xfId="0" applyFont="1" applyFill="1" applyBorder="1" applyAlignment="1">
      <alignment horizontal="left" vertical="top"/>
    </xf>
    <xf numFmtId="49" fontId="170" fillId="23" borderId="139" xfId="0" applyNumberFormat="1" applyFont="1" applyFill="1" applyBorder="1" applyAlignment="1">
      <alignment horizontal="left" vertical="top"/>
    </xf>
    <xf numFmtId="0" fontId="170" fillId="23" borderId="1" xfId="0" applyFont="1" applyFill="1" applyBorder="1" applyAlignment="1">
      <alignment horizontal="left" vertical="top"/>
    </xf>
    <xf numFmtId="0" fontId="127" fillId="23" borderId="1" xfId="0" applyFont="1" applyFill="1" applyBorder="1" applyAlignment="1">
      <alignment horizontal="center"/>
    </xf>
    <xf numFmtId="0" fontId="127" fillId="23" borderId="1" xfId="0" applyFont="1" applyFill="1" applyBorder="1"/>
    <xf numFmtId="49" fontId="127" fillId="23" borderId="1" xfId="0" applyNumberFormat="1" applyFont="1" applyFill="1" applyBorder="1" applyAlignment="1">
      <alignment horizontal="center"/>
    </xf>
    <xf numFmtId="0" fontId="127" fillId="7" borderId="1" xfId="0" applyFont="1" applyFill="1" applyBorder="1"/>
    <xf numFmtId="0" fontId="171" fillId="0" borderId="0" xfId="0" applyFont="1"/>
    <xf numFmtId="0" fontId="170" fillId="23" borderId="139" xfId="0" applyFont="1" applyFill="1" applyBorder="1" applyAlignment="1">
      <alignment horizontal="left" vertical="top"/>
    </xf>
    <xf numFmtId="0" fontId="128" fillId="23" borderId="1" xfId="0" applyFont="1" applyFill="1" applyBorder="1" applyAlignment="1">
      <alignment horizontal="center"/>
    </xf>
    <xf numFmtId="49" fontId="127" fillId="4" borderId="139" xfId="0" applyNumberFormat="1" applyFont="1" applyFill="1" applyBorder="1" applyAlignment="1">
      <alignment horizontal="left" vertical="center"/>
    </xf>
    <xf numFmtId="39" fontId="170" fillId="23" borderId="139" xfId="0" applyNumberFormat="1" applyFont="1" applyFill="1" applyBorder="1" applyAlignment="1">
      <alignment horizontal="left" vertical="top"/>
    </xf>
    <xf numFmtId="1" fontId="169" fillId="23" borderId="139" xfId="0" applyNumberFormat="1" applyFont="1" applyFill="1" applyBorder="1" applyAlignment="1">
      <alignment horizontal="left" vertical="top"/>
    </xf>
    <xf numFmtId="49" fontId="169" fillId="23" borderId="139" xfId="0" applyNumberFormat="1" applyFont="1" applyFill="1" applyBorder="1" applyAlignment="1">
      <alignment horizontal="left" vertical="top"/>
    </xf>
    <xf numFmtId="0" fontId="169" fillId="23" borderId="140" xfId="0" applyFont="1" applyFill="1" applyBorder="1" applyAlignment="1">
      <alignment horizontal="left" vertical="top"/>
    </xf>
    <xf numFmtId="49" fontId="170" fillId="23" borderId="140" xfId="0" applyNumberFormat="1" applyFont="1" applyFill="1" applyBorder="1" applyAlignment="1">
      <alignment horizontal="left" vertical="top"/>
    </xf>
    <xf numFmtId="0" fontId="170" fillId="23" borderId="138" xfId="0" applyFont="1" applyFill="1" applyBorder="1" applyAlignment="1">
      <alignment horizontal="left" vertical="top"/>
    </xf>
    <xf numFmtId="0" fontId="170" fillId="23" borderId="141" xfId="0" applyFont="1" applyFill="1" applyBorder="1" applyAlignment="1">
      <alignment horizontal="left" vertical="top"/>
    </xf>
    <xf numFmtId="0" fontId="170" fillId="23" borderId="140" xfId="0" applyFont="1" applyFill="1" applyBorder="1" applyAlignment="1">
      <alignment horizontal="left" vertical="top"/>
    </xf>
    <xf numFmtId="49" fontId="170" fillId="26" borderId="139" xfId="0" applyNumberFormat="1" applyFont="1" applyFill="1" applyBorder="1" applyAlignment="1">
      <alignment horizontal="left" vertical="top"/>
    </xf>
    <xf numFmtId="49" fontId="170" fillId="23" borderId="1" xfId="0" applyNumberFormat="1" applyFont="1" applyFill="1" applyBorder="1" applyAlignment="1">
      <alignment horizontal="left" vertical="top"/>
    </xf>
    <xf numFmtId="49" fontId="169" fillId="23" borderId="1" xfId="0" applyNumberFormat="1" applyFont="1" applyFill="1" applyBorder="1" applyAlignment="1">
      <alignment horizontal="left" vertical="top"/>
    </xf>
    <xf numFmtId="49" fontId="127" fillId="10" borderId="1" xfId="0" applyNumberFormat="1" applyFont="1" applyFill="1" applyBorder="1" applyAlignment="1">
      <alignment horizontal="left" vertical="top"/>
    </xf>
    <xf numFmtId="39" fontId="170" fillId="23" borderId="142" xfId="0" applyNumberFormat="1" applyFont="1" applyFill="1" applyBorder="1" applyAlignment="1">
      <alignment horizontal="left" vertical="top"/>
    </xf>
    <xf numFmtId="39" fontId="170" fillId="23" borderId="140" xfId="0" applyNumberFormat="1" applyFont="1" applyFill="1" applyBorder="1" applyAlignment="1">
      <alignment horizontal="left" vertical="top"/>
    </xf>
    <xf numFmtId="0" fontId="169" fillId="23" borderId="1" xfId="0" applyFont="1" applyFill="1" applyBorder="1" applyAlignment="1">
      <alignment horizontal="left" vertical="top"/>
    </xf>
    <xf numFmtId="39" fontId="170" fillId="23" borderId="1" xfId="0" applyNumberFormat="1" applyFont="1" applyFill="1" applyBorder="1" applyAlignment="1">
      <alignment horizontal="left" vertical="top"/>
    </xf>
    <xf numFmtId="0" fontId="174" fillId="23" borderId="139" xfId="0" applyFont="1" applyFill="1" applyBorder="1" applyAlignment="1">
      <alignment horizontal="left" vertical="top"/>
    </xf>
    <xf numFmtId="0" fontId="170" fillId="23" borderId="142" xfId="0" applyFont="1" applyFill="1" applyBorder="1" applyAlignment="1">
      <alignment horizontal="left" vertical="top"/>
    </xf>
    <xf numFmtId="0" fontId="175" fillId="28" borderId="139" xfId="0" applyFont="1" applyFill="1" applyBorder="1" applyAlignment="1">
      <alignment horizontal="left" vertical="top"/>
    </xf>
    <xf numFmtId="0" fontId="170" fillId="28" borderId="139" xfId="0" applyFont="1" applyFill="1" applyBorder="1" applyAlignment="1">
      <alignment horizontal="left" vertical="top"/>
    </xf>
    <xf numFmtId="0" fontId="169" fillId="4" borderId="139" xfId="0" applyFont="1" applyFill="1" applyBorder="1" applyAlignment="1">
      <alignment horizontal="left" vertical="top"/>
    </xf>
    <xf numFmtId="0" fontId="170" fillId="4" borderId="139" xfId="0" applyFont="1" applyFill="1" applyBorder="1" applyAlignment="1">
      <alignment horizontal="left" vertical="top"/>
    </xf>
    <xf numFmtId="0" fontId="170" fillId="4" borderId="1" xfId="0" applyFont="1" applyFill="1" applyBorder="1" applyAlignment="1">
      <alignment horizontal="left" vertical="top"/>
    </xf>
    <xf numFmtId="168" fontId="127" fillId="4" borderId="1" xfId="0" applyNumberFormat="1" applyFont="1" applyFill="1" applyBorder="1" applyAlignment="1">
      <alignment horizontal="center" vertical="top"/>
    </xf>
    <xf numFmtId="168" fontId="127" fillId="26" borderId="1" xfId="0" applyNumberFormat="1" applyFont="1" applyFill="1" applyBorder="1" applyAlignment="1">
      <alignment horizontal="center" vertical="top"/>
    </xf>
    <xf numFmtId="4" fontId="127" fillId="4" borderId="1" xfId="0" applyNumberFormat="1" applyFont="1" applyFill="1" applyBorder="1" applyAlignment="1">
      <alignment horizontal="center" vertical="top"/>
    </xf>
    <xf numFmtId="49" fontId="127" fillId="0" borderId="0" xfId="0" applyNumberFormat="1" applyFont="1" applyAlignment="1">
      <alignment horizontal="left" vertical="center"/>
    </xf>
    <xf numFmtId="180" fontId="127" fillId="0" borderId="0" xfId="0" applyNumberFormat="1" applyFont="1" applyAlignment="1">
      <alignment horizontal="right" vertical="center"/>
    </xf>
    <xf numFmtId="0" fontId="127" fillId="0" borderId="0" xfId="0" applyFont="1" applyAlignment="1">
      <alignment horizontal="left" vertical="top"/>
    </xf>
    <xf numFmtId="182" fontId="127" fillId="0" borderId="0" xfId="0" applyNumberFormat="1" applyFont="1" applyAlignment="1">
      <alignment horizontal="right" vertical="top"/>
    </xf>
    <xf numFmtId="1" fontId="169" fillId="23" borderId="143" xfId="0" applyNumberFormat="1" applyFont="1" applyFill="1" applyBorder="1" applyAlignment="1">
      <alignment horizontal="left" vertical="top"/>
    </xf>
    <xf numFmtId="49" fontId="170" fillId="23" borderId="143" xfId="0" applyNumberFormat="1" applyFont="1" applyFill="1" applyBorder="1" applyAlignment="1">
      <alignment horizontal="left" vertical="top"/>
    </xf>
    <xf numFmtId="49" fontId="169" fillId="23" borderId="143" xfId="0" applyNumberFormat="1" applyFont="1" applyFill="1" applyBorder="1" applyAlignment="1">
      <alignment horizontal="left" vertical="top"/>
    </xf>
    <xf numFmtId="1" fontId="169" fillId="4" borderId="139" xfId="0" applyNumberFormat="1" applyFont="1" applyFill="1" applyBorder="1" applyAlignment="1">
      <alignment horizontal="left" vertical="top"/>
    </xf>
    <xf numFmtId="0" fontId="170" fillId="23" borderId="143" xfId="0" applyFont="1" applyFill="1" applyBorder="1" applyAlignment="1">
      <alignment horizontal="left" vertical="top"/>
    </xf>
    <xf numFmtId="0" fontId="170" fillId="23" borderId="144" xfId="0" applyFont="1" applyFill="1" applyBorder="1" applyAlignment="1">
      <alignment horizontal="left" vertical="top"/>
    </xf>
    <xf numFmtId="0" fontId="170" fillId="23" borderId="145" xfId="0" applyFont="1" applyFill="1" applyBorder="1" applyAlignment="1">
      <alignment horizontal="left" vertical="top"/>
    </xf>
    <xf numFmtId="0" fontId="169" fillId="23" borderId="146" xfId="0" applyFont="1" applyFill="1" applyBorder="1" applyAlignment="1">
      <alignment horizontal="left" vertical="top"/>
    </xf>
    <xf numFmtId="39" fontId="170" fillId="23" borderId="145" xfId="0" applyNumberFormat="1" applyFont="1" applyFill="1" applyBorder="1" applyAlignment="1">
      <alignment horizontal="left" vertical="top"/>
    </xf>
    <xf numFmtId="39" fontId="170" fillId="23" borderId="143" xfId="0" applyNumberFormat="1" applyFont="1" applyFill="1" applyBorder="1" applyAlignment="1">
      <alignment horizontal="left" vertical="top"/>
    </xf>
    <xf numFmtId="0" fontId="169" fillId="23" borderId="143" xfId="0" applyFont="1" applyFill="1" applyBorder="1" applyAlignment="1">
      <alignment horizontal="left" vertical="top"/>
    </xf>
    <xf numFmtId="0" fontId="176" fillId="29" borderId="147" xfId="0" applyFont="1" applyFill="1" applyBorder="1"/>
    <xf numFmtId="0" fontId="176" fillId="29" borderId="148" xfId="0" applyFont="1" applyFill="1" applyBorder="1"/>
    <xf numFmtId="0" fontId="176" fillId="29" borderId="149" xfId="0" applyFont="1" applyFill="1" applyBorder="1"/>
    <xf numFmtId="3" fontId="177" fillId="29" borderId="150" xfId="0" applyNumberFormat="1" applyFont="1" applyFill="1" applyBorder="1" applyAlignment="1">
      <alignment horizontal="center"/>
    </xf>
    <xf numFmtId="3" fontId="177" fillId="29" borderId="0" xfId="0" applyNumberFormat="1" applyFont="1" applyFill="1" applyAlignment="1">
      <alignment horizontal="center"/>
    </xf>
    <xf numFmtId="3" fontId="177" fillId="29" borderId="151" xfId="0" applyNumberFormat="1" applyFont="1" applyFill="1" applyBorder="1" applyAlignment="1">
      <alignment horizontal="center"/>
    </xf>
    <xf numFmtId="3" fontId="177" fillId="29" borderId="152" xfId="0" applyNumberFormat="1" applyFont="1" applyFill="1" applyBorder="1" applyAlignment="1">
      <alignment horizontal="center"/>
    </xf>
    <xf numFmtId="3" fontId="177" fillId="29" borderId="153" xfId="0" applyNumberFormat="1" applyFont="1" applyFill="1" applyBorder="1" applyAlignment="1">
      <alignment horizontal="center"/>
    </xf>
    <xf numFmtId="3" fontId="177" fillId="29" borderId="154" xfId="0" applyNumberFormat="1" applyFont="1" applyFill="1" applyBorder="1" applyAlignment="1">
      <alignment horizontal="right"/>
    </xf>
    <xf numFmtId="3" fontId="177" fillId="29" borderId="154" xfId="0" applyNumberFormat="1" applyFont="1" applyFill="1" applyBorder="1" applyAlignment="1" applyProtection="1">
      <alignment horizontal="right"/>
      <protection locked="0"/>
    </xf>
    <xf numFmtId="3" fontId="177" fillId="29" borderId="150" xfId="0" applyNumberFormat="1" applyFont="1" applyFill="1" applyBorder="1"/>
    <xf numFmtId="3" fontId="177" fillId="29" borderId="0" xfId="0" applyNumberFormat="1" applyFont="1" applyFill="1"/>
    <xf numFmtId="3" fontId="177" fillId="29" borderId="151" xfId="0" applyNumberFormat="1" applyFont="1" applyFill="1" applyBorder="1"/>
    <xf numFmtId="3" fontId="177" fillId="29" borderId="150" xfId="0" applyNumberFormat="1" applyFont="1" applyFill="1" applyBorder="1" applyProtection="1">
      <protection locked="0"/>
    </xf>
    <xf numFmtId="3" fontId="177" fillId="29" borderId="151" xfId="0" applyNumberFormat="1" applyFont="1" applyFill="1" applyBorder="1" applyProtection="1">
      <protection locked="0"/>
    </xf>
    <xf numFmtId="0" fontId="177" fillId="29" borderId="150" xfId="0" applyFont="1" applyFill="1" applyBorder="1"/>
    <xf numFmtId="0" fontId="177" fillId="29" borderId="151" xfId="0" applyFont="1" applyFill="1" applyBorder="1"/>
    <xf numFmtId="3" fontId="177" fillId="29" borderId="155" xfId="0" applyNumberFormat="1" applyFont="1" applyFill="1" applyBorder="1"/>
    <xf numFmtId="3" fontId="177" fillId="29" borderId="156" xfId="0" applyNumberFormat="1" applyFont="1" applyFill="1" applyBorder="1"/>
    <xf numFmtId="3" fontId="177" fillId="29" borderId="157" xfId="0" applyNumberFormat="1" applyFont="1" applyFill="1" applyBorder="1"/>
    <xf numFmtId="3" fontId="177" fillId="29" borderId="155" xfId="0" applyNumberFormat="1" applyFont="1" applyFill="1" applyBorder="1" applyProtection="1">
      <protection locked="0"/>
    </xf>
    <xf numFmtId="3" fontId="177" fillId="29" borderId="157" xfId="0" applyNumberFormat="1" applyFont="1" applyFill="1" applyBorder="1" applyProtection="1">
      <protection locked="0"/>
    </xf>
    <xf numFmtId="0" fontId="177" fillId="29" borderId="0" xfId="0" applyFont="1" applyFill="1"/>
    <xf numFmtId="37" fontId="177" fillId="29" borderId="151" xfId="0" applyNumberFormat="1" applyFont="1" applyFill="1" applyBorder="1"/>
    <xf numFmtId="37" fontId="176" fillId="30" borderId="158" xfId="0" applyNumberFormat="1" applyFont="1" applyFill="1" applyBorder="1"/>
    <xf numFmtId="173" fontId="176" fillId="30" borderId="159" xfId="0" applyNumberFormat="1" applyFont="1" applyFill="1" applyBorder="1"/>
    <xf numFmtId="37" fontId="176" fillId="30" borderId="160" xfId="0" applyNumberFormat="1" applyFont="1" applyFill="1" applyBorder="1"/>
    <xf numFmtId="0" fontId="176" fillId="30" borderId="161" xfId="0" applyFont="1" applyFill="1" applyBorder="1"/>
    <xf numFmtId="0" fontId="176" fillId="30" borderId="162" xfId="0" applyFont="1" applyFill="1" applyBorder="1"/>
    <xf numFmtId="0" fontId="176" fillId="30" borderId="163" xfId="0" applyFont="1" applyFill="1" applyBorder="1"/>
    <xf numFmtId="0" fontId="176" fillId="31" borderId="150" xfId="0" applyFont="1" applyFill="1" applyBorder="1"/>
    <xf numFmtId="0" fontId="176" fillId="31" borderId="0" xfId="0" applyFont="1" applyFill="1"/>
    <xf numFmtId="0" fontId="176" fillId="31" borderId="151" xfId="0" applyFont="1" applyFill="1" applyBorder="1"/>
    <xf numFmtId="0" fontId="177" fillId="29" borderId="0" xfId="0" applyFont="1" applyFill="1" applyAlignment="1">
      <alignment horizontal="center"/>
    </xf>
    <xf numFmtId="9" fontId="177" fillId="29" borderId="150" xfId="2" applyFont="1" applyFill="1" applyBorder="1"/>
    <xf numFmtId="37" fontId="177" fillId="29" borderId="0" xfId="0" applyNumberFormat="1" applyFont="1" applyFill="1"/>
    <xf numFmtId="37" fontId="177" fillId="29" borderId="151" xfId="0" applyNumberFormat="1" applyFont="1" applyFill="1" applyBorder="1" applyProtection="1">
      <protection locked="0"/>
    </xf>
    <xf numFmtId="9" fontId="177" fillId="29" borderId="152" xfId="2" applyFont="1" applyFill="1" applyBorder="1"/>
    <xf numFmtId="37" fontId="177" fillId="29" borderId="153" xfId="0" applyNumberFormat="1" applyFont="1" applyFill="1" applyBorder="1"/>
    <xf numFmtId="37" fontId="177" fillId="29" borderId="154" xfId="0" applyNumberFormat="1" applyFont="1" applyFill="1" applyBorder="1"/>
    <xf numFmtId="37" fontId="177" fillId="29" borderId="154" xfId="0" applyNumberFormat="1" applyFont="1" applyFill="1" applyBorder="1" applyProtection="1">
      <protection locked="0"/>
    </xf>
    <xf numFmtId="0" fontId="177" fillId="29" borderId="152" xfId="0" applyFont="1" applyFill="1" applyBorder="1"/>
    <xf numFmtId="0" fontId="177" fillId="29" borderId="153" xfId="0" applyFont="1" applyFill="1" applyBorder="1"/>
    <xf numFmtId="0" fontId="177" fillId="29" borderId="155" xfId="0" applyFont="1" applyFill="1" applyBorder="1"/>
    <xf numFmtId="0" fontId="177" fillId="29" borderId="156" xfId="0" applyFont="1" applyFill="1" applyBorder="1"/>
    <xf numFmtId="37" fontId="177" fillId="29" borderId="157" xfId="0" applyNumberFormat="1" applyFont="1" applyFill="1" applyBorder="1"/>
    <xf numFmtId="37" fontId="177" fillId="29" borderId="157" xfId="0" applyNumberFormat="1" applyFont="1" applyFill="1" applyBorder="1" applyProtection="1">
      <protection locked="0"/>
    </xf>
    <xf numFmtId="0" fontId="176" fillId="30" borderId="164" xfId="0" applyFont="1" applyFill="1" applyBorder="1" applyAlignment="1">
      <alignment horizontal="center"/>
    </xf>
    <xf numFmtId="37" fontId="176" fillId="30" borderId="165" xfId="0" applyNumberFormat="1" applyFont="1" applyFill="1" applyBorder="1"/>
    <xf numFmtId="0" fontId="177" fillId="31" borderId="152" xfId="0" applyFont="1" applyFill="1" applyBorder="1"/>
    <xf numFmtId="0" fontId="177" fillId="31" borderId="153" xfId="0" applyFont="1" applyFill="1" applyBorder="1"/>
    <xf numFmtId="37" fontId="176" fillId="31" borderId="151" xfId="0" applyNumberFormat="1" applyFont="1" applyFill="1" applyBorder="1"/>
    <xf numFmtId="0" fontId="178" fillId="29" borderId="0" xfId="0" applyFont="1" applyFill="1"/>
    <xf numFmtId="37" fontId="178" fillId="29" borderId="0" xfId="0" applyNumberFormat="1" applyFont="1" applyFill="1"/>
    <xf numFmtId="0" fontId="179" fillId="29" borderId="0" xfId="0" applyFont="1" applyFill="1"/>
    <xf numFmtId="0" fontId="180" fillId="29" borderId="0" xfId="0" applyFont="1" applyFill="1"/>
    <xf numFmtId="0" fontId="177" fillId="29" borderId="150" xfId="0" applyFont="1" applyFill="1" applyBorder="1" applyAlignment="1">
      <alignment horizontal="center"/>
    </xf>
    <xf numFmtId="0" fontId="177" fillId="29" borderId="151" xfId="0" applyFont="1" applyFill="1" applyBorder="1" applyAlignment="1">
      <alignment horizontal="center"/>
    </xf>
    <xf numFmtId="3" fontId="177" fillId="29" borderId="154" xfId="0" applyNumberFormat="1" applyFont="1" applyFill="1" applyBorder="1" applyAlignment="1" applyProtection="1">
      <alignment horizontal="center"/>
      <protection locked="0"/>
    </xf>
    <xf numFmtId="3" fontId="177" fillId="29" borderId="152" xfId="0" applyNumberFormat="1" applyFont="1" applyFill="1" applyBorder="1"/>
    <xf numFmtId="3" fontId="177" fillId="29" borderId="153" xfId="0" applyNumberFormat="1" applyFont="1" applyFill="1" applyBorder="1"/>
    <xf numFmtId="3" fontId="177" fillId="29" borderId="154" xfId="0" applyNumberFormat="1" applyFont="1" applyFill="1" applyBorder="1"/>
    <xf numFmtId="0" fontId="176" fillId="29" borderId="150" xfId="0" applyFont="1" applyFill="1" applyBorder="1"/>
    <xf numFmtId="0" fontId="176" fillId="29" borderId="0" xfId="0" applyFont="1" applyFill="1"/>
    <xf numFmtId="0" fontId="176" fillId="29" borderId="151" xfId="0" applyFont="1" applyFill="1" applyBorder="1"/>
    <xf numFmtId="0" fontId="177" fillId="29" borderId="150" xfId="0" applyFont="1" applyFill="1" applyBorder="1" applyAlignment="1">
      <alignment horizontal="right"/>
    </xf>
    <xf numFmtId="174" fontId="177" fillId="29" borderId="0" xfId="0" applyNumberFormat="1" applyFont="1" applyFill="1"/>
    <xf numFmtId="37" fontId="179" fillId="29" borderId="0" xfId="0" applyNumberFormat="1" applyFont="1" applyFill="1"/>
    <xf numFmtId="37" fontId="177" fillId="29" borderId="150" xfId="0" applyNumberFormat="1" applyFont="1" applyFill="1" applyBorder="1"/>
    <xf numFmtId="37" fontId="177" fillId="29" borderId="150" xfId="0" applyNumberFormat="1" applyFont="1" applyFill="1" applyBorder="1" applyProtection="1">
      <protection locked="0"/>
    </xf>
    <xf numFmtId="37" fontId="177" fillId="29" borderId="0" xfId="0" applyNumberFormat="1" applyFont="1" applyFill="1" applyProtection="1">
      <protection locked="0"/>
    </xf>
    <xf numFmtId="174" fontId="177" fillId="29" borderId="151" xfId="0" applyNumberFormat="1" applyFont="1" applyFill="1" applyBorder="1"/>
    <xf numFmtId="37" fontId="177" fillId="29" borderId="152" xfId="0" applyNumberFormat="1" applyFont="1" applyFill="1" applyBorder="1"/>
    <xf numFmtId="2" fontId="177" fillId="29" borderId="153" xfId="0" applyNumberFormat="1" applyFont="1" applyFill="1" applyBorder="1"/>
    <xf numFmtId="174" fontId="177" fillId="29" borderId="154" xfId="0" applyNumberFormat="1" applyFont="1" applyFill="1" applyBorder="1"/>
    <xf numFmtId="173" fontId="177" fillId="29" borderId="0" xfId="0" applyNumberFormat="1" applyFont="1" applyFill="1"/>
    <xf numFmtId="175" fontId="177" fillId="29" borderId="0" xfId="0" applyNumberFormat="1" applyFont="1" applyFill="1"/>
    <xf numFmtId="37" fontId="176" fillId="29" borderId="150" xfId="0" applyNumberFormat="1" applyFont="1" applyFill="1" applyBorder="1"/>
    <xf numFmtId="173" fontId="176" fillId="29" borderId="0" xfId="0" applyNumberFormat="1" applyFont="1" applyFill="1"/>
    <xf numFmtId="37" fontId="176" fillId="29" borderId="152" xfId="0" applyNumberFormat="1" applyFont="1" applyFill="1" applyBorder="1"/>
    <xf numFmtId="175" fontId="177" fillId="29" borderId="153" xfId="0" applyNumberFormat="1" applyFont="1" applyFill="1" applyBorder="1"/>
    <xf numFmtId="37" fontId="176" fillId="31" borderId="158" xfId="0" applyNumberFormat="1" applyFont="1" applyFill="1" applyBorder="1"/>
    <xf numFmtId="37" fontId="176" fillId="31" borderId="159" xfId="0" applyNumberFormat="1" applyFont="1" applyFill="1" applyBorder="1"/>
    <xf numFmtId="37" fontId="176" fillId="31" borderId="160" xfId="0" applyNumberFormat="1" applyFont="1" applyFill="1" applyBorder="1"/>
    <xf numFmtId="37" fontId="176" fillId="31" borderId="152" xfId="0" applyNumberFormat="1" applyFont="1" applyFill="1" applyBorder="1"/>
    <xf numFmtId="39" fontId="176" fillId="31" borderId="153" xfId="0" applyNumberFormat="1" applyFont="1" applyFill="1" applyBorder="1"/>
    <xf numFmtId="174" fontId="176" fillId="29" borderId="151" xfId="0" applyNumberFormat="1" applyFont="1" applyFill="1" applyBorder="1"/>
    <xf numFmtId="173" fontId="177" fillId="29" borderId="0" xfId="0" applyNumberFormat="1" applyFont="1" applyFill="1" applyProtection="1">
      <protection locked="0"/>
    </xf>
    <xf numFmtId="173" fontId="177" fillId="29" borderId="153" xfId="0" applyNumberFormat="1" applyFont="1" applyFill="1" applyBorder="1"/>
    <xf numFmtId="37" fontId="176" fillId="30" borderId="159" xfId="0" applyNumberFormat="1" applyFont="1" applyFill="1" applyBorder="1"/>
    <xf numFmtId="174" fontId="176" fillId="30" borderId="163" xfId="0" applyNumberFormat="1" applyFont="1" applyFill="1" applyBorder="1"/>
    <xf numFmtId="174" fontId="176" fillId="31" borderId="151" xfId="0" applyNumberFormat="1" applyFont="1" applyFill="1" applyBorder="1"/>
    <xf numFmtId="0" fontId="177" fillId="29" borderId="154" xfId="0" applyFont="1" applyFill="1" applyBorder="1"/>
    <xf numFmtId="174" fontId="177" fillId="29" borderId="0" xfId="2" applyNumberFormat="1" applyFont="1" applyFill="1"/>
    <xf numFmtId="174" fontId="177" fillId="29" borderId="156" xfId="0" applyNumberFormat="1" applyFont="1" applyFill="1" applyBorder="1"/>
    <xf numFmtId="37" fontId="177" fillId="29" borderId="155" xfId="0" applyNumberFormat="1" applyFont="1" applyFill="1" applyBorder="1" applyProtection="1">
      <protection locked="0"/>
    </xf>
    <xf numFmtId="174" fontId="176" fillId="30" borderId="159" xfId="0" applyNumberFormat="1" applyFont="1" applyFill="1" applyBorder="1"/>
    <xf numFmtId="37" fontId="176" fillId="31" borderId="150" xfId="0" applyNumberFormat="1" applyFont="1" applyFill="1" applyBorder="1"/>
    <xf numFmtId="173" fontId="176" fillId="31" borderId="0" xfId="0" applyNumberFormat="1" applyFont="1" applyFill="1"/>
    <xf numFmtId="37" fontId="176" fillId="29" borderId="0" xfId="0" applyNumberFormat="1" applyFont="1" applyFill="1"/>
    <xf numFmtId="0" fontId="177" fillId="30" borderId="166" xfId="0" applyFont="1" applyFill="1" applyBorder="1"/>
    <xf numFmtId="0" fontId="177" fillId="30" borderId="167" xfId="0" applyFont="1" applyFill="1" applyBorder="1"/>
    <xf numFmtId="37" fontId="176" fillId="30" borderId="168" xfId="0" applyNumberFormat="1" applyFont="1" applyFill="1" applyBorder="1"/>
    <xf numFmtId="0" fontId="179" fillId="29" borderId="0" xfId="0" applyFont="1" applyFill="1" applyAlignment="1">
      <alignment horizontal="center"/>
    </xf>
    <xf numFmtId="0" fontId="179" fillId="29" borderId="162" xfId="0" applyFont="1" applyFill="1" applyBorder="1" applyAlignment="1">
      <alignment horizontal="center"/>
    </xf>
    <xf numFmtId="37" fontId="179" fillId="29" borderId="162" xfId="0" applyNumberFormat="1" applyFont="1" applyFill="1" applyBorder="1" applyAlignment="1">
      <alignment horizontal="center"/>
    </xf>
    <xf numFmtId="0" fontId="177" fillId="29" borderId="169" xfId="0" applyFont="1" applyFill="1" applyBorder="1" applyAlignment="1">
      <alignment horizontal="center"/>
    </xf>
    <xf numFmtId="0" fontId="177" fillId="29" borderId="153" xfId="0" applyFont="1" applyFill="1" applyBorder="1" applyAlignment="1">
      <alignment horizontal="center"/>
    </xf>
    <xf numFmtId="0" fontId="177" fillId="29" borderId="170" xfId="0" applyFont="1" applyFill="1" applyBorder="1" applyAlignment="1">
      <alignment horizontal="center"/>
    </xf>
    <xf numFmtId="37" fontId="181" fillId="29" borderId="169" xfId="0" applyNumberFormat="1" applyFont="1" applyFill="1" applyBorder="1"/>
    <xf numFmtId="37" fontId="181" fillId="29" borderId="153" xfId="0" applyNumberFormat="1" applyFont="1" applyFill="1" applyBorder="1"/>
    <xf numFmtId="37" fontId="181" fillId="29" borderId="170" xfId="0" applyNumberFormat="1" applyFont="1" applyFill="1" applyBorder="1"/>
    <xf numFmtId="37" fontId="182" fillId="30" borderId="169" xfId="0" applyNumberFormat="1" applyFont="1" applyFill="1" applyBorder="1"/>
    <xf numFmtId="37" fontId="182" fillId="30" borderId="153" xfId="0" applyNumberFormat="1" applyFont="1" applyFill="1" applyBorder="1"/>
    <xf numFmtId="37" fontId="182" fillId="30" borderId="170" xfId="0" applyNumberFormat="1" applyFont="1" applyFill="1" applyBorder="1"/>
    <xf numFmtId="37" fontId="181" fillId="29" borderId="171" xfId="0" applyNumberFormat="1" applyFont="1" applyFill="1" applyBorder="1"/>
    <xf numFmtId="0" fontId="181" fillId="29" borderId="0" xfId="0" applyFont="1" applyFill="1"/>
    <xf numFmtId="37" fontId="181" fillId="29" borderId="172" xfId="0" applyNumberFormat="1" applyFont="1" applyFill="1" applyBorder="1"/>
    <xf numFmtId="174" fontId="181" fillId="29" borderId="171" xfId="2" applyNumberFormat="1" applyFont="1" applyFill="1" applyBorder="1"/>
    <xf numFmtId="173" fontId="181" fillId="29" borderId="0" xfId="0" applyNumberFormat="1" applyFont="1" applyFill="1"/>
    <xf numFmtId="0" fontId="181" fillId="29" borderId="171" xfId="0" applyFont="1" applyFill="1" applyBorder="1"/>
    <xf numFmtId="174" fontId="181" fillId="29" borderId="169" xfId="2" applyNumberFormat="1" applyFont="1" applyFill="1" applyBorder="1"/>
    <xf numFmtId="173" fontId="181" fillId="29" borderId="153" xfId="0" applyNumberFormat="1" applyFont="1" applyFill="1" applyBorder="1"/>
    <xf numFmtId="0" fontId="181" fillId="29" borderId="169" xfId="0" applyFont="1" applyFill="1" applyBorder="1"/>
    <xf numFmtId="37" fontId="181" fillId="29" borderId="172" xfId="0" applyNumberFormat="1" applyFont="1" applyFill="1" applyBorder="1" applyProtection="1">
      <protection locked="0"/>
    </xf>
    <xf numFmtId="174" fontId="181" fillId="29" borderId="153" xfId="2" applyNumberFormat="1" applyFont="1" applyFill="1" applyBorder="1"/>
    <xf numFmtId="174" fontId="181" fillId="29" borderId="0" xfId="2" applyNumberFormat="1" applyFont="1" applyFill="1"/>
    <xf numFmtId="0" fontId="181" fillId="29" borderId="173" xfId="0" applyFont="1" applyFill="1" applyBorder="1"/>
    <xf numFmtId="173" fontId="181" fillId="29" borderId="156" xfId="0" applyNumberFormat="1" applyFont="1" applyFill="1" applyBorder="1"/>
    <xf numFmtId="37" fontId="181" fillId="29" borderId="174" xfId="0" applyNumberFormat="1" applyFont="1" applyFill="1" applyBorder="1"/>
    <xf numFmtId="37" fontId="181" fillId="29" borderId="170" xfId="0" applyNumberFormat="1" applyFont="1" applyFill="1" applyBorder="1" applyProtection="1">
      <protection locked="0"/>
    </xf>
    <xf numFmtId="0" fontId="183" fillId="29" borderId="171" xfId="0" applyFont="1" applyFill="1" applyBorder="1"/>
    <xf numFmtId="0" fontId="183" fillId="29" borderId="0" xfId="0" applyFont="1" applyFill="1"/>
    <xf numFmtId="37" fontId="183" fillId="29" borderId="172" xfId="0" applyNumberFormat="1" applyFont="1" applyFill="1" applyBorder="1"/>
    <xf numFmtId="174" fontId="182" fillId="29" borderId="171" xfId="0" applyNumberFormat="1" applyFont="1" applyFill="1" applyBorder="1"/>
    <xf numFmtId="0" fontId="182" fillId="29" borderId="0" xfId="0" applyFont="1" applyFill="1"/>
    <xf numFmtId="174" fontId="182" fillId="29" borderId="169" xfId="0" applyNumberFormat="1" applyFont="1" applyFill="1" applyBorder="1"/>
    <xf numFmtId="0" fontId="182" fillId="30" borderId="175" xfId="0" applyFont="1" applyFill="1" applyBorder="1" applyAlignment="1">
      <alignment horizontal="center"/>
    </xf>
    <xf numFmtId="174" fontId="182" fillId="30" borderId="176" xfId="0" applyNumberFormat="1" applyFont="1" applyFill="1" applyBorder="1"/>
    <xf numFmtId="37" fontId="182" fillId="30" borderId="177" xfId="0" applyNumberFormat="1" applyFont="1" applyFill="1" applyBorder="1"/>
    <xf numFmtId="0" fontId="182" fillId="30" borderId="178" xfId="0" applyFont="1" applyFill="1" applyBorder="1" applyAlignment="1">
      <alignment horizontal="center"/>
    </xf>
    <xf numFmtId="174" fontId="182" fillId="30" borderId="167" xfId="0" applyNumberFormat="1" applyFont="1" applyFill="1" applyBorder="1"/>
    <xf numFmtId="37" fontId="182" fillId="30" borderId="179" xfId="0" applyNumberFormat="1" applyFont="1" applyFill="1" applyBorder="1"/>
    <xf numFmtId="39" fontId="181" fillId="29" borderId="0" xfId="0" applyNumberFormat="1" applyFont="1" applyFill="1"/>
    <xf numFmtId="0" fontId="182" fillId="30" borderId="180" xfId="0" applyFont="1" applyFill="1" applyBorder="1" applyAlignment="1">
      <alignment horizontal="center"/>
    </xf>
    <xf numFmtId="174" fontId="182" fillId="30" borderId="180" xfId="0" applyNumberFormat="1" applyFont="1" applyFill="1" applyBorder="1"/>
    <xf numFmtId="37" fontId="182" fillId="30" borderId="180" xfId="0" applyNumberFormat="1" applyFont="1" applyFill="1" applyBorder="1"/>
    <xf numFmtId="0" fontId="182" fillId="30" borderId="181" xfId="0" applyFont="1" applyFill="1" applyBorder="1" applyAlignment="1">
      <alignment horizontal="center"/>
    </xf>
    <xf numFmtId="37" fontId="182" fillId="30" borderId="182" xfId="0" applyNumberFormat="1" applyFont="1" applyFill="1" applyBorder="1"/>
    <xf numFmtId="0" fontId="185" fillId="29" borderId="0" xfId="0" applyFont="1" applyFill="1"/>
    <xf numFmtId="0" fontId="185" fillId="29" borderId="171" xfId="0" applyFont="1" applyFill="1" applyBorder="1"/>
    <xf numFmtId="0" fontId="185" fillId="29" borderId="172" xfId="0" applyFont="1" applyFill="1" applyBorder="1"/>
    <xf numFmtId="37" fontId="181" fillId="29" borderId="0" xfId="0" applyNumberFormat="1" applyFont="1" applyFill="1"/>
    <xf numFmtId="0" fontId="179" fillId="29" borderId="171" xfId="0" applyFont="1" applyFill="1" applyBorder="1"/>
    <xf numFmtId="0" fontId="177" fillId="29" borderId="171" xfId="0" applyFont="1" applyFill="1" applyBorder="1"/>
    <xf numFmtId="0" fontId="176" fillId="29" borderId="171" xfId="0" applyFont="1" applyFill="1" applyBorder="1"/>
    <xf numFmtId="0" fontId="182" fillId="30" borderId="183" xfId="0" applyFont="1" applyFill="1" applyBorder="1" applyAlignment="1">
      <alignment horizontal="center"/>
    </xf>
    <xf numFmtId="174" fontId="182" fillId="30" borderId="183" xfId="0" applyNumberFormat="1" applyFont="1" applyFill="1" applyBorder="1"/>
    <xf numFmtId="37" fontId="182" fillId="30" borderId="183" xfId="0" applyNumberFormat="1" applyFont="1" applyFill="1" applyBorder="1"/>
    <xf numFmtId="0" fontId="182" fillId="30" borderId="184" xfId="0" applyFont="1" applyFill="1" applyBorder="1" applyAlignment="1">
      <alignment horizontal="center"/>
    </xf>
    <xf numFmtId="37" fontId="182" fillId="30" borderId="185" xfId="0" applyNumberFormat="1" applyFont="1" applyFill="1" applyBorder="1"/>
    <xf numFmtId="0" fontId="158" fillId="32" borderId="1" xfId="0" applyFont="1" applyFill="1" applyBorder="1"/>
    <xf numFmtId="0" fontId="158" fillId="32" borderId="1" xfId="0" applyFont="1" applyFill="1" applyBorder="1" applyAlignment="1">
      <alignment horizontal="center" vertical="center"/>
    </xf>
    <xf numFmtId="0" fontId="158" fillId="32" borderId="1" xfId="0" applyFont="1" applyFill="1" applyBorder="1" applyAlignment="1">
      <alignment horizontal="right"/>
    </xf>
    <xf numFmtId="174" fontId="130" fillId="3" borderId="13" xfId="2" applyNumberFormat="1" applyFont="1" applyFill="1" applyBorder="1"/>
    <xf numFmtId="3" fontId="137" fillId="0" borderId="94" xfId="0" applyNumberFormat="1" applyFont="1" applyBorder="1"/>
    <xf numFmtId="3" fontId="137" fillId="0" borderId="21" xfId="0" applyNumberFormat="1" applyFont="1" applyBorder="1"/>
    <xf numFmtId="174" fontId="130" fillId="3" borderId="36" xfId="2" applyNumberFormat="1" applyFont="1" applyFill="1" applyBorder="1"/>
    <xf numFmtId="0" fontId="158" fillId="32" borderId="1" xfId="0" applyFont="1" applyFill="1" applyBorder="1" applyAlignment="1">
      <alignment vertical="center"/>
    </xf>
    <xf numFmtId="0" fontId="131" fillId="0" borderId="1" xfId="0" applyFont="1" applyBorder="1" applyAlignment="1">
      <alignment horizontal="right" vertical="center"/>
    </xf>
    <xf numFmtId="0" fontId="131" fillId="0" borderId="1" xfId="0" applyFont="1" applyBorder="1" applyAlignment="1">
      <alignment horizontal="center" vertical="center"/>
    </xf>
    <xf numFmtId="0" fontId="131" fillId="0" borderId="1" xfId="0" applyFont="1" applyBorder="1"/>
    <xf numFmtId="37" fontId="138" fillId="0" borderId="109" xfId="0" applyNumberFormat="1" applyFont="1" applyBorder="1"/>
    <xf numFmtId="0" fontId="131" fillId="0" borderId="1" xfId="0" applyFont="1" applyBorder="1" applyAlignment="1">
      <alignment horizontal="right"/>
    </xf>
    <xf numFmtId="43" fontId="136" fillId="0" borderId="0" xfId="1" applyFont="1"/>
    <xf numFmtId="37" fontId="137" fillId="0" borderId="21" xfId="0" applyNumberFormat="1" applyFont="1" applyBorder="1"/>
    <xf numFmtId="37" fontId="138" fillId="0" borderId="1" xfId="0" applyNumberFormat="1" applyFont="1" applyBorder="1"/>
    <xf numFmtId="0" fontId="126" fillId="0" borderId="186" xfId="0" applyFont="1" applyBorder="1" applyAlignment="1">
      <alignment horizontal="center" vertical="center"/>
    </xf>
    <xf numFmtId="0" fontId="127" fillId="0" borderId="188" xfId="0" applyFont="1" applyBorder="1" applyAlignment="1">
      <alignment horizontal="center" vertical="center"/>
    </xf>
    <xf numFmtId="168" fontId="126" fillId="0" borderId="189" xfId="0" applyNumberFormat="1" applyFont="1" applyBorder="1" applyAlignment="1">
      <alignment horizontal="center" vertical="center"/>
    </xf>
    <xf numFmtId="168" fontId="127" fillId="0" borderId="189" xfId="0" applyNumberFormat="1" applyFont="1" applyBorder="1" applyAlignment="1">
      <alignment horizontal="center" vertical="center"/>
    </xf>
    <xf numFmtId="0" fontId="127" fillId="0" borderId="190" xfId="0" applyFont="1" applyBorder="1" applyAlignment="1">
      <alignment horizontal="center" vertical="center"/>
    </xf>
    <xf numFmtId="168" fontId="127" fillId="0" borderId="191" xfId="0" applyNumberFormat="1" applyFont="1" applyBorder="1" applyAlignment="1">
      <alignment horizontal="center" vertical="center"/>
    </xf>
    <xf numFmtId="0" fontId="176" fillId="29" borderId="147" xfId="0" applyFont="1" applyFill="1" applyBorder="1" applyAlignment="1">
      <alignment horizontal="center"/>
    </xf>
    <xf numFmtId="0" fontId="176" fillId="29" borderId="148" xfId="0" applyFont="1" applyFill="1" applyBorder="1" applyAlignment="1">
      <alignment horizontal="center"/>
    </xf>
    <xf numFmtId="0" fontId="176" fillId="29" borderId="149" xfId="0" applyFont="1" applyFill="1" applyBorder="1" applyAlignment="1">
      <alignment horizontal="center"/>
    </xf>
    <xf numFmtId="0" fontId="131" fillId="0" borderId="14" xfId="0" applyFont="1" applyBorder="1" applyAlignment="1">
      <alignment horizontal="center"/>
    </xf>
    <xf numFmtId="0" fontId="134" fillId="0" borderId="14" xfId="0" applyFont="1" applyBorder="1"/>
    <xf numFmtId="168" fontId="126" fillId="0" borderId="1" xfId="0" applyNumberFormat="1" applyFont="1" applyBorder="1" applyAlignment="1">
      <alignment horizontal="center" vertical="center"/>
    </xf>
    <xf numFmtId="168" fontId="127" fillId="0" borderId="1" xfId="0" applyNumberFormat="1" applyFont="1" applyBorder="1" applyAlignment="1">
      <alignment horizontal="center" vertical="center"/>
    </xf>
    <xf numFmtId="0" fontId="154" fillId="0" borderId="192" xfId="0" applyFont="1" applyBorder="1" applyAlignment="1">
      <alignment horizontal="center" vertical="center"/>
    </xf>
    <xf numFmtId="0" fontId="151" fillId="0" borderId="187" xfId="0" applyFont="1" applyBorder="1" applyAlignment="1">
      <alignment horizontal="center" vertical="center"/>
    </xf>
    <xf numFmtId="168" fontId="127" fillId="0" borderId="193" xfId="0" applyNumberFormat="1" applyFont="1" applyBorder="1" applyAlignment="1">
      <alignment horizontal="center" vertical="center"/>
    </xf>
    <xf numFmtId="174" fontId="140" fillId="0" borderId="8" xfId="0" applyNumberFormat="1" applyFont="1" applyBorder="1" applyAlignment="1">
      <alignment vertical="center"/>
    </xf>
    <xf numFmtId="174" fontId="140" fillId="0" borderId="9" xfId="0" applyNumberFormat="1" applyFont="1" applyBorder="1" applyAlignment="1">
      <alignment vertical="center"/>
    </xf>
    <xf numFmtId="0" fontId="186" fillId="0" borderId="0" xfId="0" applyFont="1"/>
    <xf numFmtId="0" fontId="186" fillId="0" borderId="0" xfId="0" applyFont="1" applyAlignment="1">
      <alignment horizontal="center"/>
    </xf>
    <xf numFmtId="0" fontId="186" fillId="0" borderId="0" xfId="0" applyFont="1" applyAlignment="1">
      <alignment horizontal="right" vertical="center"/>
    </xf>
    <xf numFmtId="0" fontId="186" fillId="0" borderId="0" xfId="0" applyFont="1" applyAlignment="1">
      <alignment horizontal="center" vertical="center"/>
    </xf>
    <xf numFmtId="0" fontId="186" fillId="0" borderId="0" xfId="0" applyFont="1" applyAlignment="1">
      <alignment horizontal="right"/>
    </xf>
    <xf numFmtId="0" fontId="137" fillId="0" borderId="1" xfId="0" applyFont="1" applyBorder="1"/>
    <xf numFmtId="0" fontId="137" fillId="0" borderId="20" xfId="0" applyFont="1" applyBorder="1"/>
    <xf numFmtId="14" fontId="128" fillId="0" borderId="0" xfId="0" applyNumberFormat="1" applyFont="1" applyAlignment="1">
      <alignment horizontal="left"/>
    </xf>
    <xf numFmtId="0" fontId="127" fillId="0" borderId="186" xfId="0" applyFont="1" applyBorder="1"/>
    <xf numFmtId="0" fontId="153" fillId="0" borderId="192" xfId="0" applyFont="1" applyBorder="1"/>
    <xf numFmtId="0" fontId="127" fillId="0" borderId="187" xfId="0" applyFont="1" applyBorder="1"/>
    <xf numFmtId="0" fontId="126" fillId="0" borderId="188" xfId="0" applyFont="1" applyBorder="1" applyAlignment="1">
      <alignment horizontal="left"/>
    </xf>
    <xf numFmtId="168" fontId="126" fillId="0" borderId="1" xfId="0" applyNumberFormat="1" applyFont="1" applyBorder="1" applyAlignment="1">
      <alignment horizontal="center"/>
    </xf>
    <xf numFmtId="0" fontId="127" fillId="0" borderId="189" xfId="0" applyFont="1" applyBorder="1"/>
    <xf numFmtId="168" fontId="127" fillId="0" borderId="1" xfId="0" applyNumberFormat="1" applyFont="1" applyBorder="1" applyAlignment="1">
      <alignment horizontal="right"/>
    </xf>
    <xf numFmtId="0" fontId="127" fillId="0" borderId="188" xfId="0" applyFont="1" applyBorder="1"/>
    <xf numFmtId="0" fontId="127" fillId="0" borderId="1" xfId="0" applyFont="1" applyBorder="1"/>
    <xf numFmtId="0" fontId="126" fillId="0" borderId="190" xfId="0" applyFont="1" applyBorder="1" applyAlignment="1">
      <alignment horizontal="left"/>
    </xf>
    <xf numFmtId="168" fontId="127" fillId="0" borderId="193" xfId="0" applyNumberFormat="1" applyFont="1" applyBorder="1" applyAlignment="1">
      <alignment horizontal="right"/>
    </xf>
    <xf numFmtId="176" fontId="128" fillId="0" borderId="0" xfId="0" applyNumberFormat="1" applyFont="1"/>
    <xf numFmtId="3" fontId="0" fillId="0" borderId="0" xfId="0" applyNumberFormat="1"/>
    <xf numFmtId="10" fontId="136" fillId="0" borderId="0" xfId="0" applyNumberFormat="1" applyFont="1"/>
    <xf numFmtId="171" fontId="136" fillId="0" borderId="0" xfId="1" applyNumberFormat="1" applyFont="1"/>
    <xf numFmtId="183" fontId="128" fillId="0" borderId="0" xfId="3" applyNumberFormat="1" applyFont="1"/>
    <xf numFmtId="183" fontId="128" fillId="10" borderId="1" xfId="3" applyNumberFormat="1" applyFont="1" applyFill="1" applyBorder="1" applyAlignment="1">
      <alignment horizontal="center" vertical="center"/>
    </xf>
    <xf numFmtId="183" fontId="128" fillId="10" borderId="1" xfId="3" applyNumberFormat="1" applyFont="1" applyFill="1" applyBorder="1" applyAlignment="1">
      <alignment horizontal="center"/>
    </xf>
    <xf numFmtId="17" fontId="136" fillId="0" borderId="0" xfId="0" applyNumberFormat="1" applyFont="1" applyAlignment="1">
      <alignment horizontal="right"/>
    </xf>
    <xf numFmtId="10" fontId="0" fillId="0" borderId="0" xfId="0" applyNumberFormat="1"/>
    <xf numFmtId="10" fontId="127" fillId="0" borderId="189" xfId="0" applyNumberFormat="1" applyFont="1" applyBorder="1" applyAlignment="1">
      <alignment horizontal="center"/>
    </xf>
    <xf numFmtId="0" fontId="128" fillId="34" borderId="0" xfId="0" applyFont="1" applyFill="1" applyAlignment="1">
      <alignment horizontal="center"/>
    </xf>
    <xf numFmtId="0" fontId="128" fillId="35" borderId="0" xfId="0" applyFont="1" applyFill="1" applyAlignment="1">
      <alignment horizontal="center"/>
    </xf>
    <xf numFmtId="3" fontId="140" fillId="3" borderId="29" xfId="0" applyNumberFormat="1" applyFont="1" applyFill="1" applyBorder="1" applyAlignment="1">
      <alignment horizontal="right"/>
    </xf>
    <xf numFmtId="1" fontId="137" fillId="0" borderId="14" xfId="0" applyNumberFormat="1" applyFont="1" applyBorder="1"/>
    <xf numFmtId="1" fontId="137" fillId="0" borderId="91" xfId="0" applyNumberFormat="1" applyFont="1" applyBorder="1"/>
    <xf numFmtId="37" fontId="138" fillId="33" borderId="0" xfId="0" applyNumberFormat="1" applyFont="1" applyFill="1"/>
    <xf numFmtId="37" fontId="138" fillId="0" borderId="110" xfId="0" applyNumberFormat="1" applyFont="1" applyBorder="1"/>
    <xf numFmtId="171" fontId="137" fillId="0" borderId="0" xfId="1" applyNumberFormat="1" applyFont="1"/>
    <xf numFmtId="49" fontId="167" fillId="27" borderId="1" xfId="0" applyNumberFormat="1" applyFont="1" applyFill="1" applyBorder="1" applyAlignment="1">
      <alignment horizontal="left" vertical="top"/>
    </xf>
    <xf numFmtId="49" fontId="169" fillId="23" borderId="140" xfId="0" applyNumberFormat="1" applyFont="1" applyFill="1" applyBorder="1" applyAlignment="1">
      <alignment horizontal="left" vertical="top"/>
    </xf>
    <xf numFmtId="49" fontId="172" fillId="23" borderId="139" xfId="0" applyNumberFormat="1" applyFont="1" applyFill="1" applyBorder="1" applyAlignment="1">
      <alignment horizontal="left" vertical="top"/>
    </xf>
    <xf numFmtId="49" fontId="169" fillId="23" borderId="139" xfId="0" quotePrefix="1" applyNumberFormat="1" applyFont="1" applyFill="1" applyBorder="1" applyAlignment="1">
      <alignment horizontal="left" vertical="top"/>
    </xf>
    <xf numFmtId="0" fontId="0" fillId="36" borderId="0" xfId="0" applyFill="1"/>
    <xf numFmtId="1" fontId="128" fillId="36" borderId="0" xfId="0" applyNumberFormat="1" applyFont="1" applyFill="1" applyAlignment="1">
      <alignment horizontal="center"/>
    </xf>
    <xf numFmtId="49" fontId="122" fillId="0" borderId="1" xfId="10" applyNumberFormat="1" applyAlignment="1">
      <alignment horizontal="left" vertical="center"/>
    </xf>
    <xf numFmtId="43" fontId="122" fillId="0" borderId="1" xfId="1" applyFont="1" applyBorder="1" applyAlignment="1">
      <alignment horizontal="left" vertical="center"/>
    </xf>
    <xf numFmtId="0" fontId="121" fillId="36" borderId="1" xfId="11" applyFill="1"/>
    <xf numFmtId="165" fontId="121" fillId="36" borderId="1" xfId="12" applyFont="1" applyFill="1" applyAlignment="1">
      <alignment horizontal="right" vertical="center"/>
    </xf>
    <xf numFmtId="49" fontId="127" fillId="37" borderId="1" xfId="0" applyNumberFormat="1" applyFont="1" applyFill="1" applyBorder="1" applyAlignment="1">
      <alignment horizontal="left" vertical="center"/>
    </xf>
    <xf numFmtId="0" fontId="127" fillId="37" borderId="1" xfId="0" applyFont="1" applyFill="1" applyBorder="1" applyAlignment="1">
      <alignment horizontal="left" vertical="top"/>
    </xf>
    <xf numFmtId="0" fontId="127" fillId="37" borderId="1" xfId="0" applyFont="1" applyFill="1" applyBorder="1"/>
    <xf numFmtId="180" fontId="127" fillId="37" borderId="1" xfId="0" applyNumberFormat="1" applyFont="1" applyFill="1" applyBorder="1" applyAlignment="1">
      <alignment horizontal="right" vertical="center"/>
    </xf>
    <xf numFmtId="4" fontId="127" fillId="37" borderId="1" xfId="0" applyNumberFormat="1" applyFont="1" applyFill="1" applyBorder="1"/>
    <xf numFmtId="37" fontId="0" fillId="0" borderId="0" xfId="0" applyNumberFormat="1"/>
    <xf numFmtId="49" fontId="127" fillId="10" borderId="139" xfId="0" applyNumberFormat="1" applyFont="1" applyFill="1" applyBorder="1" applyAlignment="1">
      <alignment horizontal="left" vertical="top"/>
    </xf>
    <xf numFmtId="49" fontId="173" fillId="23" borderId="139" xfId="0" applyNumberFormat="1" applyFont="1" applyFill="1" applyBorder="1" applyAlignment="1">
      <alignment horizontal="left" vertical="top"/>
    </xf>
    <xf numFmtId="49" fontId="127" fillId="0" borderId="1" xfId="0" applyNumberFormat="1" applyFont="1" applyBorder="1" applyAlignment="1">
      <alignment horizontal="left" vertical="top"/>
    </xf>
    <xf numFmtId="0" fontId="170" fillId="23" borderId="0" xfId="0" applyFont="1" applyFill="1" applyAlignment="1">
      <alignment horizontal="left" vertical="top"/>
    </xf>
    <xf numFmtId="49" fontId="127" fillId="10" borderId="140" xfId="0" applyNumberFormat="1" applyFont="1" applyFill="1" applyBorder="1" applyAlignment="1">
      <alignment horizontal="left" vertical="top"/>
    </xf>
    <xf numFmtId="3" fontId="130" fillId="0" borderId="0" xfId="0" applyNumberFormat="1" applyFont="1"/>
    <xf numFmtId="49" fontId="170" fillId="23" borderId="141" xfId="0" applyNumberFormat="1" applyFont="1" applyFill="1" applyBorder="1" applyAlignment="1">
      <alignment horizontal="left" vertical="top"/>
    </xf>
    <xf numFmtId="0" fontId="98" fillId="36" borderId="1" xfId="690" applyFill="1"/>
    <xf numFmtId="165" fontId="98" fillId="36" borderId="1" xfId="691" applyFont="1" applyFill="1" applyAlignment="1">
      <alignment horizontal="right" vertical="center"/>
    </xf>
    <xf numFmtId="0" fontId="93" fillId="36" borderId="1" xfId="1397" applyFill="1"/>
    <xf numFmtId="165" fontId="93" fillId="36" borderId="1" xfId="1398" applyFont="1" applyFill="1" applyAlignment="1">
      <alignment horizontal="right" vertical="center"/>
    </xf>
    <xf numFmtId="0" fontId="91" fillId="33" borderId="1" xfId="2755" applyFill="1"/>
    <xf numFmtId="184" fontId="91" fillId="33" borderId="1" xfId="2755" applyNumberFormat="1" applyFill="1" applyAlignment="1">
      <alignment horizontal="right" vertical="center"/>
    </xf>
    <xf numFmtId="185" fontId="91" fillId="33" borderId="1" xfId="2755" applyNumberFormat="1" applyFill="1" applyAlignment="1">
      <alignment horizontal="right" vertical="center"/>
    </xf>
    <xf numFmtId="49" fontId="91" fillId="33" borderId="1" xfId="2755" applyNumberFormat="1" applyFill="1" applyAlignment="1">
      <alignment horizontal="left" vertical="center"/>
    </xf>
    <xf numFmtId="49" fontId="188" fillId="36" borderId="1" xfId="2807" applyNumberFormat="1" applyFont="1" applyFill="1" applyAlignment="1">
      <alignment horizontal="left" vertical="center"/>
    </xf>
    <xf numFmtId="165" fontId="188" fillId="36" borderId="1" xfId="2808" applyFont="1" applyFill="1" applyAlignment="1">
      <alignment horizontal="right" vertical="center"/>
    </xf>
    <xf numFmtId="49" fontId="89" fillId="36" borderId="1" xfId="2807" applyNumberFormat="1" applyFill="1" applyAlignment="1">
      <alignment horizontal="left" vertical="center"/>
    </xf>
    <xf numFmtId="0" fontId="89" fillId="36" borderId="1" xfId="2807" applyFill="1"/>
    <xf numFmtId="165" fontId="89" fillId="36" borderId="1" xfId="2808" applyFont="1" applyFill="1" applyAlignment="1">
      <alignment horizontal="right" vertical="center"/>
    </xf>
    <xf numFmtId="185" fontId="87" fillId="34" borderId="1" xfId="2811" applyNumberFormat="1" applyFill="1" applyAlignment="1">
      <alignment horizontal="right" vertical="center"/>
    </xf>
    <xf numFmtId="0" fontId="87" fillId="0" borderId="1" xfId="2811"/>
    <xf numFmtId="49" fontId="188" fillId="0" borderId="1" xfId="2811" applyNumberFormat="1" applyFont="1" applyAlignment="1">
      <alignment horizontal="left" vertical="center"/>
    </xf>
    <xf numFmtId="49" fontId="87" fillId="0" borderId="1" xfId="2811" applyNumberFormat="1" applyAlignment="1">
      <alignment horizontal="left" vertical="center"/>
    </xf>
    <xf numFmtId="184" fontId="188" fillId="0" borderId="1" xfId="2811" applyNumberFormat="1" applyFont="1" applyAlignment="1">
      <alignment horizontal="right" vertical="center"/>
    </xf>
    <xf numFmtId="184" fontId="87" fillId="0" borderId="1" xfId="2811" applyNumberFormat="1" applyAlignment="1">
      <alignment horizontal="right" vertical="center"/>
    </xf>
    <xf numFmtId="185" fontId="188" fillId="0" borderId="1" xfId="2811" applyNumberFormat="1" applyFont="1" applyAlignment="1">
      <alignment horizontal="right" vertical="center"/>
    </xf>
    <xf numFmtId="185" fontId="87" fillId="0" borderId="1" xfId="2811" applyNumberFormat="1" applyAlignment="1">
      <alignment horizontal="right" vertical="center"/>
    </xf>
    <xf numFmtId="49" fontId="151" fillId="0" borderId="1" xfId="4224" applyNumberFormat="1" applyFont="1" applyAlignment="1">
      <alignment horizontal="center" vertical="center"/>
    </xf>
    <xf numFmtId="185" fontId="87" fillId="34" borderId="1" xfId="5565" applyNumberFormat="1" applyFill="1" applyAlignment="1">
      <alignment horizontal="right" vertical="center"/>
    </xf>
    <xf numFmtId="0" fontId="87" fillId="0" borderId="1" xfId="5565"/>
    <xf numFmtId="49" fontId="188" fillId="0" borderId="1" xfId="5565" applyNumberFormat="1" applyFont="1" applyAlignment="1">
      <alignment horizontal="left" vertical="center"/>
    </xf>
    <xf numFmtId="49" fontId="87" fillId="0" borderId="1" xfId="5565" applyNumberFormat="1" applyAlignment="1">
      <alignment horizontal="left" vertical="center"/>
    </xf>
    <xf numFmtId="184" fontId="188" fillId="0" borderId="1" xfId="5565" applyNumberFormat="1" applyFont="1" applyAlignment="1">
      <alignment horizontal="right" vertical="center"/>
    </xf>
    <xf numFmtId="184" fontId="87" fillId="0" borderId="1" xfId="5565" applyNumberFormat="1" applyAlignment="1">
      <alignment horizontal="right" vertical="center"/>
    </xf>
    <xf numFmtId="185" fontId="188" fillId="0" borderId="1" xfId="5565" applyNumberFormat="1" applyFont="1" applyAlignment="1">
      <alignment horizontal="right" vertical="center"/>
    </xf>
    <xf numFmtId="185" fontId="87" fillId="0" borderId="1" xfId="5565" applyNumberFormat="1" applyAlignment="1">
      <alignment horizontal="right" vertical="center"/>
    </xf>
    <xf numFmtId="49" fontId="151" fillId="0" borderId="1" xfId="5551" applyNumberFormat="1" applyFont="1" applyAlignment="1">
      <alignment horizontal="center" vertical="center"/>
    </xf>
    <xf numFmtId="165" fontId="137" fillId="0" borderId="8" xfId="0" applyNumberFormat="1" applyFont="1" applyBorder="1"/>
    <xf numFmtId="165" fontId="136" fillId="0" borderId="0" xfId="0" applyNumberFormat="1" applyFont="1"/>
    <xf numFmtId="43" fontId="141" fillId="0" borderId="0" xfId="1" applyFont="1"/>
    <xf numFmtId="10" fontId="141" fillId="0" borderId="0" xfId="2" applyNumberFormat="1" applyFont="1"/>
    <xf numFmtId="3" fontId="137" fillId="0" borderId="1" xfId="0" applyNumberFormat="1" applyFont="1" applyBorder="1"/>
    <xf numFmtId="3" fontId="137" fillId="0" borderId="20" xfId="0" applyNumberFormat="1" applyFont="1" applyBorder="1"/>
    <xf numFmtId="3" fontId="137" fillId="0" borderId="23" xfId="0" applyNumberFormat="1" applyFont="1" applyBorder="1"/>
    <xf numFmtId="174" fontId="137" fillId="0" borderId="0" xfId="2" applyNumberFormat="1" applyFont="1"/>
    <xf numFmtId="174" fontId="137" fillId="0" borderId="8" xfId="2" applyNumberFormat="1" applyFont="1" applyBorder="1"/>
    <xf numFmtId="174" fontId="137" fillId="0" borderId="92" xfId="2" applyNumberFormat="1" applyFont="1" applyBorder="1"/>
    <xf numFmtId="174" fontId="130" fillId="3" borderId="35" xfId="2" applyNumberFormat="1" applyFont="1" applyFill="1" applyBorder="1"/>
    <xf numFmtId="174" fontId="138" fillId="0" borderId="71" xfId="2" applyNumberFormat="1" applyFont="1" applyBorder="1"/>
    <xf numFmtId="174" fontId="138" fillId="0" borderId="84" xfId="2" applyNumberFormat="1" applyFont="1" applyBorder="1"/>
    <xf numFmtId="174" fontId="138" fillId="0" borderId="14" xfId="2" applyNumberFormat="1" applyFont="1" applyBorder="1"/>
    <xf numFmtId="174" fontId="138" fillId="0" borderId="0" xfId="2" applyNumberFormat="1" applyFont="1"/>
    <xf numFmtId="4" fontId="127" fillId="36" borderId="0" xfId="0" applyNumberFormat="1" applyFont="1" applyFill="1" applyAlignment="1">
      <alignment horizontal="center" vertical="top"/>
    </xf>
    <xf numFmtId="10" fontId="127" fillId="0" borderId="191" xfId="0" applyNumberFormat="1" applyFont="1" applyBorder="1" applyAlignment="1">
      <alignment horizontal="center"/>
    </xf>
    <xf numFmtId="49" fontId="190" fillId="23" borderId="139" xfId="11272" applyNumberFormat="1" applyFill="1" applyBorder="1" applyAlignment="1">
      <alignment horizontal="left" vertical="top"/>
    </xf>
    <xf numFmtId="184" fontId="73" fillId="36" borderId="1" xfId="11277" applyNumberFormat="1" applyFill="1" applyAlignment="1">
      <alignment horizontal="right" vertical="center"/>
    </xf>
    <xf numFmtId="0" fontId="72" fillId="0" borderId="0" xfId="0" applyFont="1"/>
    <xf numFmtId="9" fontId="137" fillId="0" borderId="0" xfId="2" applyFont="1" applyAlignment="1">
      <alignment horizontal="right"/>
    </xf>
    <xf numFmtId="9" fontId="137" fillId="0" borderId="0" xfId="2" applyFont="1"/>
    <xf numFmtId="9" fontId="137" fillId="0" borderId="8" xfId="2" applyFont="1" applyFill="1" applyBorder="1"/>
    <xf numFmtId="174" fontId="137" fillId="0" borderId="0" xfId="2" applyNumberFormat="1" applyFont="1" applyFill="1"/>
    <xf numFmtId="0" fontId="169" fillId="38" borderId="139" xfId="0" applyFont="1" applyFill="1" applyBorder="1" applyAlignment="1">
      <alignment horizontal="left" vertical="top"/>
    </xf>
    <xf numFmtId="0" fontId="170" fillId="38" borderId="139" xfId="0" applyFont="1" applyFill="1" applyBorder="1" applyAlignment="1">
      <alignment horizontal="left" vertical="top"/>
    </xf>
    <xf numFmtId="49" fontId="169" fillId="38" borderId="139" xfId="0" applyNumberFormat="1" applyFont="1" applyFill="1" applyBorder="1" applyAlignment="1">
      <alignment horizontal="left" vertical="top"/>
    </xf>
    <xf numFmtId="9" fontId="139" fillId="0" borderId="0" xfId="2" applyFont="1"/>
    <xf numFmtId="0" fontId="65" fillId="0" borderId="0" xfId="0" applyFont="1"/>
    <xf numFmtId="0" fontId="140" fillId="3" borderId="125" xfId="0" applyFont="1" applyFill="1" applyBorder="1"/>
    <xf numFmtId="0" fontId="140" fillId="3" borderId="126" xfId="0" applyFont="1" applyFill="1" applyBorder="1"/>
    <xf numFmtId="0" fontId="140" fillId="3" borderId="126" xfId="0" applyFont="1" applyFill="1" applyBorder="1" applyAlignment="1">
      <alignment horizontal="center"/>
    </xf>
    <xf numFmtId="174" fontId="140" fillId="3" borderId="126" xfId="0" applyNumberFormat="1" applyFont="1" applyFill="1" applyBorder="1"/>
    <xf numFmtId="37" fontId="140" fillId="3" borderId="126" xfId="0" applyNumberFormat="1" applyFont="1" applyFill="1" applyBorder="1"/>
    <xf numFmtId="174" fontId="140" fillId="3" borderId="127" xfId="0" applyNumberFormat="1" applyFont="1" applyFill="1" applyBorder="1"/>
    <xf numFmtId="3" fontId="130" fillId="3" borderId="27" xfId="0" applyNumberFormat="1" applyFont="1" applyFill="1" applyBorder="1"/>
    <xf numFmtId="9" fontId="137" fillId="0" borderId="14" xfId="2" applyFont="1" applyBorder="1" applyAlignment="1">
      <alignment horizontal="right"/>
    </xf>
    <xf numFmtId="0" fontId="43" fillId="0" borderId="0" xfId="0" applyFont="1"/>
    <xf numFmtId="3" fontId="53" fillId="0" borderId="0" xfId="0" applyNumberFormat="1" applyFont="1"/>
    <xf numFmtId="174" fontId="137" fillId="0" borderId="1" xfId="0" applyNumberFormat="1" applyFont="1" applyBorder="1"/>
    <xf numFmtId="0" fontId="177" fillId="29" borderId="195" xfId="0" applyFont="1" applyFill="1" applyBorder="1"/>
    <xf numFmtId="0" fontId="176" fillId="29" borderId="195" xfId="0" applyFont="1" applyFill="1" applyBorder="1"/>
    <xf numFmtId="3" fontId="176" fillId="29" borderId="195" xfId="0" applyNumberFormat="1" applyFont="1" applyFill="1" applyBorder="1"/>
    <xf numFmtId="3" fontId="176" fillId="29" borderId="196" xfId="0" applyNumberFormat="1" applyFont="1" applyFill="1" applyBorder="1"/>
    <xf numFmtId="3" fontId="176" fillId="29" borderId="197" xfId="0" applyNumberFormat="1" applyFont="1" applyFill="1" applyBorder="1"/>
    <xf numFmtId="0" fontId="176" fillId="29" borderId="155" xfId="0" applyFont="1" applyFill="1" applyBorder="1"/>
    <xf numFmtId="3" fontId="177" fillId="29" borderId="195" xfId="0" applyNumberFormat="1" applyFont="1" applyFill="1" applyBorder="1"/>
    <xf numFmtId="3" fontId="177" fillId="29" borderId="196" xfId="0" applyNumberFormat="1" applyFont="1" applyFill="1" applyBorder="1"/>
    <xf numFmtId="3" fontId="177" fillId="29" borderId="197" xfId="0" applyNumberFormat="1" applyFont="1" applyFill="1" applyBorder="1"/>
    <xf numFmtId="0" fontId="176" fillId="29" borderId="152" xfId="0" applyFont="1" applyFill="1" applyBorder="1"/>
    <xf numFmtId="0" fontId="176" fillId="30" borderId="158" xfId="0" applyFont="1" applyFill="1" applyBorder="1"/>
    <xf numFmtId="0" fontId="176" fillId="29" borderId="150" xfId="0" applyFont="1" applyFill="1" applyBorder="1" applyAlignment="1">
      <alignment horizontal="left"/>
    </xf>
    <xf numFmtId="0" fontId="176" fillId="30" borderId="198" xfId="0" applyFont="1" applyFill="1" applyBorder="1"/>
    <xf numFmtId="0" fontId="176" fillId="30" borderId="198" xfId="0" applyFont="1" applyFill="1" applyBorder="1" applyAlignment="1">
      <alignment horizontal="center"/>
    </xf>
    <xf numFmtId="174" fontId="176" fillId="30" borderId="199" xfId="0" applyNumberFormat="1" applyFont="1" applyFill="1" applyBorder="1"/>
    <xf numFmtId="37" fontId="176" fillId="30" borderId="200" xfId="0" applyNumberFormat="1" applyFont="1" applyFill="1" applyBorder="1"/>
    <xf numFmtId="0" fontId="181" fillId="29" borderId="150" xfId="0" applyFont="1" applyFill="1" applyBorder="1"/>
    <xf numFmtId="0" fontId="181" fillId="29" borderId="152" xfId="0" applyFont="1" applyFill="1" applyBorder="1"/>
    <xf numFmtId="0" fontId="177" fillId="29" borderId="196" xfId="0" applyFont="1" applyFill="1" applyBorder="1"/>
    <xf numFmtId="37" fontId="177" fillId="29" borderId="197" xfId="0" applyNumberFormat="1" applyFont="1" applyFill="1" applyBorder="1"/>
    <xf numFmtId="37" fontId="177" fillId="29" borderId="197" xfId="0" applyNumberFormat="1" applyFont="1" applyFill="1" applyBorder="1" applyProtection="1">
      <protection locked="0"/>
    </xf>
    <xf numFmtId="0" fontId="181" fillId="31" borderId="150" xfId="0" applyFont="1" applyFill="1" applyBorder="1"/>
    <xf numFmtId="0" fontId="176" fillId="30" borderId="201" xfId="0" applyFont="1" applyFill="1" applyBorder="1"/>
    <xf numFmtId="37" fontId="176" fillId="30" borderId="202" xfId="0" applyNumberFormat="1" applyFont="1" applyFill="1" applyBorder="1"/>
    <xf numFmtId="0" fontId="176" fillId="30" borderId="194" xfId="0" applyFont="1" applyFill="1" applyBorder="1"/>
    <xf numFmtId="174" fontId="176" fillId="30" borderId="203" xfId="0" applyNumberFormat="1" applyFont="1" applyFill="1" applyBorder="1"/>
    <xf numFmtId="0" fontId="176" fillId="30" borderId="204" xfId="0" applyFont="1" applyFill="1" applyBorder="1"/>
    <xf numFmtId="0" fontId="177" fillId="30" borderId="204" xfId="0" applyFont="1" applyFill="1" applyBorder="1"/>
    <xf numFmtId="10" fontId="177" fillId="30" borderId="205" xfId="2" applyNumberFormat="1" applyFont="1" applyFill="1" applyBorder="1"/>
    <xf numFmtId="37" fontId="176" fillId="30" borderId="206" xfId="0" applyNumberFormat="1" applyFont="1" applyFill="1" applyBorder="1"/>
    <xf numFmtId="0" fontId="177" fillId="30" borderId="205" xfId="0" applyFont="1" applyFill="1" applyBorder="1"/>
    <xf numFmtId="0" fontId="191" fillId="29" borderId="0" xfId="0" applyFont="1" applyFill="1"/>
    <xf numFmtId="172" fontId="179" fillId="29" borderId="0" xfId="0" applyNumberFormat="1" applyFont="1" applyFill="1" applyAlignment="1">
      <alignment horizontal="left"/>
    </xf>
    <xf numFmtId="174" fontId="177" fillId="29" borderId="150" xfId="2" applyNumberFormat="1" applyFont="1" applyFill="1" applyBorder="1"/>
    <xf numFmtId="0" fontId="176" fillId="30" borderId="201" xfId="0" applyFont="1" applyFill="1" applyBorder="1" applyAlignment="1">
      <alignment horizontal="center"/>
    </xf>
    <xf numFmtId="174" fontId="176" fillId="30" borderId="207" xfId="0" applyNumberFormat="1" applyFont="1" applyFill="1" applyBorder="1"/>
    <xf numFmtId="10" fontId="176" fillId="30" borderId="205" xfId="2" applyNumberFormat="1" applyFont="1" applyFill="1" applyBorder="1"/>
    <xf numFmtId="0" fontId="176" fillId="30" borderId="205" xfId="0" applyFont="1" applyFill="1" applyBorder="1"/>
    <xf numFmtId="37" fontId="177" fillId="29" borderId="195" xfId="0" applyNumberFormat="1" applyFont="1" applyFill="1" applyBorder="1"/>
    <xf numFmtId="37" fontId="177" fillId="29" borderId="196" xfId="0" applyNumberFormat="1" applyFont="1" applyFill="1" applyBorder="1"/>
    <xf numFmtId="37" fontId="177" fillId="29" borderId="195" xfId="0" applyNumberFormat="1" applyFont="1" applyFill="1" applyBorder="1" applyProtection="1">
      <protection locked="0"/>
    </xf>
    <xf numFmtId="37" fontId="177" fillId="29" borderId="196" xfId="0" applyNumberFormat="1" applyFont="1" applyFill="1" applyBorder="1" applyProtection="1">
      <protection locked="0"/>
    </xf>
    <xf numFmtId="0" fontId="176" fillId="31" borderId="158" xfId="0" applyFont="1" applyFill="1" applyBorder="1"/>
    <xf numFmtId="0" fontId="176" fillId="31" borderId="152" xfId="0" applyFont="1" applyFill="1" applyBorder="1"/>
    <xf numFmtId="0" fontId="176" fillId="31" borderId="195" xfId="0" applyFont="1" applyFill="1" applyBorder="1"/>
    <xf numFmtId="37" fontId="177" fillId="29" borderId="208" xfId="0" applyNumberFormat="1" applyFont="1" applyFill="1" applyBorder="1"/>
    <xf numFmtId="0" fontId="177" fillId="31" borderId="150" xfId="0" applyFont="1" applyFill="1" applyBorder="1"/>
    <xf numFmtId="171" fontId="177" fillId="29" borderId="0" xfId="1" applyNumberFormat="1" applyFont="1" applyFill="1"/>
    <xf numFmtId="171" fontId="177" fillId="29" borderId="0" xfId="1" applyNumberFormat="1" applyFont="1" applyFill="1" applyProtection="1">
      <protection locked="0"/>
    </xf>
    <xf numFmtId="0" fontId="177" fillId="31" borderId="209" xfId="0" applyFont="1" applyFill="1" applyBorder="1"/>
    <xf numFmtId="171" fontId="177" fillId="29" borderId="196" xfId="1" applyNumberFormat="1" applyFont="1" applyFill="1" applyBorder="1"/>
    <xf numFmtId="37" fontId="176" fillId="31" borderId="195" xfId="0" applyNumberFormat="1" applyFont="1" applyFill="1" applyBorder="1"/>
    <xf numFmtId="173" fontId="176" fillId="31" borderId="196" xfId="0" applyNumberFormat="1" applyFont="1" applyFill="1" applyBorder="1"/>
    <xf numFmtId="37" fontId="176" fillId="31" borderId="197" xfId="0" applyNumberFormat="1" applyFont="1" applyFill="1" applyBorder="1"/>
    <xf numFmtId="174" fontId="176" fillId="30" borderId="205" xfId="2" applyNumberFormat="1" applyFont="1" applyFill="1" applyBorder="1"/>
    <xf numFmtId="0" fontId="181" fillId="29" borderId="195" xfId="0" applyFont="1" applyFill="1" applyBorder="1"/>
    <xf numFmtId="0" fontId="176" fillId="30" borderId="210" xfId="0" applyFont="1" applyFill="1" applyBorder="1"/>
    <xf numFmtId="37" fontId="176" fillId="29" borderId="195" xfId="0" applyNumberFormat="1" applyFont="1" applyFill="1" applyBorder="1"/>
    <xf numFmtId="174" fontId="176" fillId="29" borderId="196" xfId="0" applyNumberFormat="1" applyFont="1" applyFill="1" applyBorder="1"/>
    <xf numFmtId="37" fontId="176" fillId="29" borderId="197" xfId="0" applyNumberFormat="1" applyFont="1" applyFill="1" applyBorder="1"/>
    <xf numFmtId="0" fontId="176" fillId="30" borderId="211" xfId="0" applyFont="1" applyFill="1" applyBorder="1"/>
    <xf numFmtId="37" fontId="176" fillId="30" borderId="211" xfId="0" applyNumberFormat="1" applyFont="1" applyFill="1" applyBorder="1"/>
    <xf numFmtId="173" fontId="176" fillId="30" borderId="212" xfId="0" applyNumberFormat="1" applyFont="1" applyFill="1" applyBorder="1"/>
    <xf numFmtId="37" fontId="176" fillId="30" borderId="213" xfId="0" applyNumberFormat="1" applyFont="1" applyFill="1" applyBorder="1"/>
    <xf numFmtId="43" fontId="176" fillId="30" borderId="205" xfId="1" applyFont="1" applyFill="1" applyBorder="1"/>
    <xf numFmtId="0" fontId="181" fillId="29" borderId="209" xfId="0" applyFont="1" applyFill="1" applyBorder="1"/>
    <xf numFmtId="0" fontId="176" fillId="30" borderId="166" xfId="0" applyFont="1" applyFill="1" applyBorder="1"/>
    <xf numFmtId="0" fontId="182" fillId="29" borderId="0" xfId="0" applyFont="1" applyFill="1" applyAlignment="1">
      <alignment horizontal="center" vertical="center"/>
    </xf>
    <xf numFmtId="0" fontId="176" fillId="29" borderId="214" xfId="0" applyFont="1" applyFill="1" applyBorder="1" applyAlignment="1">
      <alignment horizontal="center"/>
    </xf>
    <xf numFmtId="0" fontId="177" fillId="29" borderId="169" xfId="0" applyFont="1" applyFill="1" applyBorder="1"/>
    <xf numFmtId="0" fontId="182" fillId="30" borderId="169" xfId="0" applyFont="1" applyFill="1" applyBorder="1"/>
    <xf numFmtId="0" fontId="182" fillId="29" borderId="171" xfId="0" applyFont="1" applyFill="1" applyBorder="1"/>
    <xf numFmtId="0" fontId="182" fillId="30" borderId="215" xfId="0" applyFont="1" applyFill="1" applyBorder="1"/>
    <xf numFmtId="174" fontId="182" fillId="30" borderId="215" xfId="0" applyNumberFormat="1" applyFont="1" applyFill="1" applyBorder="1"/>
    <xf numFmtId="171" fontId="182" fillId="30" borderId="199" xfId="1" applyNumberFormat="1" applyFont="1" applyFill="1" applyBorder="1"/>
    <xf numFmtId="37" fontId="182" fillId="30" borderId="216" xfId="0" applyNumberFormat="1" applyFont="1" applyFill="1" applyBorder="1"/>
    <xf numFmtId="0" fontId="182" fillId="30" borderId="199" xfId="0" applyFont="1" applyFill="1" applyBorder="1"/>
    <xf numFmtId="0" fontId="181" fillId="31" borderId="171" xfId="0" applyFont="1" applyFill="1" applyBorder="1"/>
    <xf numFmtId="173" fontId="182" fillId="30" borderId="199" xfId="0" applyNumberFormat="1" applyFont="1" applyFill="1" applyBorder="1"/>
    <xf numFmtId="0" fontId="181" fillId="29" borderId="217" xfId="0" applyFont="1" applyFill="1" applyBorder="1"/>
    <xf numFmtId="173" fontId="181" fillId="29" borderId="196" xfId="0" applyNumberFormat="1" applyFont="1" applyFill="1" applyBorder="1"/>
    <xf numFmtId="37" fontId="181" fillId="29" borderId="218" xfId="0" applyNumberFormat="1" applyFont="1" applyFill="1" applyBorder="1"/>
    <xf numFmtId="0" fontId="181" fillId="29" borderId="172" xfId="0" applyFont="1" applyFill="1" applyBorder="1"/>
    <xf numFmtId="174" fontId="182" fillId="29" borderId="217" xfId="0" applyNumberFormat="1" applyFont="1" applyFill="1" applyBorder="1"/>
    <xf numFmtId="0" fontId="182" fillId="29" borderId="196" xfId="0" applyFont="1" applyFill="1" applyBorder="1"/>
    <xf numFmtId="37" fontId="181" fillId="31" borderId="218" xfId="0" applyNumberFormat="1" applyFont="1" applyFill="1" applyBorder="1"/>
    <xf numFmtId="0" fontId="181" fillId="30" borderId="199" xfId="0" applyFont="1" applyFill="1" applyBorder="1"/>
    <xf numFmtId="0" fontId="182" fillId="31" borderId="217" xfId="0" applyFont="1" applyFill="1" applyBorder="1"/>
    <xf numFmtId="0" fontId="181" fillId="31" borderId="196" xfId="0" applyFont="1" applyFill="1" applyBorder="1"/>
    <xf numFmtId="0" fontId="182" fillId="30" borderId="175" xfId="0" applyFont="1" applyFill="1" applyBorder="1"/>
    <xf numFmtId="0" fontId="182" fillId="30" borderId="219" xfId="0" applyFont="1" applyFill="1" applyBorder="1"/>
    <xf numFmtId="0" fontId="185" fillId="29" borderId="220" xfId="0" applyFont="1" applyFill="1" applyBorder="1"/>
    <xf numFmtId="0" fontId="181" fillId="29" borderId="220" xfId="0" applyFont="1" applyFill="1" applyBorder="1"/>
    <xf numFmtId="0" fontId="177" fillId="29" borderId="220" xfId="0" applyFont="1" applyFill="1" applyBorder="1"/>
    <xf numFmtId="0" fontId="177" fillId="29" borderId="221" xfId="0" applyFont="1" applyFill="1" applyBorder="1"/>
    <xf numFmtId="0" fontId="182" fillId="30" borderId="222" xfId="0" applyFont="1" applyFill="1" applyBorder="1"/>
    <xf numFmtId="37" fontId="176" fillId="29" borderId="160" xfId="0" applyNumberFormat="1" applyFont="1" applyFill="1" applyBorder="1"/>
    <xf numFmtId="0" fontId="176" fillId="29" borderId="163" xfId="0" applyFont="1" applyFill="1" applyBorder="1"/>
    <xf numFmtId="37" fontId="177" fillId="39" borderId="151" xfId="0" applyNumberFormat="1" applyFont="1" applyFill="1" applyBorder="1" applyProtection="1">
      <protection locked="0"/>
    </xf>
    <xf numFmtId="37" fontId="177" fillId="39" borderId="154" xfId="0" applyNumberFormat="1" applyFont="1" applyFill="1" applyBorder="1" applyProtection="1">
      <protection locked="0"/>
    </xf>
    <xf numFmtId="37" fontId="176" fillId="29" borderId="200" xfId="0" applyNumberFormat="1" applyFont="1" applyFill="1" applyBorder="1"/>
    <xf numFmtId="37" fontId="177" fillId="39" borderId="197" xfId="0" applyNumberFormat="1" applyFont="1" applyFill="1" applyBorder="1" applyProtection="1">
      <protection locked="0"/>
    </xf>
    <xf numFmtId="37" fontId="177" fillId="39" borderId="157" xfId="0" applyNumberFormat="1" applyFont="1" applyFill="1" applyBorder="1" applyProtection="1">
      <protection locked="0"/>
    </xf>
    <xf numFmtId="37" fontId="176" fillId="29" borderId="202" xfId="0" applyNumberFormat="1" applyFont="1" applyFill="1" applyBorder="1"/>
    <xf numFmtId="37" fontId="176" fillId="29" borderId="165" xfId="0" applyNumberFormat="1" applyFont="1" applyFill="1" applyBorder="1"/>
    <xf numFmtId="37" fontId="176" fillId="29" borderId="151" xfId="0" applyNumberFormat="1" applyFont="1" applyFill="1" applyBorder="1"/>
    <xf numFmtId="37" fontId="176" fillId="29" borderId="206" xfId="0" applyNumberFormat="1" applyFont="1" applyFill="1" applyBorder="1"/>
    <xf numFmtId="3" fontId="176" fillId="29" borderId="150" xfId="0" applyNumberFormat="1" applyFont="1" applyFill="1" applyBorder="1"/>
    <xf numFmtId="3" fontId="176" fillId="29" borderId="0" xfId="0" applyNumberFormat="1" applyFont="1" applyFill="1"/>
    <xf numFmtId="3" fontId="176" fillId="29" borderId="151" xfId="0" applyNumberFormat="1" applyFont="1" applyFill="1" applyBorder="1"/>
    <xf numFmtId="9" fontId="177" fillId="29" borderId="150" xfId="0" applyNumberFormat="1" applyFont="1" applyFill="1" applyBorder="1"/>
    <xf numFmtId="9" fontId="177" fillId="29" borderId="155" xfId="0" applyNumberFormat="1" applyFont="1" applyFill="1" applyBorder="1"/>
    <xf numFmtId="0" fontId="177" fillId="29" borderId="164" xfId="0" applyFont="1" applyFill="1" applyBorder="1" applyAlignment="1">
      <alignment horizontal="right"/>
    </xf>
    <xf numFmtId="37" fontId="177" fillId="36" borderId="0" xfId="0" applyNumberFormat="1" applyFont="1" applyFill="1" applyProtection="1">
      <protection locked="0"/>
    </xf>
    <xf numFmtId="37" fontId="177" fillId="36" borderId="151" xfId="0" applyNumberFormat="1" applyFont="1" applyFill="1" applyBorder="1" applyProtection="1">
      <protection locked="0"/>
    </xf>
    <xf numFmtId="173" fontId="177" fillId="29" borderId="196" xfId="0" applyNumberFormat="1" applyFont="1" applyFill="1" applyBorder="1" applyProtection="1">
      <protection locked="0"/>
    </xf>
    <xf numFmtId="37" fontId="177" fillId="0" borderId="195" xfId="0" applyNumberFormat="1" applyFont="1" applyBorder="1" applyProtection="1">
      <protection locked="0"/>
    </xf>
    <xf numFmtId="174" fontId="176" fillId="29" borderId="163" xfId="0" applyNumberFormat="1" applyFont="1" applyFill="1" applyBorder="1"/>
    <xf numFmtId="37" fontId="176" fillId="29" borderId="213" xfId="0" applyNumberFormat="1" applyFont="1" applyFill="1" applyBorder="1"/>
    <xf numFmtId="0" fontId="194" fillId="29" borderId="0" xfId="0" applyFont="1" applyFill="1"/>
    <xf numFmtId="37" fontId="177" fillId="36" borderId="197" xfId="0" applyNumberFormat="1" applyFont="1" applyFill="1" applyBorder="1" applyProtection="1">
      <protection locked="0"/>
    </xf>
    <xf numFmtId="37" fontId="177" fillId="39" borderId="154" xfId="0" applyNumberFormat="1" applyFont="1" applyFill="1" applyBorder="1"/>
    <xf numFmtId="37" fontId="176" fillId="29" borderId="168" xfId="0" applyNumberFormat="1" applyFont="1" applyFill="1" applyBorder="1"/>
    <xf numFmtId="37" fontId="182" fillId="29" borderId="170" xfId="0" applyNumberFormat="1" applyFont="1" applyFill="1" applyBorder="1"/>
    <xf numFmtId="37" fontId="182" fillId="29" borderId="216" xfId="0" applyNumberFormat="1" applyFont="1" applyFill="1" applyBorder="1"/>
    <xf numFmtId="37" fontId="181" fillId="39" borderId="172" xfId="0" applyNumberFormat="1" applyFont="1" applyFill="1" applyBorder="1" applyProtection="1">
      <protection locked="0"/>
    </xf>
    <xf numFmtId="37" fontId="181" fillId="36" borderId="172" xfId="0" applyNumberFormat="1" applyFont="1" applyFill="1" applyBorder="1"/>
    <xf numFmtId="37" fontId="181" fillId="36" borderId="172" xfId="0" applyNumberFormat="1" applyFont="1" applyFill="1" applyBorder="1" applyProtection="1">
      <protection locked="0"/>
    </xf>
    <xf numFmtId="37" fontId="181" fillId="36" borderId="170" xfId="0" applyNumberFormat="1" applyFont="1" applyFill="1" applyBorder="1" applyProtection="1">
      <protection locked="0"/>
    </xf>
    <xf numFmtId="37" fontId="181" fillId="40" borderId="218" xfId="0" applyNumberFormat="1" applyFont="1" applyFill="1" applyBorder="1"/>
    <xf numFmtId="0" fontId="184" fillId="31" borderId="217" xfId="0" applyFont="1" applyFill="1" applyBorder="1"/>
    <xf numFmtId="0" fontId="183" fillId="31" borderId="196" xfId="0" applyFont="1" applyFill="1" applyBorder="1"/>
    <xf numFmtId="37" fontId="183" fillId="31" borderId="218" xfId="0" applyNumberFormat="1" applyFont="1" applyFill="1" applyBorder="1"/>
    <xf numFmtId="37" fontId="183" fillId="29" borderId="218" xfId="0" applyNumberFormat="1" applyFont="1" applyFill="1" applyBorder="1"/>
    <xf numFmtId="37" fontId="182" fillId="29" borderId="179" xfId="0" applyNumberFormat="1" applyFont="1" applyFill="1" applyBorder="1"/>
    <xf numFmtId="37" fontId="182" fillId="29" borderId="182" xfId="0" applyNumberFormat="1" applyFont="1" applyFill="1" applyBorder="1"/>
    <xf numFmtId="37" fontId="182" fillId="29" borderId="185" xfId="0" applyNumberFormat="1" applyFont="1" applyFill="1" applyBorder="1"/>
    <xf numFmtId="0" fontId="23" fillId="0" borderId="0" xfId="0" applyFont="1"/>
    <xf numFmtId="184" fontId="21" fillId="36" borderId="1" xfId="11327" applyNumberFormat="1" applyFill="1" applyAlignment="1">
      <alignment horizontal="right" vertical="center"/>
    </xf>
    <xf numFmtId="0" fontId="21" fillId="36" borderId="1" xfId="11327" applyFill="1"/>
    <xf numFmtId="0" fontId="18" fillId="36" borderId="1" xfId="11330" applyFill="1"/>
    <xf numFmtId="184" fontId="18" fillId="36" borderId="1" xfId="11330" applyNumberFormat="1" applyFill="1" applyAlignment="1">
      <alignment horizontal="right" vertical="center"/>
    </xf>
    <xf numFmtId="37" fontId="128" fillId="0" borderId="0" xfId="0" applyNumberFormat="1" applyFont="1"/>
    <xf numFmtId="0" fontId="9" fillId="36" borderId="1" xfId="11339" applyFill="1"/>
    <xf numFmtId="184" fontId="9" fillId="36" borderId="1" xfId="11339" applyNumberFormat="1" applyFill="1" applyAlignment="1">
      <alignment horizontal="right" vertical="center"/>
    </xf>
    <xf numFmtId="0" fontId="136" fillId="0" borderId="0" xfId="0" quotePrefix="1" applyFont="1"/>
    <xf numFmtId="171" fontId="138" fillId="0" borderId="73" xfId="0" applyNumberFormat="1" applyFont="1" applyBorder="1"/>
    <xf numFmtId="0" fontId="130" fillId="0" borderId="20" xfId="0" applyFont="1" applyBorder="1"/>
    <xf numFmtId="0" fontId="130" fillId="5" borderId="92" xfId="0" applyFont="1" applyFill="1" applyBorder="1"/>
    <xf numFmtId="8" fontId="137" fillId="0" borderId="0" xfId="0" applyNumberFormat="1" applyFont="1"/>
    <xf numFmtId="10" fontId="140" fillId="3" borderId="107" xfId="2" applyNumberFormat="1" applyFont="1" applyFill="1" applyBorder="1"/>
    <xf numFmtId="10" fontId="140" fillId="3" borderId="23" xfId="2" applyNumberFormat="1" applyFont="1" applyFill="1" applyBorder="1"/>
    <xf numFmtId="0" fontId="176" fillId="29" borderId="147" xfId="0" applyFont="1" applyFill="1" applyBorder="1" applyAlignment="1">
      <alignment horizontal="center"/>
    </xf>
    <xf numFmtId="0" fontId="176" fillId="29" borderId="148" xfId="0" applyFont="1" applyFill="1" applyBorder="1" applyAlignment="1">
      <alignment horizontal="center"/>
    </xf>
    <xf numFmtId="0" fontId="176" fillId="29" borderId="149" xfId="0" applyFont="1" applyFill="1" applyBorder="1" applyAlignment="1">
      <alignment horizontal="center"/>
    </xf>
    <xf numFmtId="0" fontId="126" fillId="8" borderId="44" xfId="0" applyFont="1" applyFill="1" applyBorder="1" applyAlignment="1">
      <alignment horizontal="center" vertical="center" wrapText="1"/>
    </xf>
    <xf numFmtId="0" fontId="134" fillId="0" borderId="49" xfId="0" applyFont="1" applyBorder="1"/>
    <xf numFmtId="0" fontId="150" fillId="9" borderId="50" xfId="0" applyFont="1" applyFill="1" applyBorder="1" applyAlignment="1">
      <alignment horizontal="center" vertical="center" wrapText="1"/>
    </xf>
    <xf numFmtId="0" fontId="134" fillId="0" borderId="51" xfId="0" applyFont="1" applyBorder="1"/>
    <xf numFmtId="0" fontId="128" fillId="13" borderId="88" xfId="0" applyFont="1" applyFill="1" applyBorder="1" applyAlignment="1">
      <alignment horizontal="left" vertical="top" wrapText="1"/>
    </xf>
    <xf numFmtId="0" fontId="134" fillId="0" borderId="69" xfId="0" applyFont="1" applyBorder="1"/>
    <xf numFmtId="0" fontId="134" fillId="0" borderId="82" xfId="0" applyFont="1" applyBorder="1"/>
    <xf numFmtId="0" fontId="150" fillId="0" borderId="14" xfId="0" applyFont="1" applyBorder="1" applyAlignment="1">
      <alignment horizontal="center"/>
    </xf>
    <xf numFmtId="0" fontId="134" fillId="0" borderId="14" xfId="0" applyFont="1" applyBorder="1"/>
    <xf numFmtId="0" fontId="130" fillId="0" borderId="103" xfId="0" applyFont="1" applyBorder="1" applyAlignment="1">
      <alignment horizontal="center" vertical="center"/>
    </xf>
    <xf numFmtId="0" fontId="134" fillId="0" borderId="101" xfId="0" applyFont="1" applyBorder="1"/>
    <xf numFmtId="0" fontId="134" fillId="0" borderId="104" xfId="0" applyFont="1" applyBorder="1"/>
    <xf numFmtId="0" fontId="130" fillId="0" borderId="17" xfId="0" applyFont="1" applyBorder="1" applyAlignment="1">
      <alignment horizontal="center"/>
    </xf>
    <xf numFmtId="0" fontId="134" fillId="0" borderId="17" xfId="0" applyFont="1" applyBorder="1"/>
    <xf numFmtId="0" fontId="134" fillId="0" borderId="4" xfId="0" applyFont="1" applyBorder="1"/>
    <xf numFmtId="0" fontId="130" fillId="0" borderId="3" xfId="0" applyFont="1" applyBorder="1" applyAlignment="1">
      <alignment horizontal="center"/>
    </xf>
    <xf numFmtId="0" fontId="130" fillId="0" borderId="16" xfId="0" applyFont="1" applyBorder="1" applyAlignment="1">
      <alignment horizontal="center"/>
    </xf>
    <xf numFmtId="0" fontId="134" fillId="0" borderId="18" xfId="0" applyFont="1" applyBorder="1"/>
    <xf numFmtId="0" fontId="130" fillId="0" borderId="101" xfId="0" applyFont="1" applyBorder="1" applyAlignment="1">
      <alignment horizontal="center" vertical="center"/>
    </xf>
    <xf numFmtId="0" fontId="134" fillId="0" borderId="102" xfId="0" applyFont="1" applyBorder="1"/>
    <xf numFmtId="49" fontId="188" fillId="36" borderId="1" xfId="11347" applyNumberFormat="1" applyFont="1" applyFill="1" applyAlignment="1">
      <alignment horizontal="left" vertical="center"/>
    </xf>
    <xf numFmtId="186" fontId="188" fillId="36" borderId="1" xfId="11347" applyNumberFormat="1" applyFont="1" applyFill="1" applyAlignment="1">
      <alignment horizontal="right" vertical="center"/>
    </xf>
    <xf numFmtId="49" fontId="1" fillId="36" borderId="1" xfId="11347" applyNumberFormat="1" applyFill="1" applyAlignment="1">
      <alignment horizontal="left" vertical="center"/>
    </xf>
    <xf numFmtId="0" fontId="1" fillId="36" borderId="1" xfId="11347" applyFill="1"/>
    <xf numFmtId="186" fontId="1" fillId="36" borderId="1" xfId="11347" applyNumberFormat="1" applyFill="1" applyAlignment="1">
      <alignment horizontal="right" vertical="center"/>
    </xf>
    <xf numFmtId="39" fontId="140" fillId="3" borderId="38" xfId="0" applyNumberFormat="1" applyFont="1" applyFill="1" applyBorder="1"/>
  </cellXfs>
  <cellStyles count="11348">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05" xfId="11328" xr:uid="{D0143423-4C8E-4905-A554-2A461D0A64C4}"/>
    <cellStyle name="Normal 106" xfId="11329" xr:uid="{92568BAC-A7D2-4E1C-A8C3-18393B67F002}"/>
    <cellStyle name="Normal 107" xfId="11330" xr:uid="{BF80C9A8-55A5-466D-BD8A-80BCF01F8443}"/>
    <cellStyle name="Normal 108" xfId="11331" xr:uid="{5951A807-0B5C-40CC-98E9-EA2A985469E2}"/>
    <cellStyle name="Normal 109" xfId="11332"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2B1EB9C1-1C03-492C-B059-561C6AE2F0F8}"/>
    <cellStyle name="Normal 111" xfId="11334" xr:uid="{54D57E9B-E435-42AC-AB1B-0902745B57CD}"/>
    <cellStyle name="Normal 112" xfId="11335" xr:uid="{CBAB6FC1-F0EE-49FA-915B-E2F04429EE90}"/>
    <cellStyle name="Normal 113" xfId="11336" xr:uid="{060E957C-7A86-4502-8F00-6BF4902C98C7}"/>
    <cellStyle name="Normal 114" xfId="11337" xr:uid="{3DFDDAFC-B393-481D-9E5B-ED2D8D20316A}"/>
    <cellStyle name="Normal 115" xfId="11338" xr:uid="{D7003C69-E305-46D4-8363-C95D53837EE6}"/>
    <cellStyle name="Normal 116" xfId="11339" xr:uid="{5D5B479C-593E-41C1-BBD2-A8D52CD6C569}"/>
    <cellStyle name="Normal 117" xfId="11340" xr:uid="{AA3E80F9-AEAC-4AB3-8B19-A26266EF5241}"/>
    <cellStyle name="Normal 118" xfId="11341" xr:uid="{D574AFEA-500F-4AA5-AD5A-E7D4589FA517}"/>
    <cellStyle name="Normal 119" xfId="11342" xr:uid="{FA0A5339-3838-40F0-8E2D-372BCA77B0A2}"/>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147B8681-8894-4A3F-80A4-1158D7546484}"/>
    <cellStyle name="Normal 121" xfId="11344" xr:uid="{B37794C7-2146-40A4-A6D3-E402BE5C4766}"/>
    <cellStyle name="Normal 122" xfId="11345" xr:uid="{6C1E77C6-8E6D-4573-8FA4-D6500E558551}"/>
    <cellStyle name="Normal 123" xfId="11346" xr:uid="{D8E6DD4F-C5EF-48C8-B92D-23D423B4E31A}"/>
    <cellStyle name="Normal 124" xfId="11347" xr:uid="{830FD8F3-1D0D-47BF-8D9F-33C5C0AAACD5}"/>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hared%20drives\Volkswagen%20PA%20-%20Contr&#244;leurs\1-%20Dossier%20de%20fin%20de%20mois\a)%20R&#233;alis&#233;\2026\2026-04_R&#233;alis&#233;_VW.xlsx" TargetMode="External"/><Relationship Id="rId1" Type="http://schemas.openxmlformats.org/officeDocument/2006/relationships/externalLinkPath" Target="2026-04_R&#233;alis&#233;_V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E66"/>
          <cell r="F66"/>
          <cell r="G66">
            <v>20000</v>
          </cell>
          <cell r="H66"/>
          <cell r="I66"/>
          <cell r="J66">
            <v>20000</v>
          </cell>
          <cell r="K66"/>
          <cell r="L66"/>
          <cell r="M66">
            <v>20000</v>
          </cell>
          <cell r="N66"/>
          <cell r="O66"/>
          <cell r="P66">
            <v>20000</v>
          </cell>
        </row>
        <row r="67">
          <cell r="E67"/>
          <cell r="F67"/>
          <cell r="G67">
            <v>35000</v>
          </cell>
          <cell r="H67"/>
          <cell r="I67"/>
          <cell r="J67">
            <v>35000</v>
          </cell>
          <cell r="K67"/>
          <cell r="L67"/>
          <cell r="M67">
            <v>35000</v>
          </cell>
          <cell r="N67"/>
          <cell r="O67"/>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sheetData sheetId="20"/>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59">
          <cell r="E59"/>
          <cell r="F59"/>
          <cell r="G59"/>
          <cell r="H59"/>
          <cell r="I59"/>
          <cell r="J59"/>
          <cell r="K59"/>
          <cell r="L59"/>
          <cell r="M59"/>
          <cell r="N59"/>
          <cell r="O59"/>
          <cell r="P59"/>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13">
          <cell r="E113"/>
          <cell r="F113"/>
          <cell r="G113"/>
          <cell r="H113"/>
          <cell r="I113"/>
          <cell r="J113"/>
          <cell r="K113"/>
          <cell r="L113"/>
          <cell r="M113"/>
          <cell r="N113"/>
          <cell r="O113"/>
          <cell r="P113"/>
        </row>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4"/>
      <sheetName val="Capex"/>
      <sheetName val="Inventaire_Used"/>
      <sheetName val="Inventaire_Neuf"/>
      <sheetName val="2pager"/>
      <sheetName val="Print_Mois"/>
      <sheetName val="Print_AAD"/>
      <sheetName val="BV_Data_An_Cour"/>
      <sheetName val="Data_Validation"/>
      <sheetName val="BV_Data_An_Prec"/>
      <sheetName val="Feuil1"/>
    </sheetNames>
    <sheetDataSet>
      <sheetData sheetId="0"/>
      <sheetData sheetId="1"/>
      <sheetData sheetId="2">
        <row r="3">
          <cell r="C3"/>
          <cell r="D3"/>
          <cell r="E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35986166.683812752</v>
          </cell>
          <cell r="F8"/>
          <cell r="G8"/>
          <cell r="H8">
            <v>2377394.8341759224</v>
          </cell>
          <cell r="I8"/>
          <cell r="J8"/>
          <cell r="K8">
            <v>2560324.3607109338</v>
          </cell>
          <cell r="L8"/>
          <cell r="M8"/>
          <cell r="N8">
            <v>3684432.777128791</v>
          </cell>
          <cell r="O8"/>
          <cell r="P8"/>
          <cell r="Q8">
            <v>3774495.5264300373</v>
          </cell>
          <cell r="R8"/>
          <cell r="S8"/>
          <cell r="T8">
            <v>3914068.8819650481</v>
          </cell>
          <cell r="U8"/>
          <cell r="V8"/>
          <cell r="W8">
            <v>3544859.4215937797</v>
          </cell>
          <cell r="X8"/>
          <cell r="Y8"/>
          <cell r="Z8">
            <v>3172845.9332899912</v>
          </cell>
          <cell r="AA8"/>
          <cell r="AB8"/>
          <cell r="AC8">
            <v>2888981.6780147222</v>
          </cell>
          <cell r="AD8"/>
          <cell r="AE8"/>
          <cell r="AF8">
            <v>2798918.9287134763</v>
          </cell>
          <cell r="AG8"/>
          <cell r="AH8"/>
          <cell r="AI8">
            <v>2749408.3224797109</v>
          </cell>
          <cell r="AJ8"/>
          <cell r="AK8"/>
          <cell r="AL8">
            <v>2426905.4404096878</v>
          </cell>
          <cell r="AM8"/>
          <cell r="AN8"/>
          <cell r="AO8">
            <v>2093530.5789006527</v>
          </cell>
        </row>
        <row r="9">
          <cell r="A9" t="str">
            <v>Véhicules neufsAutos détail</v>
          </cell>
          <cell r="C9">
            <v>197</v>
          </cell>
          <cell r="D9">
            <v>1839.3978952721661</v>
          </cell>
          <cell r="E9">
            <v>362361.38536861673</v>
          </cell>
          <cell r="F9">
            <v>13</v>
          </cell>
          <cell r="G9">
            <v>1839.3978952721661</v>
          </cell>
          <cell r="H9">
            <v>23912.172638538159</v>
          </cell>
          <cell r="I9">
            <v>14</v>
          </cell>
          <cell r="J9">
            <v>1839.3978952721661</v>
          </cell>
          <cell r="K9">
            <v>25751.570533810325</v>
          </cell>
          <cell r="L9">
            <v>20</v>
          </cell>
          <cell r="M9">
            <v>1839.3978952721659</v>
          </cell>
          <cell r="N9">
            <v>36787.95790544332</v>
          </cell>
          <cell r="O9">
            <v>21</v>
          </cell>
          <cell r="P9">
            <v>1839.3978952721659</v>
          </cell>
          <cell r="Q9">
            <v>38627.355800715486</v>
          </cell>
          <cell r="R9">
            <v>22</v>
          </cell>
          <cell r="S9">
            <v>1839.3978952721661</v>
          </cell>
          <cell r="T9">
            <v>40466.753695987652</v>
          </cell>
          <cell r="U9">
            <v>19</v>
          </cell>
          <cell r="V9">
            <v>1839.3978952721659</v>
          </cell>
          <cell r="W9">
            <v>34948.560010171153</v>
          </cell>
          <cell r="X9">
            <v>17</v>
          </cell>
          <cell r="Y9">
            <v>1839.3978952721661</v>
          </cell>
          <cell r="Z9">
            <v>31269.764219626824</v>
          </cell>
          <cell r="AA9">
            <v>16</v>
          </cell>
          <cell r="AB9">
            <v>1839.3978952721661</v>
          </cell>
          <cell r="AC9">
            <v>29430.366324354658</v>
          </cell>
          <cell r="AD9">
            <v>15</v>
          </cell>
          <cell r="AE9">
            <v>1839.3978952721661</v>
          </cell>
          <cell r="AF9">
            <v>27590.968429082492</v>
          </cell>
          <cell r="AG9">
            <v>15</v>
          </cell>
          <cell r="AH9">
            <v>1839.3978952721661</v>
          </cell>
          <cell r="AI9">
            <v>27590.968429082492</v>
          </cell>
          <cell r="AJ9">
            <v>13</v>
          </cell>
          <cell r="AK9">
            <v>1839.3978952721661</v>
          </cell>
          <cell r="AL9">
            <v>23912.172638538159</v>
          </cell>
          <cell r="AM9">
            <v>12</v>
          </cell>
          <cell r="AN9">
            <v>1839.3978952721661</v>
          </cell>
          <cell r="AO9">
            <v>22072.774743265993</v>
          </cell>
        </row>
        <row r="10">
          <cell r="A10" t="str">
            <v>Véhicules neufsCamions détail</v>
          </cell>
          <cell r="C10">
            <v>486</v>
          </cell>
          <cell r="D10">
            <v>2490.3910628837116</v>
          </cell>
          <cell r="E10">
            <v>1210330.0565614838</v>
          </cell>
          <cell r="F10">
            <v>32</v>
          </cell>
          <cell r="G10">
            <v>2490.391062883712</v>
          </cell>
          <cell r="H10">
            <v>79692.514012278785</v>
          </cell>
          <cell r="I10">
            <v>34</v>
          </cell>
          <cell r="J10">
            <v>2490.391062883712</v>
          </cell>
          <cell r="K10">
            <v>84673.296138046207</v>
          </cell>
          <cell r="L10">
            <v>50</v>
          </cell>
          <cell r="M10">
            <v>2490.391062883712</v>
          </cell>
          <cell r="N10">
            <v>124519.5531441856</v>
          </cell>
          <cell r="O10">
            <v>51</v>
          </cell>
          <cell r="P10">
            <v>2490.391062883712</v>
          </cell>
          <cell r="Q10">
            <v>127009.94420706932</v>
          </cell>
          <cell r="R10">
            <v>53</v>
          </cell>
          <cell r="S10">
            <v>2490.391062883712</v>
          </cell>
          <cell r="T10">
            <v>131990.72633283673</v>
          </cell>
          <cell r="U10">
            <v>48</v>
          </cell>
          <cell r="V10">
            <v>2490.391062883712</v>
          </cell>
          <cell r="W10">
            <v>119538.77101841818</v>
          </cell>
          <cell r="X10">
            <v>43</v>
          </cell>
          <cell r="Y10">
            <v>2490.391062883712</v>
          </cell>
          <cell r="Z10">
            <v>107086.81570399961</v>
          </cell>
          <cell r="AA10">
            <v>39</v>
          </cell>
          <cell r="AB10">
            <v>2490.391062883712</v>
          </cell>
          <cell r="AC10">
            <v>97125.25145246477</v>
          </cell>
          <cell r="AD10">
            <v>38</v>
          </cell>
          <cell r="AE10">
            <v>2490.391062883712</v>
          </cell>
          <cell r="AF10">
            <v>94634.860389581052</v>
          </cell>
          <cell r="AG10">
            <v>37</v>
          </cell>
          <cell r="AH10">
            <v>2490.391062883712</v>
          </cell>
          <cell r="AI10">
            <v>92144.469326697348</v>
          </cell>
          <cell r="AJ10">
            <v>33</v>
          </cell>
          <cell r="AK10">
            <v>2490.391062883712</v>
          </cell>
          <cell r="AL10">
            <v>82182.905075162504</v>
          </cell>
          <cell r="AM10">
            <v>28</v>
          </cell>
          <cell r="AN10">
            <v>2490.391062883712</v>
          </cell>
          <cell r="AO10">
            <v>69730.949760743941</v>
          </cell>
        </row>
        <row r="11">
          <cell r="A11" t="str">
            <v>Véhicules neufsSprinter</v>
          </cell>
          <cell r="C11">
            <v>0</v>
          </cell>
          <cell r="D11">
            <v>0</v>
          </cell>
          <cell r="E11">
            <v>0</v>
          </cell>
          <cell r="F11"/>
          <cell r="G11">
            <v>0</v>
          </cell>
          <cell r="H11"/>
          <cell r="I11"/>
          <cell r="J11">
            <v>0</v>
          </cell>
          <cell r="K11"/>
          <cell r="L11"/>
          <cell r="M11">
            <v>0</v>
          </cell>
          <cell r="N11"/>
          <cell r="O11"/>
          <cell r="P11">
            <v>0</v>
          </cell>
          <cell r="Q11"/>
          <cell r="R11"/>
          <cell r="S11">
            <v>0</v>
          </cell>
          <cell r="T11"/>
          <cell r="U11"/>
          <cell r="V11">
            <v>0</v>
          </cell>
          <cell r="W11"/>
          <cell r="X11"/>
          <cell r="Y11">
            <v>0</v>
          </cell>
          <cell r="Z11"/>
          <cell r="AA11"/>
          <cell r="AB11">
            <v>0</v>
          </cell>
          <cell r="AC11"/>
          <cell r="AD11"/>
          <cell r="AE11">
            <v>0</v>
          </cell>
          <cell r="AF11"/>
          <cell r="AG11"/>
          <cell r="AH11">
            <v>0</v>
          </cell>
          <cell r="AI11"/>
          <cell r="AJ11"/>
          <cell r="AK11">
            <v>0</v>
          </cell>
          <cell r="AL11"/>
          <cell r="AM11"/>
          <cell r="AN11">
            <v>0</v>
          </cell>
          <cell r="AO11"/>
        </row>
        <row r="12">
          <cell r="A12" t="str">
            <v>Véhicules neufsMoto détail</v>
          </cell>
          <cell r="C12">
            <v>0</v>
          </cell>
          <cell r="D12">
            <v>0</v>
          </cell>
          <cell r="E12">
            <v>0</v>
          </cell>
          <cell r="F12"/>
          <cell r="G12">
            <v>0</v>
          </cell>
          <cell r="H12"/>
          <cell r="I12"/>
          <cell r="J12">
            <v>0</v>
          </cell>
          <cell r="K12"/>
          <cell r="L12"/>
          <cell r="M12">
            <v>0</v>
          </cell>
          <cell r="N12"/>
          <cell r="O12"/>
          <cell r="P12">
            <v>0</v>
          </cell>
          <cell r="Q12"/>
          <cell r="R12"/>
          <cell r="S12">
            <v>0</v>
          </cell>
          <cell r="T12"/>
          <cell r="U12"/>
          <cell r="V12">
            <v>0</v>
          </cell>
          <cell r="W12"/>
          <cell r="X12"/>
          <cell r="Y12">
            <v>0</v>
          </cell>
          <cell r="Z12"/>
          <cell r="AA12"/>
          <cell r="AB12">
            <v>0</v>
          </cell>
          <cell r="AC12"/>
          <cell r="AD12"/>
          <cell r="AE12">
            <v>0</v>
          </cell>
          <cell r="AF12"/>
          <cell r="AG12"/>
          <cell r="AH12">
            <v>0</v>
          </cell>
          <cell r="AI12"/>
          <cell r="AJ12"/>
          <cell r="AK12">
            <v>0</v>
          </cell>
          <cell r="AL12"/>
          <cell r="AM12"/>
          <cell r="AN12">
            <v>0</v>
          </cell>
          <cell r="AO12"/>
        </row>
        <row r="13">
          <cell r="A13" t="str">
            <v>Véhicules neufs[...]</v>
          </cell>
          <cell r="C13">
            <v>0</v>
          </cell>
          <cell r="D13">
            <v>0</v>
          </cell>
          <cell r="E13">
            <v>0</v>
          </cell>
          <cell r="F13"/>
          <cell r="G13">
            <v>0</v>
          </cell>
          <cell r="H13"/>
          <cell r="I13"/>
          <cell r="J13">
            <v>0</v>
          </cell>
          <cell r="K13"/>
          <cell r="L13"/>
          <cell r="M13">
            <v>0</v>
          </cell>
          <cell r="N13"/>
          <cell r="O13"/>
          <cell r="P13">
            <v>0</v>
          </cell>
          <cell r="Q13"/>
          <cell r="R13"/>
          <cell r="S13">
            <v>0</v>
          </cell>
          <cell r="T13"/>
          <cell r="U13"/>
          <cell r="V13">
            <v>0</v>
          </cell>
          <cell r="W13"/>
          <cell r="X13"/>
          <cell r="Y13">
            <v>0</v>
          </cell>
          <cell r="Z13"/>
          <cell r="AA13"/>
          <cell r="AB13">
            <v>0</v>
          </cell>
          <cell r="AC13"/>
          <cell r="AD13"/>
          <cell r="AE13">
            <v>0</v>
          </cell>
          <cell r="AF13"/>
          <cell r="AG13"/>
          <cell r="AH13">
            <v>0</v>
          </cell>
          <cell r="AI13"/>
          <cell r="AJ13"/>
          <cell r="AK13">
            <v>0</v>
          </cell>
          <cell r="AL13"/>
          <cell r="AM13"/>
          <cell r="AN13">
            <v>0</v>
          </cell>
          <cell r="AO13"/>
        </row>
        <row r="14">
          <cell r="A14" t="str">
            <v>Véhicules neufs[...]</v>
          </cell>
          <cell r="C14">
            <v>0</v>
          </cell>
          <cell r="D14">
            <v>0</v>
          </cell>
          <cell r="E14">
            <v>0</v>
          </cell>
          <cell r="F14"/>
          <cell r="G14">
            <v>0</v>
          </cell>
          <cell r="H14"/>
          <cell r="I14"/>
          <cell r="J14">
            <v>0</v>
          </cell>
          <cell r="K14"/>
          <cell r="L14"/>
          <cell r="M14">
            <v>0</v>
          </cell>
          <cell r="N14"/>
          <cell r="O14"/>
          <cell r="P14">
            <v>0</v>
          </cell>
          <cell r="Q14"/>
          <cell r="R14"/>
          <cell r="S14">
            <v>0</v>
          </cell>
          <cell r="T14"/>
          <cell r="U14"/>
          <cell r="V14">
            <v>0</v>
          </cell>
          <cell r="W14"/>
          <cell r="X14"/>
          <cell r="Y14">
            <v>0</v>
          </cell>
          <cell r="Z14"/>
          <cell r="AA14"/>
          <cell r="AB14">
            <v>0</v>
          </cell>
          <cell r="AC14"/>
          <cell r="AD14"/>
          <cell r="AE14">
            <v>0</v>
          </cell>
          <cell r="AF14"/>
          <cell r="AG14"/>
          <cell r="AH14">
            <v>0</v>
          </cell>
          <cell r="AI14"/>
          <cell r="AJ14"/>
          <cell r="AK14">
            <v>0</v>
          </cell>
          <cell r="AL14"/>
          <cell r="AM14"/>
          <cell r="AN14">
            <v>0</v>
          </cell>
          <cell r="AO14"/>
        </row>
        <row r="15">
          <cell r="A15" t="str">
            <v>Véhicules neufs[...]</v>
          </cell>
          <cell r="C15">
            <v>0</v>
          </cell>
          <cell r="D15">
            <v>0</v>
          </cell>
          <cell r="E15">
            <v>0</v>
          </cell>
          <cell r="F15"/>
          <cell r="G15">
            <v>0</v>
          </cell>
          <cell r="H15"/>
          <cell r="I15"/>
          <cell r="J15">
            <v>0</v>
          </cell>
          <cell r="K15"/>
          <cell r="L15"/>
          <cell r="M15">
            <v>0</v>
          </cell>
          <cell r="N15"/>
          <cell r="O15"/>
          <cell r="P15">
            <v>0</v>
          </cell>
          <cell r="Q15"/>
          <cell r="R15"/>
          <cell r="S15">
            <v>0</v>
          </cell>
          <cell r="T15"/>
          <cell r="U15"/>
          <cell r="V15">
            <v>0</v>
          </cell>
          <cell r="W15"/>
          <cell r="X15"/>
          <cell r="Y15">
            <v>0</v>
          </cell>
          <cell r="Z15"/>
          <cell r="AA15"/>
          <cell r="AB15">
            <v>0</v>
          </cell>
          <cell r="AC15"/>
          <cell r="AD15"/>
          <cell r="AE15">
            <v>0</v>
          </cell>
          <cell r="AF15"/>
          <cell r="AG15"/>
          <cell r="AH15">
            <v>0</v>
          </cell>
          <cell r="AI15"/>
          <cell r="AJ15"/>
          <cell r="AK15">
            <v>0</v>
          </cell>
          <cell r="AL15"/>
          <cell r="AM15"/>
          <cell r="AN15">
            <v>0</v>
          </cell>
          <cell r="AO15"/>
        </row>
        <row r="16">
          <cell r="A16" t="str">
            <v>Véhicules neufsTotal Neufs</v>
          </cell>
          <cell r="C16">
            <v>683</v>
          </cell>
          <cell r="D16">
            <v>2302.6229018010258</v>
          </cell>
          <cell r="E16">
            <v>1572691.4419301006</v>
          </cell>
          <cell r="F16">
            <v>45</v>
          </cell>
          <cell r="G16">
            <v>2302.3263700181542</v>
          </cell>
          <cell r="H16">
            <v>103604.68665081695</v>
          </cell>
          <cell r="I16">
            <v>48</v>
          </cell>
          <cell r="J16">
            <v>2300.5180556636778</v>
          </cell>
          <cell r="K16">
            <v>110424.86667185654</v>
          </cell>
          <cell r="L16">
            <v>70</v>
          </cell>
          <cell r="M16">
            <v>2304.3930149946991</v>
          </cell>
          <cell r="N16">
            <v>161307.51104962893</v>
          </cell>
          <cell r="O16">
            <v>72</v>
          </cell>
          <cell r="P16">
            <v>2300.5180556636778</v>
          </cell>
          <cell r="Q16">
            <v>165637.3000077848</v>
          </cell>
          <cell r="R16">
            <v>75</v>
          </cell>
          <cell r="S16">
            <v>2299.4330670509917</v>
          </cell>
          <cell r="T16">
            <v>172457.48002882439</v>
          </cell>
          <cell r="U16">
            <v>67</v>
          </cell>
          <cell r="V16">
            <v>2305.781060128199</v>
          </cell>
          <cell r="W16">
            <v>154487.33102858934</v>
          </cell>
          <cell r="X16">
            <v>60</v>
          </cell>
          <cell r="Y16">
            <v>2305.9429987271074</v>
          </cell>
          <cell r="Z16">
            <v>138356.57992362644</v>
          </cell>
          <cell r="AA16">
            <v>55</v>
          </cell>
          <cell r="AB16">
            <v>2301.0112323058079</v>
          </cell>
          <cell r="AC16">
            <v>126555.61777681943</v>
          </cell>
          <cell r="AD16">
            <v>53</v>
          </cell>
          <cell r="AE16">
            <v>2306.1477135596897</v>
          </cell>
          <cell r="AF16">
            <v>122225.82881866355</v>
          </cell>
          <cell r="AG16">
            <v>52</v>
          </cell>
          <cell r="AH16">
            <v>2302.6045722265353</v>
          </cell>
          <cell r="AI16">
            <v>119735.43775577984</v>
          </cell>
          <cell r="AJ16">
            <v>46</v>
          </cell>
          <cell r="AK16">
            <v>2306.4147329065363</v>
          </cell>
          <cell r="AL16">
            <v>106095.07771370067</v>
          </cell>
          <cell r="AM16">
            <v>40</v>
          </cell>
          <cell r="AN16">
            <v>2295.0931126002483</v>
          </cell>
          <cell r="AO16">
            <v>91803.724504009937</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40</v>
          </cell>
          <cell r="D18">
            <v>1524.8245365854229</v>
          </cell>
          <cell r="E18">
            <v>60992.981463416916</v>
          </cell>
          <cell r="F18">
            <v>3</v>
          </cell>
          <cell r="G18">
            <v>1524.8245365854227</v>
          </cell>
          <cell r="H18">
            <v>4574.4736097562682</v>
          </cell>
          <cell r="I18">
            <v>3</v>
          </cell>
          <cell r="J18">
            <v>1524.8245365854227</v>
          </cell>
          <cell r="K18">
            <v>4574.4736097562682</v>
          </cell>
          <cell r="L18">
            <v>4</v>
          </cell>
          <cell r="M18">
            <v>1524.8245365854227</v>
          </cell>
          <cell r="N18">
            <v>6099.2981463416909</v>
          </cell>
          <cell r="O18">
            <v>4</v>
          </cell>
          <cell r="P18">
            <v>1524.8245365854227</v>
          </cell>
          <cell r="Q18">
            <v>6099.2981463416909</v>
          </cell>
          <cell r="R18">
            <v>4</v>
          </cell>
          <cell r="S18">
            <v>1524.8245365854227</v>
          </cell>
          <cell r="T18">
            <v>6099.2981463416909</v>
          </cell>
          <cell r="U18">
            <v>4</v>
          </cell>
          <cell r="V18">
            <v>1524.8245365854227</v>
          </cell>
          <cell r="W18">
            <v>6099.2981463416909</v>
          </cell>
          <cell r="X18">
            <v>4</v>
          </cell>
          <cell r="Y18">
            <v>1524.8245365854227</v>
          </cell>
          <cell r="Z18">
            <v>6099.2981463416909</v>
          </cell>
          <cell r="AA18">
            <v>3</v>
          </cell>
          <cell r="AB18">
            <v>1524.8245365854227</v>
          </cell>
          <cell r="AC18">
            <v>4574.4736097562682</v>
          </cell>
          <cell r="AD18">
            <v>3</v>
          </cell>
          <cell r="AE18">
            <v>1524.8245365854227</v>
          </cell>
          <cell r="AF18">
            <v>4574.4736097562682</v>
          </cell>
          <cell r="AG18">
            <v>3</v>
          </cell>
          <cell r="AH18">
            <v>1524.8245365854227</v>
          </cell>
          <cell r="AI18">
            <v>4574.4736097562682</v>
          </cell>
          <cell r="AJ18">
            <v>3</v>
          </cell>
          <cell r="AK18">
            <v>1524.8245365854227</v>
          </cell>
          <cell r="AL18">
            <v>4574.4736097562682</v>
          </cell>
          <cell r="AM18">
            <v>2</v>
          </cell>
          <cell r="AN18">
            <v>1524.8245365854227</v>
          </cell>
          <cell r="AO18">
            <v>3049.6490731708454</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49</v>
          </cell>
          <cell r="D20">
            <v>1300.6851300000001</v>
          </cell>
          <cell r="E20">
            <v>63733.571370000005</v>
          </cell>
          <cell r="F20">
            <v>3</v>
          </cell>
          <cell r="G20">
            <v>1300.6851300000001</v>
          </cell>
          <cell r="H20">
            <v>3902.0553900000004</v>
          </cell>
          <cell r="I20">
            <v>4</v>
          </cell>
          <cell r="J20">
            <v>1300.6851300000001</v>
          </cell>
          <cell r="K20">
            <v>5202.7405200000003</v>
          </cell>
          <cell r="L20">
            <v>5</v>
          </cell>
          <cell r="M20">
            <v>1300.6851300000001</v>
          </cell>
          <cell r="N20">
            <v>6503.4256500000001</v>
          </cell>
          <cell r="O20">
            <v>5</v>
          </cell>
          <cell r="P20">
            <v>1300.6851300000001</v>
          </cell>
          <cell r="Q20">
            <v>6503.4256500000001</v>
          </cell>
          <cell r="R20">
            <v>5</v>
          </cell>
          <cell r="S20">
            <v>1300.6851300000001</v>
          </cell>
          <cell r="T20">
            <v>6503.4256500000001</v>
          </cell>
          <cell r="U20">
            <v>5</v>
          </cell>
          <cell r="V20">
            <v>1300.6851300000001</v>
          </cell>
          <cell r="W20">
            <v>6503.4256500000001</v>
          </cell>
          <cell r="X20">
            <v>4</v>
          </cell>
          <cell r="Y20">
            <v>1300.6851300000001</v>
          </cell>
          <cell r="Z20">
            <v>5202.7405200000003</v>
          </cell>
          <cell r="AA20">
            <v>4</v>
          </cell>
          <cell r="AB20">
            <v>1300.6851300000001</v>
          </cell>
          <cell r="AC20">
            <v>5202.7405200000003</v>
          </cell>
          <cell r="AD20">
            <v>4</v>
          </cell>
          <cell r="AE20">
            <v>1300.6851300000001</v>
          </cell>
          <cell r="AF20">
            <v>5202.7405200000003</v>
          </cell>
          <cell r="AG20">
            <v>4</v>
          </cell>
          <cell r="AH20">
            <v>1300.6851300000001</v>
          </cell>
          <cell r="AI20">
            <v>5202.7405200000003</v>
          </cell>
          <cell r="AJ20">
            <v>3</v>
          </cell>
          <cell r="AK20">
            <v>1300.6851300000001</v>
          </cell>
          <cell r="AL20">
            <v>3902.0553900000004</v>
          </cell>
          <cell r="AM20">
            <v>3</v>
          </cell>
          <cell r="AN20">
            <v>1300.6851300000001</v>
          </cell>
          <cell r="AO20">
            <v>3902.0553900000004</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99999.999999999985</v>
          </cell>
          <cell r="F22"/>
          <cell r="G22"/>
          <cell r="H22">
            <v>6607.929515418502</v>
          </cell>
          <cell r="I22"/>
          <cell r="J22"/>
          <cell r="K22">
            <v>7048.4581497797362</v>
          </cell>
          <cell r="L22"/>
          <cell r="M22"/>
          <cell r="N22">
            <v>10279.00146842878</v>
          </cell>
          <cell r="O22"/>
          <cell r="P22"/>
          <cell r="Q22">
            <v>10425.844346549193</v>
          </cell>
          <cell r="R22"/>
          <cell r="S22"/>
          <cell r="T22">
            <v>10866.372980910426</v>
          </cell>
          <cell r="U22"/>
          <cell r="V22"/>
          <cell r="W22">
            <v>9838.4728340675483</v>
          </cell>
          <cell r="X22"/>
          <cell r="Y22"/>
          <cell r="Z22">
            <v>8810.5726872246705</v>
          </cell>
          <cell r="AA22"/>
          <cell r="AB22"/>
          <cell r="AC22">
            <v>8076.358296622614</v>
          </cell>
          <cell r="AD22"/>
          <cell r="AE22"/>
          <cell r="AF22">
            <v>7782.6725403817909</v>
          </cell>
          <cell r="AG22"/>
          <cell r="AH22"/>
          <cell r="AI22">
            <v>7635.8296622613798</v>
          </cell>
          <cell r="AJ22"/>
          <cell r="AK22"/>
          <cell r="AL22">
            <v>6754.7723935389131</v>
          </cell>
          <cell r="AM22"/>
          <cell r="AN22"/>
          <cell r="AO22">
            <v>5873.7151248164464</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50</v>
          </cell>
          <cell r="E24">
            <v>36150</v>
          </cell>
          <cell r="F24"/>
          <cell r="G24">
            <v>50</v>
          </cell>
          <cell r="H24">
            <v>2400</v>
          </cell>
          <cell r="I24"/>
          <cell r="J24">
            <v>50</v>
          </cell>
          <cell r="K24">
            <v>2550</v>
          </cell>
          <cell r="L24"/>
          <cell r="M24">
            <v>50</v>
          </cell>
          <cell r="N24">
            <v>3700</v>
          </cell>
          <cell r="O24"/>
          <cell r="P24">
            <v>50</v>
          </cell>
          <cell r="Q24">
            <v>3800</v>
          </cell>
          <cell r="R24"/>
          <cell r="S24">
            <v>50</v>
          </cell>
          <cell r="T24">
            <v>3950</v>
          </cell>
          <cell r="U24"/>
          <cell r="V24">
            <v>50</v>
          </cell>
          <cell r="W24">
            <v>3550</v>
          </cell>
          <cell r="X24"/>
          <cell r="Y24">
            <v>50</v>
          </cell>
          <cell r="Z24">
            <v>3200</v>
          </cell>
          <cell r="AA24"/>
          <cell r="AB24">
            <v>50</v>
          </cell>
          <cell r="AC24">
            <v>2900</v>
          </cell>
          <cell r="AD24"/>
          <cell r="AE24">
            <v>50</v>
          </cell>
          <cell r="AF24">
            <v>2800</v>
          </cell>
          <cell r="AG24"/>
          <cell r="AH24">
            <v>50</v>
          </cell>
          <cell r="AI24">
            <v>2750</v>
          </cell>
          <cell r="AJ24"/>
          <cell r="AK24">
            <v>50</v>
          </cell>
          <cell r="AL24">
            <v>2450</v>
          </cell>
          <cell r="AM24"/>
          <cell r="AN24">
            <v>50</v>
          </cell>
          <cell r="AO24">
            <v>2100</v>
          </cell>
        </row>
        <row r="25">
          <cell r="A25" t="str">
            <v>Véhicules neufsRev. Protections</v>
          </cell>
          <cell r="C25"/>
          <cell r="D25">
            <v>1130</v>
          </cell>
          <cell r="E25">
            <v>816990</v>
          </cell>
          <cell r="F25"/>
          <cell r="G25">
            <v>1130</v>
          </cell>
          <cell r="H25">
            <v>54240</v>
          </cell>
          <cell r="I25"/>
          <cell r="J25">
            <v>1130</v>
          </cell>
          <cell r="K25">
            <v>57630</v>
          </cell>
          <cell r="L25"/>
          <cell r="M25">
            <v>1130</v>
          </cell>
          <cell r="N25">
            <v>83620</v>
          </cell>
          <cell r="O25"/>
          <cell r="P25">
            <v>1130</v>
          </cell>
          <cell r="Q25">
            <v>85880</v>
          </cell>
          <cell r="R25"/>
          <cell r="S25">
            <v>1130</v>
          </cell>
          <cell r="T25">
            <v>89270</v>
          </cell>
          <cell r="U25"/>
          <cell r="V25">
            <v>1130</v>
          </cell>
          <cell r="W25">
            <v>80230</v>
          </cell>
          <cell r="X25"/>
          <cell r="Y25">
            <v>1130</v>
          </cell>
          <cell r="Z25">
            <v>72320</v>
          </cell>
          <cell r="AA25"/>
          <cell r="AB25">
            <v>1130</v>
          </cell>
          <cell r="AC25">
            <v>65540</v>
          </cell>
          <cell r="AD25"/>
          <cell r="AE25">
            <v>1130</v>
          </cell>
          <cell r="AF25">
            <v>63280</v>
          </cell>
          <cell r="AG25"/>
          <cell r="AH25">
            <v>1130</v>
          </cell>
          <cell r="AI25">
            <v>62150</v>
          </cell>
          <cell r="AJ25"/>
          <cell r="AK25">
            <v>1130</v>
          </cell>
          <cell r="AL25">
            <v>55370</v>
          </cell>
          <cell r="AM25"/>
          <cell r="AN25">
            <v>1130</v>
          </cell>
          <cell r="AO25">
            <v>47460</v>
          </cell>
        </row>
        <row r="26">
          <cell r="A26" t="str">
            <v>Véhicules neufsRev. Autres</v>
          </cell>
          <cell r="C26"/>
          <cell r="D26">
            <v>20</v>
          </cell>
          <cell r="E26">
            <v>14460</v>
          </cell>
          <cell r="F26"/>
          <cell r="G26">
            <v>20</v>
          </cell>
          <cell r="H26">
            <v>960</v>
          </cell>
          <cell r="I26"/>
          <cell r="J26">
            <v>20</v>
          </cell>
          <cell r="K26">
            <v>1020</v>
          </cell>
          <cell r="L26"/>
          <cell r="M26">
            <v>20</v>
          </cell>
          <cell r="N26">
            <v>1480</v>
          </cell>
          <cell r="O26"/>
          <cell r="P26">
            <v>20</v>
          </cell>
          <cell r="Q26">
            <v>1520</v>
          </cell>
          <cell r="R26"/>
          <cell r="S26">
            <v>20</v>
          </cell>
          <cell r="T26">
            <v>1580</v>
          </cell>
          <cell r="U26"/>
          <cell r="V26">
            <v>20</v>
          </cell>
          <cell r="W26">
            <v>1420</v>
          </cell>
          <cell r="X26"/>
          <cell r="Y26">
            <v>20</v>
          </cell>
          <cell r="Z26">
            <v>1280</v>
          </cell>
          <cell r="AA26"/>
          <cell r="AB26">
            <v>20</v>
          </cell>
          <cell r="AC26">
            <v>1160</v>
          </cell>
          <cell r="AD26"/>
          <cell r="AE26">
            <v>20</v>
          </cell>
          <cell r="AF26">
            <v>1120</v>
          </cell>
          <cell r="AG26"/>
          <cell r="AH26">
            <v>20</v>
          </cell>
          <cell r="AI26">
            <v>1100</v>
          </cell>
          <cell r="AJ26"/>
          <cell r="AK26">
            <v>20</v>
          </cell>
          <cell r="AL26">
            <v>980</v>
          </cell>
          <cell r="AM26"/>
          <cell r="AN26">
            <v>20</v>
          </cell>
          <cell r="AO26">
            <v>840</v>
          </cell>
        </row>
        <row r="27">
          <cell r="A27" t="str">
            <v>Véhicules neufsTotal F&amp;I</v>
          </cell>
          <cell r="C27">
            <v>723</v>
          </cell>
          <cell r="D27">
            <v>1200</v>
          </cell>
          <cell r="E27">
            <v>867600</v>
          </cell>
          <cell r="F27">
            <v>48</v>
          </cell>
          <cell r="G27">
            <v>1200</v>
          </cell>
          <cell r="H27">
            <v>57600</v>
          </cell>
          <cell r="I27">
            <v>51</v>
          </cell>
          <cell r="J27">
            <v>1200</v>
          </cell>
          <cell r="K27">
            <v>61200</v>
          </cell>
          <cell r="L27">
            <v>74</v>
          </cell>
          <cell r="M27">
            <v>1200</v>
          </cell>
          <cell r="N27">
            <v>88800</v>
          </cell>
          <cell r="O27">
            <v>76</v>
          </cell>
          <cell r="P27">
            <v>1200</v>
          </cell>
          <cell r="Q27">
            <v>91200</v>
          </cell>
          <cell r="R27">
            <v>79</v>
          </cell>
          <cell r="S27">
            <v>1200</v>
          </cell>
          <cell r="T27">
            <v>94800</v>
          </cell>
          <cell r="U27">
            <v>71</v>
          </cell>
          <cell r="V27">
            <v>1200</v>
          </cell>
          <cell r="W27">
            <v>85200</v>
          </cell>
          <cell r="X27">
            <v>64</v>
          </cell>
          <cell r="Y27">
            <v>1200</v>
          </cell>
          <cell r="Z27">
            <v>76800</v>
          </cell>
          <cell r="AA27">
            <v>58</v>
          </cell>
          <cell r="AB27">
            <v>1200</v>
          </cell>
          <cell r="AC27">
            <v>69600</v>
          </cell>
          <cell r="AD27">
            <v>56</v>
          </cell>
          <cell r="AE27">
            <v>1200</v>
          </cell>
          <cell r="AF27">
            <v>67200</v>
          </cell>
          <cell r="AG27">
            <v>55</v>
          </cell>
          <cell r="AH27">
            <v>1200</v>
          </cell>
          <cell r="AI27">
            <v>66000</v>
          </cell>
          <cell r="AJ27">
            <v>49</v>
          </cell>
          <cell r="AK27">
            <v>1200</v>
          </cell>
          <cell r="AL27">
            <v>58800</v>
          </cell>
          <cell r="AM27">
            <v>42</v>
          </cell>
          <cell r="AN27">
            <v>1200</v>
          </cell>
          <cell r="AO27">
            <v>50400</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772</v>
          </cell>
          <cell r="D30">
            <v>3452.0958481392713</v>
          </cell>
          <cell r="E30">
            <v>2665017.9947635173</v>
          </cell>
          <cell r="F30">
            <v>51</v>
          </cell>
          <cell r="G30">
            <v>3456.6499052155236</v>
          </cell>
          <cell r="H30">
            <v>176289.14516599171</v>
          </cell>
          <cell r="I30">
            <v>55</v>
          </cell>
          <cell r="J30">
            <v>3426.3734354798644</v>
          </cell>
          <cell r="K30">
            <v>188450.53895139255</v>
          </cell>
          <cell r="L30">
            <v>79</v>
          </cell>
          <cell r="M30">
            <v>3455.559953346828</v>
          </cell>
          <cell r="N30">
            <v>272989.2363143994</v>
          </cell>
          <cell r="O30">
            <v>81</v>
          </cell>
          <cell r="P30">
            <v>3455.1341746996995</v>
          </cell>
          <cell r="Q30">
            <v>279865.86815067567</v>
          </cell>
          <cell r="R30">
            <v>84</v>
          </cell>
          <cell r="S30">
            <v>3461.0306762628156</v>
          </cell>
          <cell r="T30">
            <v>290726.57680607651</v>
          </cell>
          <cell r="U30">
            <v>76</v>
          </cell>
          <cell r="V30">
            <v>3449.0595744605075</v>
          </cell>
          <cell r="W30">
            <v>262128.52765899856</v>
          </cell>
          <cell r="X30">
            <v>68</v>
          </cell>
          <cell r="Y30">
            <v>3459.8410481940118</v>
          </cell>
          <cell r="Z30">
            <v>235269.19127719279</v>
          </cell>
          <cell r="AA30">
            <v>62</v>
          </cell>
          <cell r="AB30">
            <v>3451.7611323096503</v>
          </cell>
          <cell r="AC30">
            <v>214009.19020319832</v>
          </cell>
          <cell r="AD30">
            <v>60</v>
          </cell>
          <cell r="AE30">
            <v>3449.7619248133601</v>
          </cell>
          <cell r="AF30">
            <v>206985.71548880159</v>
          </cell>
          <cell r="AG30">
            <v>59</v>
          </cell>
          <cell r="AH30">
            <v>3443.1946025050424</v>
          </cell>
          <cell r="AI30">
            <v>203148.48154779751</v>
          </cell>
          <cell r="AJ30">
            <v>52</v>
          </cell>
          <cell r="AK30">
            <v>3463.9688289806891</v>
          </cell>
          <cell r="AL30">
            <v>180126.37910699582</v>
          </cell>
          <cell r="AM30">
            <v>45</v>
          </cell>
          <cell r="AN30">
            <v>3445.0920909332717</v>
          </cell>
          <cell r="AO30">
            <v>155029.14409199724</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0.32350364061642606</v>
          </cell>
          <cell r="D34">
            <v>730.98597314820165</v>
          </cell>
          <cell r="E34">
            <v>528502.85858614976</v>
          </cell>
          <cell r="F34">
            <v>0.32965617536460073</v>
          </cell>
          <cell r="G34">
            <v>742.95683803447446</v>
          </cell>
          <cell r="H34">
            <v>35661.928225654774</v>
          </cell>
          <cell r="I34">
            <v>0.32917199110652651</v>
          </cell>
          <cell r="J34">
            <v>742.24631012618568</v>
          </cell>
          <cell r="K34">
            <v>37854.561816435467</v>
          </cell>
          <cell r="L34">
            <v>0.31274572199224637</v>
          </cell>
          <cell r="M34">
            <v>707.51031632989282</v>
          </cell>
          <cell r="N34">
            <v>52355.763408412065</v>
          </cell>
          <cell r="O34">
            <v>0.31166802535053045</v>
          </cell>
          <cell r="P34">
            <v>704.27376877781785</v>
          </cell>
          <cell r="Q34">
            <v>53524.806427114156</v>
          </cell>
          <cell r="R34">
            <v>0.31763708783519601</v>
          </cell>
          <cell r="S34">
            <v>717.92727889613718</v>
          </cell>
          <cell r="T34">
            <v>56716.255032794841</v>
          </cell>
          <cell r="U34">
            <v>0.31456115034150739</v>
          </cell>
          <cell r="V34">
            <v>711.46922257368146</v>
          </cell>
          <cell r="W34">
            <v>50514.31480273138</v>
          </cell>
          <cell r="X34">
            <v>0.32645142343359818</v>
          </cell>
          <cell r="Y34">
            <v>736.84104717642811</v>
          </cell>
          <cell r="Z34">
            <v>47157.827019291399</v>
          </cell>
          <cell r="AA34">
            <v>0.3218930465802804</v>
          </cell>
          <cell r="AB34">
            <v>727.75628646164546</v>
          </cell>
          <cell r="AC34">
            <v>42209.864614775433</v>
          </cell>
          <cell r="AD34">
            <v>0.32366501349033733</v>
          </cell>
          <cell r="AE34">
            <v>732.87181421559558</v>
          </cell>
          <cell r="AF34">
            <v>41040.821596073351</v>
          </cell>
          <cell r="AG34">
            <v>0.33560007847178658</v>
          </cell>
          <cell r="AH34">
            <v>758.51665471081378</v>
          </cell>
          <cell r="AI34">
            <v>41718.416009094755</v>
          </cell>
          <cell r="AJ34">
            <v>0.32831373560409594</v>
          </cell>
          <cell r="AK34">
            <v>741.51701658435445</v>
          </cell>
          <cell r="AL34">
            <v>36334.333812633369</v>
          </cell>
          <cell r="AM34">
            <v>0.35226966170001711</v>
          </cell>
          <cell r="AN34">
            <v>795.57061478901937</v>
          </cell>
          <cell r="AO34">
            <v>33413.965821138816</v>
          </cell>
        </row>
        <row r="35">
          <cell r="A35" t="str">
            <v>Véhicules neufsComm. F&amp;I</v>
          </cell>
          <cell r="C35">
            <v>0.2</v>
          </cell>
          <cell r="D35">
            <v>240</v>
          </cell>
          <cell r="E35">
            <v>173520</v>
          </cell>
          <cell r="F35">
            <v>0.2</v>
          </cell>
          <cell r="G35">
            <v>240</v>
          </cell>
          <cell r="H35">
            <v>11520</v>
          </cell>
          <cell r="I35">
            <v>0.2</v>
          </cell>
          <cell r="J35">
            <v>240</v>
          </cell>
          <cell r="K35">
            <v>12240</v>
          </cell>
          <cell r="L35">
            <v>0.2</v>
          </cell>
          <cell r="M35">
            <v>240</v>
          </cell>
          <cell r="N35">
            <v>17760</v>
          </cell>
          <cell r="O35">
            <v>0.2</v>
          </cell>
          <cell r="P35">
            <v>240</v>
          </cell>
          <cell r="Q35">
            <v>18240</v>
          </cell>
          <cell r="R35">
            <v>0.2</v>
          </cell>
          <cell r="S35">
            <v>240</v>
          </cell>
          <cell r="T35">
            <v>18960</v>
          </cell>
          <cell r="U35">
            <v>0.2</v>
          </cell>
          <cell r="V35">
            <v>240</v>
          </cell>
          <cell r="W35">
            <v>17040</v>
          </cell>
          <cell r="X35">
            <v>0.2</v>
          </cell>
          <cell r="Y35">
            <v>240</v>
          </cell>
          <cell r="Z35">
            <v>15360</v>
          </cell>
          <cell r="AA35">
            <v>0.2</v>
          </cell>
          <cell r="AB35">
            <v>240</v>
          </cell>
          <cell r="AC35">
            <v>13920</v>
          </cell>
          <cell r="AD35">
            <v>0.2</v>
          </cell>
          <cell r="AE35">
            <v>240</v>
          </cell>
          <cell r="AF35">
            <v>13440</v>
          </cell>
          <cell r="AG35">
            <v>0.2</v>
          </cell>
          <cell r="AH35">
            <v>240</v>
          </cell>
          <cell r="AI35">
            <v>13200</v>
          </cell>
          <cell r="AJ35">
            <v>0.2</v>
          </cell>
          <cell r="AK35">
            <v>240</v>
          </cell>
          <cell r="AL35">
            <v>11760</v>
          </cell>
          <cell r="AM35">
            <v>0.2</v>
          </cell>
          <cell r="AN35">
            <v>240</v>
          </cell>
          <cell r="AO35">
            <v>10080</v>
          </cell>
        </row>
        <row r="36">
          <cell r="A36" t="str">
            <v>Véhicules neufsFrais de livraison</v>
          </cell>
          <cell r="C36"/>
          <cell r="D36">
            <v>115</v>
          </cell>
          <cell r="E36">
            <v>83145</v>
          </cell>
          <cell r="F36"/>
          <cell r="G36">
            <v>115</v>
          </cell>
          <cell r="H36">
            <v>5520</v>
          </cell>
          <cell r="I36"/>
          <cell r="J36">
            <v>115</v>
          </cell>
          <cell r="K36">
            <v>5865</v>
          </cell>
          <cell r="L36"/>
          <cell r="M36">
            <v>115</v>
          </cell>
          <cell r="N36">
            <v>8510</v>
          </cell>
          <cell r="O36"/>
          <cell r="P36">
            <v>115</v>
          </cell>
          <cell r="Q36">
            <v>8740</v>
          </cell>
          <cell r="R36"/>
          <cell r="S36">
            <v>115</v>
          </cell>
          <cell r="T36">
            <v>9085</v>
          </cell>
          <cell r="U36"/>
          <cell r="V36">
            <v>115</v>
          </cell>
          <cell r="W36">
            <v>8165</v>
          </cell>
          <cell r="X36"/>
          <cell r="Y36">
            <v>115</v>
          </cell>
          <cell r="Z36">
            <v>7360</v>
          </cell>
          <cell r="AA36"/>
          <cell r="AB36">
            <v>115</v>
          </cell>
          <cell r="AC36">
            <v>6670</v>
          </cell>
          <cell r="AD36"/>
          <cell r="AE36">
            <v>115</v>
          </cell>
          <cell r="AF36">
            <v>6440</v>
          </cell>
          <cell r="AG36"/>
          <cell r="AH36">
            <v>115</v>
          </cell>
          <cell r="AI36">
            <v>6325</v>
          </cell>
          <cell r="AJ36"/>
          <cell r="AK36">
            <v>115</v>
          </cell>
          <cell r="AL36">
            <v>5635</v>
          </cell>
          <cell r="AM36"/>
          <cell r="AN36">
            <v>115</v>
          </cell>
          <cell r="AO36">
            <v>4830</v>
          </cell>
        </row>
        <row r="37">
          <cell r="A37" t="str">
            <v>Véhicules neufsService gratuit 1</v>
          </cell>
          <cell r="C37"/>
          <cell r="D37">
            <v>10</v>
          </cell>
          <cell r="E37">
            <v>7230</v>
          </cell>
          <cell r="F37"/>
          <cell r="G37">
            <v>10</v>
          </cell>
          <cell r="H37">
            <v>480</v>
          </cell>
          <cell r="I37"/>
          <cell r="J37">
            <v>10</v>
          </cell>
          <cell r="K37">
            <v>510</v>
          </cell>
          <cell r="L37"/>
          <cell r="M37">
            <v>10</v>
          </cell>
          <cell r="N37">
            <v>740</v>
          </cell>
          <cell r="O37"/>
          <cell r="P37">
            <v>10</v>
          </cell>
          <cell r="Q37">
            <v>760</v>
          </cell>
          <cell r="R37"/>
          <cell r="S37">
            <v>10</v>
          </cell>
          <cell r="T37">
            <v>790</v>
          </cell>
          <cell r="U37"/>
          <cell r="V37">
            <v>10</v>
          </cell>
          <cell r="W37">
            <v>710</v>
          </cell>
          <cell r="X37"/>
          <cell r="Y37">
            <v>10</v>
          </cell>
          <cell r="Z37">
            <v>640</v>
          </cell>
          <cell r="AA37"/>
          <cell r="AB37">
            <v>10</v>
          </cell>
          <cell r="AC37">
            <v>580</v>
          </cell>
          <cell r="AD37"/>
          <cell r="AE37">
            <v>10</v>
          </cell>
          <cell r="AF37">
            <v>560</v>
          </cell>
          <cell r="AG37"/>
          <cell r="AH37">
            <v>10</v>
          </cell>
          <cell r="AI37">
            <v>550</v>
          </cell>
          <cell r="AJ37"/>
          <cell r="AK37">
            <v>10</v>
          </cell>
          <cell r="AL37">
            <v>490</v>
          </cell>
          <cell r="AM37"/>
          <cell r="AN37">
            <v>10</v>
          </cell>
          <cell r="AO37">
            <v>420</v>
          </cell>
        </row>
        <row r="38">
          <cell r="A38" t="str">
            <v>Véhicules neufsEntretien stock</v>
          </cell>
          <cell r="C38"/>
          <cell r="D38">
            <v>120</v>
          </cell>
          <cell r="E38">
            <v>86760</v>
          </cell>
          <cell r="F38"/>
          <cell r="G38">
            <v>120</v>
          </cell>
          <cell r="H38">
            <v>5760</v>
          </cell>
          <cell r="I38"/>
          <cell r="J38">
            <v>120</v>
          </cell>
          <cell r="K38">
            <v>6120</v>
          </cell>
          <cell r="L38"/>
          <cell r="M38">
            <v>120</v>
          </cell>
          <cell r="N38">
            <v>8880</v>
          </cell>
          <cell r="O38"/>
          <cell r="P38">
            <v>120</v>
          </cell>
          <cell r="Q38">
            <v>9120</v>
          </cell>
          <cell r="R38"/>
          <cell r="S38">
            <v>120</v>
          </cell>
          <cell r="T38">
            <v>9480</v>
          </cell>
          <cell r="U38"/>
          <cell r="V38">
            <v>120</v>
          </cell>
          <cell r="W38">
            <v>8520</v>
          </cell>
          <cell r="X38"/>
          <cell r="Y38">
            <v>120</v>
          </cell>
          <cell r="Z38">
            <v>7680</v>
          </cell>
          <cell r="AA38"/>
          <cell r="AB38">
            <v>120</v>
          </cell>
          <cell r="AC38">
            <v>6960</v>
          </cell>
          <cell r="AD38"/>
          <cell r="AE38">
            <v>120</v>
          </cell>
          <cell r="AF38">
            <v>6720</v>
          </cell>
          <cell r="AG38"/>
          <cell r="AH38">
            <v>120</v>
          </cell>
          <cell r="AI38">
            <v>6600</v>
          </cell>
          <cell r="AJ38"/>
          <cell r="AK38">
            <v>120</v>
          </cell>
          <cell r="AL38">
            <v>5880</v>
          </cell>
          <cell r="AM38"/>
          <cell r="AN38">
            <v>120</v>
          </cell>
          <cell r="AO38">
            <v>5040</v>
          </cell>
        </row>
        <row r="39">
          <cell r="A39" t="str">
            <v>Véhicules neufsPublicité 1</v>
          </cell>
          <cell r="C39"/>
          <cell r="D39">
            <v>68.486860304287688</v>
          </cell>
          <cell r="E39">
            <v>49516</v>
          </cell>
          <cell r="F39"/>
          <cell r="G39">
            <v>169.96875</v>
          </cell>
          <cell r="H39">
            <v>8158.5</v>
          </cell>
          <cell r="I39"/>
          <cell r="J39">
            <v>61.421568627450981</v>
          </cell>
          <cell r="K39">
            <v>3132.5</v>
          </cell>
          <cell r="L39"/>
          <cell r="M39">
            <v>-4.2905405405405403</v>
          </cell>
          <cell r="N39">
            <v>-317.5</v>
          </cell>
          <cell r="O39"/>
          <cell r="P39">
            <v>149.76973684210526</v>
          </cell>
          <cell r="Q39">
            <v>11382.5</v>
          </cell>
          <cell r="R39"/>
          <cell r="S39">
            <v>-13.512658227848101</v>
          </cell>
          <cell r="T39">
            <v>-1067.5</v>
          </cell>
          <cell r="U39"/>
          <cell r="V39">
            <v>1.8661971830985915</v>
          </cell>
          <cell r="W39">
            <v>132.5</v>
          </cell>
          <cell r="X39"/>
          <cell r="Y39">
            <v>18.4765625</v>
          </cell>
          <cell r="Z39">
            <v>1182.5</v>
          </cell>
          <cell r="AA39"/>
          <cell r="AB39">
            <v>35.905172413793103</v>
          </cell>
          <cell r="AC39">
            <v>2082.5</v>
          </cell>
          <cell r="AD39"/>
          <cell r="AE39">
            <v>42.544642857142854</v>
          </cell>
          <cell r="AF39">
            <v>2382.5</v>
          </cell>
          <cell r="AG39"/>
          <cell r="AH39">
            <v>46.045454545454547</v>
          </cell>
          <cell r="AI39">
            <v>2532.5</v>
          </cell>
          <cell r="AJ39"/>
          <cell r="AK39">
            <v>314.94897959183675</v>
          </cell>
          <cell r="AL39">
            <v>15432.5</v>
          </cell>
          <cell r="AM39"/>
          <cell r="AN39">
            <v>106.72619047619048</v>
          </cell>
          <cell r="AO39">
            <v>4482.5</v>
          </cell>
        </row>
        <row r="40">
          <cell r="A40" t="str">
            <v>Véhicules neufsIntérêt de gros</v>
          </cell>
          <cell r="C40"/>
          <cell r="D40">
            <v>352.41066903929499</v>
          </cell>
          <cell r="E40">
            <v>254792.91371541028</v>
          </cell>
          <cell r="F40"/>
          <cell r="G40">
            <v>402.63618334250259</v>
          </cell>
          <cell r="H40">
            <v>19326.536800440124</v>
          </cell>
          <cell r="I40"/>
          <cell r="J40">
            <v>419.81904237788046</v>
          </cell>
          <cell r="K40">
            <v>21410.771161271903</v>
          </cell>
          <cell r="L40"/>
          <cell r="M40">
            <v>321.98092245036372</v>
          </cell>
          <cell r="N40">
            <v>23826.588261326917</v>
          </cell>
          <cell r="O40"/>
          <cell r="P40">
            <v>318.80558479828187</v>
          </cell>
          <cell r="Q40">
            <v>24229.224444669424</v>
          </cell>
          <cell r="R40"/>
          <cell r="S40">
            <v>303.1014008631945</v>
          </cell>
          <cell r="T40">
            <v>23945.010668192364</v>
          </cell>
          <cell r="U40"/>
          <cell r="V40">
            <v>318.57295368027337</v>
          </cell>
          <cell r="W40">
            <v>22618.67971129941</v>
          </cell>
          <cell r="X40"/>
          <cell r="Y40">
            <v>334.91336941632801</v>
          </cell>
          <cell r="Z40">
            <v>21434.455642644993</v>
          </cell>
          <cell r="AA40"/>
          <cell r="AB40">
            <v>357.3089862319369</v>
          </cell>
          <cell r="AC40">
            <v>20723.92120145234</v>
          </cell>
          <cell r="AD40"/>
          <cell r="AE40">
            <v>365.41771261336373</v>
          </cell>
          <cell r="AF40">
            <v>20463.39190634837</v>
          </cell>
          <cell r="AG40"/>
          <cell r="AH40">
            <v>361.29599767311197</v>
          </cell>
          <cell r="AI40">
            <v>19871.279872021158</v>
          </cell>
          <cell r="AJ40"/>
          <cell r="AK40">
            <v>381.85184254571072</v>
          </cell>
          <cell r="AL40">
            <v>18710.740284739826</v>
          </cell>
          <cell r="AM40"/>
          <cell r="AN40">
            <v>434.10270859532</v>
          </cell>
          <cell r="AO40">
            <v>18232.313761003439</v>
          </cell>
        </row>
        <row r="41">
          <cell r="A41" t="str">
            <v>Véhicules neufs[...]</v>
          </cell>
          <cell r="C41"/>
          <cell r="D41">
            <v>0</v>
          </cell>
          <cell r="E41">
            <v>0</v>
          </cell>
          <cell r="F41"/>
          <cell r="G41">
            <v>0</v>
          </cell>
          <cell r="H41"/>
          <cell r="I41"/>
          <cell r="J41">
            <v>0</v>
          </cell>
          <cell r="K41"/>
          <cell r="L41"/>
          <cell r="M41">
            <v>0</v>
          </cell>
          <cell r="N41"/>
          <cell r="O41"/>
          <cell r="P41">
            <v>0</v>
          </cell>
          <cell r="Q41"/>
          <cell r="R41"/>
          <cell r="S41">
            <v>0</v>
          </cell>
          <cell r="T41"/>
          <cell r="U41"/>
          <cell r="V41">
            <v>0</v>
          </cell>
          <cell r="W41"/>
          <cell r="X41"/>
          <cell r="Y41">
            <v>0</v>
          </cell>
          <cell r="Z41"/>
          <cell r="AA41"/>
          <cell r="AB41">
            <v>0</v>
          </cell>
          <cell r="AC41"/>
          <cell r="AD41"/>
          <cell r="AE41">
            <v>0</v>
          </cell>
          <cell r="AF41"/>
          <cell r="AG41"/>
          <cell r="AH41">
            <v>0</v>
          </cell>
          <cell r="AI41"/>
          <cell r="AJ41"/>
          <cell r="AK41">
            <v>0</v>
          </cell>
          <cell r="AL41"/>
          <cell r="AM41"/>
          <cell r="AN41">
            <v>0</v>
          </cell>
          <cell r="AO41"/>
        </row>
        <row r="42">
          <cell r="A42" t="str">
            <v>Véhicules neufs[...]</v>
          </cell>
          <cell r="C42"/>
          <cell r="D42">
            <v>0</v>
          </cell>
          <cell r="E42">
            <v>0</v>
          </cell>
          <cell r="F42"/>
          <cell r="G42">
            <v>0</v>
          </cell>
          <cell r="H42"/>
          <cell r="I42"/>
          <cell r="J42">
            <v>0</v>
          </cell>
          <cell r="K42"/>
          <cell r="L42"/>
          <cell r="M42">
            <v>0</v>
          </cell>
          <cell r="N42"/>
          <cell r="O42"/>
          <cell r="P42">
            <v>0</v>
          </cell>
          <cell r="Q42"/>
          <cell r="R42"/>
          <cell r="S42">
            <v>0</v>
          </cell>
          <cell r="T42"/>
          <cell r="U42"/>
          <cell r="V42">
            <v>0</v>
          </cell>
          <cell r="W42"/>
          <cell r="X42"/>
          <cell r="Y42">
            <v>0</v>
          </cell>
          <cell r="Z42"/>
          <cell r="AA42"/>
          <cell r="AB42">
            <v>0</v>
          </cell>
          <cell r="AC42"/>
          <cell r="AD42"/>
          <cell r="AE42">
            <v>0</v>
          </cell>
          <cell r="AF42"/>
          <cell r="AG42"/>
          <cell r="AH42">
            <v>0</v>
          </cell>
          <cell r="AI42"/>
          <cell r="AJ42"/>
          <cell r="AK42">
            <v>0</v>
          </cell>
          <cell r="AL42"/>
          <cell r="AM42"/>
          <cell r="AN42">
            <v>0</v>
          </cell>
          <cell r="AO42"/>
        </row>
        <row r="43">
          <cell r="A43" t="str">
            <v>Véhicules neufs[...]</v>
          </cell>
          <cell r="C43"/>
          <cell r="D43">
            <v>0</v>
          </cell>
          <cell r="E43">
            <v>0</v>
          </cell>
          <cell r="F43"/>
          <cell r="G43">
            <v>0</v>
          </cell>
          <cell r="H43"/>
          <cell r="I43"/>
          <cell r="J43">
            <v>0</v>
          </cell>
          <cell r="K43"/>
          <cell r="L43"/>
          <cell r="M43">
            <v>0</v>
          </cell>
          <cell r="N43"/>
          <cell r="O43"/>
          <cell r="P43">
            <v>0</v>
          </cell>
          <cell r="Q43"/>
          <cell r="R43"/>
          <cell r="S43">
            <v>0</v>
          </cell>
          <cell r="T43"/>
          <cell r="U43"/>
          <cell r="V43">
            <v>0</v>
          </cell>
          <cell r="W43"/>
          <cell r="X43"/>
          <cell r="Y43">
            <v>0</v>
          </cell>
          <cell r="Z43"/>
          <cell r="AA43"/>
          <cell r="AB43">
            <v>0</v>
          </cell>
          <cell r="AC43"/>
          <cell r="AD43"/>
          <cell r="AE43">
            <v>0</v>
          </cell>
          <cell r="AF43"/>
          <cell r="AG43"/>
          <cell r="AH43">
            <v>0</v>
          </cell>
          <cell r="AI43"/>
          <cell r="AJ43"/>
          <cell r="AK43">
            <v>0</v>
          </cell>
          <cell r="AL43"/>
          <cell r="AM43"/>
          <cell r="AN43">
            <v>0</v>
          </cell>
          <cell r="AO43"/>
        </row>
        <row r="44">
          <cell r="A44" t="str">
            <v>Véhicules neufsTOTAL VARIABLES</v>
          </cell>
          <cell r="C44" t="str">
            <v>% brut</v>
          </cell>
          <cell r="D44">
            <v>0.44407458960012614</v>
          </cell>
          <cell r="E44">
            <v>1183466.77230156</v>
          </cell>
          <cell r="F44" t="str">
            <v>% brut</v>
          </cell>
          <cell r="G44">
            <v>0.49025687284782238</v>
          </cell>
          <cell r="H44">
            <v>86426.965026094898</v>
          </cell>
          <cell r="I44" t="str">
            <v>% brut</v>
          </cell>
          <cell r="J44">
            <v>0.46236446689166394</v>
          </cell>
          <cell r="K44">
            <v>87132.832977707367</v>
          </cell>
          <cell r="L44" t="str">
            <v>% brut</v>
          </cell>
          <cell r="M44">
            <v>0.40937457160776797</v>
          </cell>
          <cell r="N44">
            <v>111754.85166973899</v>
          </cell>
          <cell r="O44" t="str">
            <v>% brut</v>
          </cell>
          <cell r="P44">
            <v>0.4502032766780581</v>
          </cell>
          <cell r="Q44">
            <v>125996.53087178357</v>
          </cell>
          <cell r="R44" t="str">
            <v>% brut</v>
          </cell>
          <cell r="S44">
            <v>0.40556583094787357</v>
          </cell>
          <cell r="T44">
            <v>117908.76570098721</v>
          </cell>
          <cell r="U44" t="str">
            <v>% brut</v>
          </cell>
          <cell r="V44">
            <v>0.41086903236315325</v>
          </cell>
          <cell r="W44">
            <v>107700.4945140308</v>
          </cell>
          <cell r="X44" t="str">
            <v>% brut</v>
          </cell>
          <cell r="Y44">
            <v>0.42850822121948384</v>
          </cell>
          <cell r="Z44">
            <v>100814.78266193639</v>
          </cell>
          <cell r="AA44" t="str">
            <v>% brut</v>
          </cell>
          <cell r="AB44">
            <v>0.4352443263197569</v>
          </cell>
          <cell r="AC44">
            <v>93146.28581622777</v>
          </cell>
          <cell r="AD44" t="str">
            <v>% brut</v>
          </cell>
          <cell r="AE44">
            <v>0.43986954987407112</v>
          </cell>
          <cell r="AF44">
            <v>91046.713502421713</v>
          </cell>
          <cell r="AG44" t="str">
            <v>% brut</v>
          </cell>
          <cell r="AH44">
            <v>0.44694991165736486</v>
          </cell>
          <cell r="AI44">
            <v>90797.195881115913</v>
          </cell>
          <cell r="AJ44" t="str">
            <v>% brut</v>
          </cell>
          <cell r="AK44">
            <v>0.52320251239488202</v>
          </cell>
          <cell r="AL44">
            <v>94242.574097373203</v>
          </cell>
          <cell r="AM44" t="str">
            <v>% brut</v>
          </cell>
          <cell r="AN44">
            <v>0.49344773223250477</v>
          </cell>
          <cell r="AO44">
            <v>76498.779582142248</v>
          </cell>
        </row>
        <row r="45">
          <cell r="A45" t="str">
            <v>Véhicules neufsSalaires cadres</v>
          </cell>
          <cell r="C45"/>
          <cell r="D45"/>
          <cell r="E45">
            <v>263797.83749999991</v>
          </cell>
          <cell r="F45"/>
          <cell r="G45"/>
          <cell r="H45">
            <v>26496.555448717947</v>
          </cell>
          <cell r="I45"/>
          <cell r="J45"/>
          <cell r="K45">
            <v>20698.717948717946</v>
          </cell>
          <cell r="L45"/>
          <cell r="M45"/>
          <cell r="N45">
            <v>20698.717948717946</v>
          </cell>
          <cell r="O45"/>
          <cell r="P45"/>
          <cell r="Q45">
            <v>20698.717948717946</v>
          </cell>
          <cell r="R45"/>
          <cell r="S45"/>
          <cell r="T45">
            <v>23102.564102564102</v>
          </cell>
          <cell r="U45"/>
          <cell r="V45"/>
          <cell r="W45">
            <v>20698.717948717946</v>
          </cell>
          <cell r="X45"/>
          <cell r="Y45"/>
          <cell r="Z45">
            <v>23102.564102564102</v>
          </cell>
          <cell r="AA45"/>
          <cell r="AB45"/>
          <cell r="AC45">
            <v>20698.717948717946</v>
          </cell>
          <cell r="AD45"/>
          <cell r="AE45"/>
          <cell r="AF45">
            <v>20698.717948717946</v>
          </cell>
          <cell r="AG45"/>
          <cell r="AH45"/>
          <cell r="AI45">
            <v>23102.564102564102</v>
          </cell>
          <cell r="AJ45"/>
          <cell r="AK45"/>
          <cell r="AL45">
            <v>20698.717948717946</v>
          </cell>
          <cell r="AM45"/>
          <cell r="AN45"/>
          <cell r="AO45">
            <v>23102.564102564102</v>
          </cell>
        </row>
        <row r="46">
          <cell r="A46" t="str">
            <v>Véhicules neufsSalaires commis</v>
          </cell>
          <cell r="C46"/>
          <cell r="D46"/>
          <cell r="E46">
            <v>235724.65927776007</v>
          </cell>
          <cell r="F46"/>
          <cell r="G46"/>
          <cell r="H46">
            <v>15088.420585468717</v>
          </cell>
          <cell r="I46"/>
          <cell r="J46"/>
          <cell r="K46">
            <v>18491.133085468718</v>
          </cell>
          <cell r="L46"/>
          <cell r="M46"/>
          <cell r="N46">
            <v>18491.133085468718</v>
          </cell>
          <cell r="O46"/>
          <cell r="P46"/>
          <cell r="Q46">
            <v>18491.133085468718</v>
          </cell>
          <cell r="R46"/>
          <cell r="S46"/>
          <cell r="T46">
            <v>22799.576773502566</v>
          </cell>
          <cell r="U46"/>
          <cell r="V46"/>
          <cell r="W46">
            <v>18491.133085468718</v>
          </cell>
          <cell r="X46"/>
          <cell r="Y46"/>
          <cell r="Z46">
            <v>22799.576773502566</v>
          </cell>
          <cell r="AA46"/>
          <cell r="AB46"/>
          <cell r="AC46">
            <v>18491.133085468718</v>
          </cell>
          <cell r="AD46"/>
          <cell r="AE46"/>
          <cell r="AF46">
            <v>18491.133085468718</v>
          </cell>
          <cell r="AG46"/>
          <cell r="AH46"/>
          <cell r="AI46">
            <v>22799.576773502566</v>
          </cell>
          <cell r="AJ46"/>
          <cell r="AK46"/>
          <cell r="AL46">
            <v>18491.133085468718</v>
          </cell>
          <cell r="AM46"/>
          <cell r="AN46"/>
          <cell r="AO46">
            <v>22799.576773502566</v>
          </cell>
        </row>
        <row r="47">
          <cell r="A47" t="str">
            <v>Véhicules neufsSalaires autres</v>
          </cell>
          <cell r="C47"/>
          <cell r="D47"/>
          <cell r="E47">
            <v>341.84999999999997</v>
          </cell>
          <cell r="F47"/>
          <cell r="G47"/>
          <cell r="H47">
            <v>341.84999999999997</v>
          </cell>
          <cell r="I47"/>
          <cell r="J47"/>
          <cell r="K47">
            <v>0</v>
          </cell>
          <cell r="L47"/>
          <cell r="M47"/>
          <cell r="N47">
            <v>0</v>
          </cell>
          <cell r="O47"/>
          <cell r="P47"/>
          <cell r="Q47">
            <v>0</v>
          </cell>
          <cell r="R47"/>
          <cell r="S47"/>
          <cell r="T47">
            <v>0</v>
          </cell>
          <cell r="U47"/>
          <cell r="V47"/>
          <cell r="W47">
            <v>0</v>
          </cell>
          <cell r="X47"/>
          <cell r="Y47"/>
          <cell r="Z47">
            <v>0</v>
          </cell>
          <cell r="AA47"/>
          <cell r="AB47"/>
          <cell r="AC47">
            <v>0</v>
          </cell>
          <cell r="AD47"/>
          <cell r="AE47"/>
          <cell r="AF47">
            <v>0</v>
          </cell>
          <cell r="AG47"/>
          <cell r="AH47"/>
          <cell r="AI47">
            <v>0</v>
          </cell>
          <cell r="AJ47"/>
          <cell r="AK47"/>
          <cell r="AL47">
            <v>0</v>
          </cell>
          <cell r="AM47"/>
          <cell r="AN47"/>
          <cell r="AO47">
            <v>0</v>
          </cell>
        </row>
        <row r="48">
          <cell r="A48" t="str">
            <v>Véhicules neufsSalaires spécialistes</v>
          </cell>
          <cell r="C48"/>
          <cell r="D48"/>
          <cell r="E48">
            <v>0</v>
          </cell>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row>
        <row r="49">
          <cell r="A49" t="str">
            <v>Véhicules neufs[...]</v>
          </cell>
          <cell r="C49"/>
          <cell r="D49"/>
          <cell r="E49">
            <v>0</v>
          </cell>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v>0</v>
          </cell>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v>0</v>
          </cell>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148403.90845077176</v>
          </cell>
          <cell r="F52"/>
          <cell r="G52"/>
          <cell r="H52">
            <v>11375.380652366253</v>
          </cell>
          <cell r="I52"/>
          <cell r="J52"/>
          <cell r="K52">
            <v>9716.083521385257</v>
          </cell>
          <cell r="L52"/>
          <cell r="M52"/>
          <cell r="N52">
            <v>12643.918376575097</v>
          </cell>
          <cell r="O52"/>
          <cell r="P52"/>
          <cell r="Q52">
            <v>13199.320131258635</v>
          </cell>
          <cell r="R52"/>
          <cell r="S52"/>
          <cell r="T52">
            <v>14866.607467335434</v>
          </cell>
          <cell r="U52"/>
          <cell r="V52"/>
          <cell r="W52">
            <v>11600.208785435867</v>
          </cell>
          <cell r="X52"/>
          <cell r="Y52"/>
          <cell r="Z52">
            <v>12704.781325943057</v>
          </cell>
          <cell r="AA52"/>
          <cell r="AB52"/>
          <cell r="AC52">
            <v>12034.036621891559</v>
          </cell>
          <cell r="AD52"/>
          <cell r="AE52"/>
          <cell r="AF52">
            <v>12210.090540119405</v>
          </cell>
          <cell r="AG52"/>
          <cell r="AH52"/>
          <cell r="AI52">
            <v>14026.191794424054</v>
          </cell>
          <cell r="AJ52"/>
          <cell r="AK52"/>
          <cell r="AL52">
            <v>13429.854049486477</v>
          </cell>
          <cell r="AM52"/>
          <cell r="AN52"/>
          <cell r="AO52">
            <v>10597.435184550675</v>
          </cell>
        </row>
        <row r="53">
          <cell r="A53" t="str">
            <v>Véhicules neufsDéduction à la source</v>
          </cell>
          <cell r="C53"/>
          <cell r="D53"/>
          <cell r="E53">
            <v>180438.23230137891</v>
          </cell>
          <cell r="F53"/>
          <cell r="G53"/>
          <cell r="H53">
            <v>13830.859295388043</v>
          </cell>
          <cell r="I53"/>
          <cell r="J53"/>
          <cell r="K53">
            <v>11813.387893842868</v>
          </cell>
          <cell r="L53"/>
          <cell r="M53"/>
          <cell r="N53">
            <v>15373.222343324787</v>
          </cell>
          <cell r="O53"/>
          <cell r="P53"/>
          <cell r="Q53">
            <v>16048.512582499487</v>
          </cell>
          <cell r="R53"/>
          <cell r="S53"/>
          <cell r="T53">
            <v>18075.698947068635</v>
          </cell>
          <cell r="U53"/>
          <cell r="V53"/>
          <cell r="W53">
            <v>14104.218611366958</v>
          </cell>
          <cell r="X53"/>
          <cell r="Y53"/>
          <cell r="Z53">
            <v>15447.223109957196</v>
          </cell>
          <cell r="AA53"/>
          <cell r="AB53"/>
          <cell r="AC53">
            <v>14631.69210415009</v>
          </cell>
          <cell r="AD53"/>
          <cell r="AE53"/>
          <cell r="AF53">
            <v>14845.748850541657</v>
          </cell>
          <cell r="AG53"/>
          <cell r="AH53"/>
          <cell r="AI53">
            <v>17053.871961502377</v>
          </cell>
          <cell r="AJ53"/>
          <cell r="AK53"/>
          <cell r="AL53">
            <v>16328.80932889105</v>
          </cell>
          <cell r="AM53"/>
          <cell r="AN53"/>
          <cell r="AO53">
            <v>12884.987272845756</v>
          </cell>
        </row>
        <row r="54">
          <cell r="A54" t="str">
            <v>Véhicules neufsBénéfices marginaux</v>
          </cell>
          <cell r="C54"/>
          <cell r="D54"/>
          <cell r="E54">
            <v>92964.915337884348</v>
          </cell>
          <cell r="F54"/>
          <cell r="G54"/>
          <cell r="H54">
            <v>7125.8992456673177</v>
          </cell>
          <cell r="I54"/>
          <cell r="J54"/>
          <cell r="K54">
            <v>6086.4628931320849</v>
          </cell>
          <cell r="L54"/>
          <cell r="M54"/>
          <cell r="N54">
            <v>7920.5515116695087</v>
          </cell>
          <cell r="O54"/>
          <cell r="P54"/>
          <cell r="Q54">
            <v>8268.4727870703864</v>
          </cell>
          <cell r="R54"/>
          <cell r="S54"/>
          <cell r="T54">
            <v>9312.9144575114478</v>
          </cell>
          <cell r="U54"/>
          <cell r="V54"/>
          <cell r="W54">
            <v>7266.738719334714</v>
          </cell>
          <cell r="X54"/>
          <cell r="Y54"/>
          <cell r="Z54">
            <v>7958.6779936083803</v>
          </cell>
          <cell r="AA54"/>
          <cell r="AB54"/>
          <cell r="AC54">
            <v>7538.5022362686323</v>
          </cell>
          <cell r="AD54"/>
          <cell r="AE54"/>
          <cell r="AF54">
            <v>7648.7879947355914</v>
          </cell>
          <cell r="AG54"/>
          <cell r="AH54"/>
          <cell r="AI54">
            <v>8786.4514236436135</v>
          </cell>
          <cell r="AJ54"/>
          <cell r="AK54"/>
          <cell r="AL54">
            <v>8412.8865455373434</v>
          </cell>
          <cell r="AM54"/>
          <cell r="AN54"/>
          <cell r="AO54">
            <v>6638.5695297053126</v>
          </cell>
        </row>
        <row r="55">
          <cell r="A55" t="str">
            <v>Véhicules neufsCsst</v>
          </cell>
          <cell r="C55"/>
          <cell r="D55"/>
          <cell r="E55">
            <v>40533.226096686565</v>
          </cell>
          <cell r="F55"/>
          <cell r="G55"/>
          <cell r="H55">
            <v>3106.9321605581836</v>
          </cell>
          <cell r="I55"/>
          <cell r="J55"/>
          <cell r="K55">
            <v>2653.7320631096295</v>
          </cell>
          <cell r="L55"/>
          <cell r="M55"/>
          <cell r="N55">
            <v>3453.4050191526694</v>
          </cell>
          <cell r="O55"/>
          <cell r="P55"/>
          <cell r="Q55">
            <v>3605.1006525904641</v>
          </cell>
          <cell r="R55"/>
          <cell r="S55"/>
          <cell r="T55">
            <v>4060.4830968052729</v>
          </cell>
          <cell r="U55"/>
          <cell r="V55"/>
          <cell r="W55">
            <v>3168.338963423012</v>
          </cell>
          <cell r="X55"/>
          <cell r="Y55"/>
          <cell r="Z55">
            <v>3470.028379772993</v>
          </cell>
          <cell r="AA55"/>
          <cell r="AB55"/>
          <cell r="AC55">
            <v>3286.8293857148751</v>
          </cell>
          <cell r="AD55"/>
          <cell r="AE55"/>
          <cell r="AF55">
            <v>3334.9145968608063</v>
          </cell>
          <cell r="AG55"/>
          <cell r="AH55"/>
          <cell r="AI55">
            <v>3830.9422522215477</v>
          </cell>
          <cell r="AJ55"/>
          <cell r="AK55"/>
          <cell r="AL55">
            <v>3668.0658637363949</v>
          </cell>
          <cell r="AM55"/>
          <cell r="AN55"/>
          <cell r="AO55">
            <v>2894.4536627407133</v>
          </cell>
        </row>
        <row r="56">
          <cell r="A56" t="str">
            <v>Véhicules neufs[...]</v>
          </cell>
          <cell r="C56"/>
          <cell r="D56"/>
          <cell r="E56">
            <v>0</v>
          </cell>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0.36104995570578263</v>
          </cell>
          <cell r="E57">
            <v>962204.62896448153</v>
          </cell>
          <cell r="F57" t="str">
            <v>% brut</v>
          </cell>
          <cell r="G57">
            <v>0.43885797571551938</v>
          </cell>
          <cell r="H57">
            <v>77365.897388166457</v>
          </cell>
          <cell r="I57" t="str">
            <v>% brut</v>
          </cell>
          <cell r="J57">
            <v>0.36858221680953823</v>
          </cell>
          <cell r="K57">
            <v>69459.517405656501</v>
          </cell>
          <cell r="L57" t="str">
            <v>% brut</v>
          </cell>
          <cell r="M57">
            <v>0.28785365073664554</v>
          </cell>
          <cell r="N57">
            <v>78580.948284908722</v>
          </cell>
          <cell r="O57" t="str">
            <v>% brut</v>
          </cell>
          <cell r="P57">
            <v>0.28696338613312877</v>
          </cell>
          <cell r="Q57">
            <v>80311.257187605646</v>
          </cell>
          <cell r="R57" t="str">
            <v>% brut</v>
          </cell>
          <cell r="S57">
            <v>0.31719784911958554</v>
          </cell>
          <cell r="T57">
            <v>92217.844844787454</v>
          </cell>
          <cell r="U57" t="str">
            <v>% brut</v>
          </cell>
          <cell r="V57">
            <v>0.28737565035936385</v>
          </cell>
          <cell r="W57">
            <v>75329.356113747213</v>
          </cell>
          <cell r="X57" t="str">
            <v>% brut</v>
          </cell>
          <cell r="Y57">
            <v>0.36334061090316278</v>
          </cell>
          <cell r="Z57">
            <v>85482.851685348287</v>
          </cell>
          <cell r="AA57" t="str">
            <v>% brut</v>
          </cell>
          <cell r="AB57">
            <v>0.35830662837144761</v>
          </cell>
          <cell r="AC57">
            <v>76680.911382211823</v>
          </cell>
          <cell r="AD57" t="str">
            <v>% brut</v>
          </cell>
          <cell r="AE57">
            <v>0.37311460278341002</v>
          </cell>
          <cell r="AF57">
            <v>77229.393016444126</v>
          </cell>
          <cell r="AG57" t="str">
            <v>% brut</v>
          </cell>
          <cell r="AH57">
            <v>0.44105472817318075</v>
          </cell>
          <cell r="AI57">
            <v>89599.59830785825</v>
          </cell>
          <cell r="AJ57" t="str">
            <v>% brut</v>
          </cell>
          <cell r="AK57">
            <v>0.4498478636141689</v>
          </cell>
          <cell r="AL57">
            <v>81029.466821837937</v>
          </cell>
          <cell r="AM57" t="str">
            <v>% brut</v>
          </cell>
          <cell r="AN57">
            <v>0.50905000468220307</v>
          </cell>
          <cell r="AO57">
            <v>78917.586525909122</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107430.57520000001</v>
          </cell>
          <cell r="F60"/>
          <cell r="G60"/>
          <cell r="H60">
            <v>8952.5479333333333</v>
          </cell>
          <cell r="I60"/>
          <cell r="J60"/>
          <cell r="K60">
            <v>8952.5479333333333</v>
          </cell>
          <cell r="L60"/>
          <cell r="M60"/>
          <cell r="N60">
            <v>8952.5479333333333</v>
          </cell>
          <cell r="O60"/>
          <cell r="P60"/>
          <cell r="Q60">
            <v>8952.5479333333333</v>
          </cell>
          <cell r="R60"/>
          <cell r="S60"/>
          <cell r="T60">
            <v>8952.5479333333333</v>
          </cell>
          <cell r="U60"/>
          <cell r="V60"/>
          <cell r="W60">
            <v>8952.5479333333333</v>
          </cell>
          <cell r="X60"/>
          <cell r="Y60"/>
          <cell r="Z60">
            <v>8952.5479333333333</v>
          </cell>
          <cell r="AA60"/>
          <cell r="AB60"/>
          <cell r="AC60">
            <v>8952.5479333333333</v>
          </cell>
          <cell r="AD60"/>
          <cell r="AE60"/>
          <cell r="AF60">
            <v>8952.5479333333333</v>
          </cell>
          <cell r="AG60"/>
          <cell r="AH60"/>
          <cell r="AI60">
            <v>8952.5479333333333</v>
          </cell>
          <cell r="AJ60"/>
          <cell r="AK60"/>
          <cell r="AL60">
            <v>8952.5479333333333</v>
          </cell>
          <cell r="AM60"/>
          <cell r="AN60"/>
          <cell r="AO60">
            <v>8952.5479333333333</v>
          </cell>
        </row>
        <row r="61">
          <cell r="A61" t="str">
            <v>Véhicules neufsInformatique</v>
          </cell>
          <cell r="C61"/>
          <cell r="D61"/>
          <cell r="E61">
            <v>83784</v>
          </cell>
          <cell r="F61"/>
          <cell r="G61"/>
          <cell r="H61">
            <v>10194</v>
          </cell>
          <cell r="I61"/>
          <cell r="J61"/>
          <cell r="K61">
            <v>6690</v>
          </cell>
          <cell r="L61"/>
          <cell r="M61"/>
          <cell r="N61">
            <v>6690</v>
          </cell>
          <cell r="O61"/>
          <cell r="P61"/>
          <cell r="Q61">
            <v>6690</v>
          </cell>
          <cell r="R61"/>
          <cell r="S61"/>
          <cell r="T61">
            <v>6690</v>
          </cell>
          <cell r="U61"/>
          <cell r="V61"/>
          <cell r="W61">
            <v>6690</v>
          </cell>
          <cell r="X61"/>
          <cell r="Y61"/>
          <cell r="Z61">
            <v>6690</v>
          </cell>
          <cell r="AA61"/>
          <cell r="AB61"/>
          <cell r="AC61">
            <v>6690</v>
          </cell>
          <cell r="AD61"/>
          <cell r="AE61"/>
          <cell r="AF61">
            <v>6690</v>
          </cell>
          <cell r="AG61"/>
          <cell r="AH61"/>
          <cell r="AI61">
            <v>6690</v>
          </cell>
          <cell r="AJ61"/>
          <cell r="AK61"/>
          <cell r="AL61">
            <v>6690</v>
          </cell>
          <cell r="AM61"/>
          <cell r="AN61"/>
          <cell r="AO61">
            <v>6690</v>
          </cell>
        </row>
        <row r="62">
          <cell r="A62" t="str">
            <v>Véhicules neufsFrais de déplacement</v>
          </cell>
          <cell r="C62"/>
          <cell r="D62"/>
          <cell r="E62">
            <v>18000</v>
          </cell>
          <cell r="F62"/>
          <cell r="G62"/>
          <cell r="H62">
            <v>1500</v>
          </cell>
          <cell r="I62"/>
          <cell r="J62"/>
          <cell r="K62">
            <v>1500</v>
          </cell>
          <cell r="L62"/>
          <cell r="M62"/>
          <cell r="N62">
            <v>1500</v>
          </cell>
          <cell r="O62"/>
          <cell r="P62"/>
          <cell r="Q62">
            <v>1500</v>
          </cell>
          <cell r="R62"/>
          <cell r="S62"/>
          <cell r="T62">
            <v>1500</v>
          </cell>
          <cell r="U62"/>
          <cell r="V62"/>
          <cell r="W62">
            <v>1500</v>
          </cell>
          <cell r="X62"/>
          <cell r="Y62"/>
          <cell r="Z62">
            <v>1500</v>
          </cell>
          <cell r="AA62"/>
          <cell r="AB62"/>
          <cell r="AC62">
            <v>1500</v>
          </cell>
          <cell r="AD62"/>
          <cell r="AE62"/>
          <cell r="AF62">
            <v>1500</v>
          </cell>
          <cell r="AG62"/>
          <cell r="AH62"/>
          <cell r="AI62">
            <v>1500</v>
          </cell>
          <cell r="AJ62"/>
          <cell r="AK62"/>
          <cell r="AL62">
            <v>1500</v>
          </cell>
          <cell r="AM62"/>
          <cell r="AN62"/>
          <cell r="AO62">
            <v>1500</v>
          </cell>
        </row>
        <row r="63">
          <cell r="A63" t="str">
            <v>Véhicules neufsServices extérieurs</v>
          </cell>
          <cell r="C63"/>
          <cell r="D63"/>
          <cell r="E63">
            <v>55389.440000000002</v>
          </cell>
          <cell r="F63"/>
          <cell r="G63"/>
          <cell r="H63">
            <v>5549.12</v>
          </cell>
          <cell r="I63"/>
          <cell r="J63"/>
          <cell r="K63">
            <v>4109.12</v>
          </cell>
          <cell r="L63"/>
          <cell r="M63"/>
          <cell r="N63">
            <v>3629.12</v>
          </cell>
          <cell r="O63"/>
          <cell r="P63"/>
          <cell r="Q63">
            <v>3629.12</v>
          </cell>
          <cell r="R63"/>
          <cell r="S63"/>
          <cell r="T63">
            <v>3629.12</v>
          </cell>
          <cell r="U63"/>
          <cell r="V63"/>
          <cell r="W63">
            <v>4909.12</v>
          </cell>
          <cell r="X63"/>
          <cell r="Y63"/>
          <cell r="Z63">
            <v>3629.12</v>
          </cell>
          <cell r="AA63"/>
          <cell r="AB63"/>
          <cell r="AC63">
            <v>3629.12</v>
          </cell>
          <cell r="AD63"/>
          <cell r="AE63"/>
          <cell r="AF63">
            <v>3629.12</v>
          </cell>
          <cell r="AG63"/>
          <cell r="AH63"/>
          <cell r="AI63">
            <v>4589.12</v>
          </cell>
          <cell r="AJ63"/>
          <cell r="AK63"/>
          <cell r="AL63">
            <v>5549.12</v>
          </cell>
          <cell r="AM63"/>
          <cell r="AN63"/>
          <cell r="AO63">
            <v>8909.1200000000008</v>
          </cell>
        </row>
        <row r="64">
          <cell r="A64" t="str">
            <v>Véhicules neufsFournitures autres</v>
          </cell>
          <cell r="C64"/>
          <cell r="D64"/>
          <cell r="E64">
            <v>840</v>
          </cell>
          <cell r="F64"/>
          <cell r="G64"/>
          <cell r="H64">
            <v>70</v>
          </cell>
          <cell r="I64"/>
          <cell r="J64"/>
          <cell r="K64">
            <v>70</v>
          </cell>
          <cell r="L64"/>
          <cell r="M64"/>
          <cell r="N64">
            <v>70</v>
          </cell>
          <cell r="O64"/>
          <cell r="P64"/>
          <cell r="Q64">
            <v>70</v>
          </cell>
          <cell r="R64"/>
          <cell r="S64"/>
          <cell r="T64">
            <v>70</v>
          </cell>
          <cell r="U64"/>
          <cell r="V64"/>
          <cell r="W64">
            <v>70</v>
          </cell>
          <cell r="X64"/>
          <cell r="Y64"/>
          <cell r="Z64">
            <v>70</v>
          </cell>
          <cell r="AA64"/>
          <cell r="AB64"/>
          <cell r="AC64">
            <v>70</v>
          </cell>
          <cell r="AD64"/>
          <cell r="AE64"/>
          <cell r="AF64">
            <v>70</v>
          </cell>
          <cell r="AG64"/>
          <cell r="AH64"/>
          <cell r="AI64">
            <v>70</v>
          </cell>
          <cell r="AJ64"/>
          <cell r="AK64"/>
          <cell r="AL64">
            <v>70</v>
          </cell>
          <cell r="AM64"/>
          <cell r="AN64"/>
          <cell r="AO64">
            <v>70</v>
          </cell>
        </row>
        <row r="65">
          <cell r="A65" t="str">
            <v>Véhicules neufsUniformes</v>
          </cell>
          <cell r="C65"/>
          <cell r="D65"/>
          <cell r="E65">
            <v>0</v>
          </cell>
          <cell r="F65"/>
          <cell r="G65"/>
          <cell r="H65">
            <v>0</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7140</v>
          </cell>
          <cell r="F66"/>
          <cell r="G66"/>
          <cell r="H66">
            <v>595</v>
          </cell>
          <cell r="I66"/>
          <cell r="J66"/>
          <cell r="K66">
            <v>595</v>
          </cell>
          <cell r="L66"/>
          <cell r="M66"/>
          <cell r="N66">
            <v>595</v>
          </cell>
          <cell r="O66"/>
          <cell r="P66"/>
          <cell r="Q66">
            <v>595</v>
          </cell>
          <cell r="R66"/>
          <cell r="S66"/>
          <cell r="T66">
            <v>595</v>
          </cell>
          <cell r="U66"/>
          <cell r="V66"/>
          <cell r="W66">
            <v>595</v>
          </cell>
          <cell r="X66"/>
          <cell r="Y66"/>
          <cell r="Z66">
            <v>595</v>
          </cell>
          <cell r="AA66"/>
          <cell r="AB66"/>
          <cell r="AC66">
            <v>595</v>
          </cell>
          <cell r="AD66"/>
          <cell r="AE66"/>
          <cell r="AF66">
            <v>595</v>
          </cell>
          <cell r="AG66"/>
          <cell r="AH66"/>
          <cell r="AI66">
            <v>595</v>
          </cell>
          <cell r="AJ66"/>
          <cell r="AK66"/>
          <cell r="AL66">
            <v>595</v>
          </cell>
          <cell r="AM66"/>
          <cell r="AN66"/>
          <cell r="AO66">
            <v>595</v>
          </cell>
        </row>
        <row r="67">
          <cell r="A67" t="str">
            <v>Véhicules neufsTéléphone</v>
          </cell>
          <cell r="C67"/>
          <cell r="D67"/>
          <cell r="E67">
            <v>5250</v>
          </cell>
          <cell r="F67"/>
          <cell r="G67"/>
          <cell r="H67">
            <v>437.5</v>
          </cell>
          <cell r="I67"/>
          <cell r="J67"/>
          <cell r="K67">
            <v>437.5</v>
          </cell>
          <cell r="L67"/>
          <cell r="M67"/>
          <cell r="N67">
            <v>437.5</v>
          </cell>
          <cell r="O67"/>
          <cell r="P67"/>
          <cell r="Q67">
            <v>437.5</v>
          </cell>
          <cell r="R67"/>
          <cell r="S67"/>
          <cell r="T67">
            <v>437.5</v>
          </cell>
          <cell r="U67"/>
          <cell r="V67"/>
          <cell r="W67">
            <v>437.5</v>
          </cell>
          <cell r="X67"/>
          <cell r="Y67"/>
          <cell r="Z67">
            <v>437.5</v>
          </cell>
          <cell r="AA67"/>
          <cell r="AB67"/>
          <cell r="AC67">
            <v>437.5</v>
          </cell>
          <cell r="AD67"/>
          <cell r="AE67"/>
          <cell r="AF67">
            <v>437.5</v>
          </cell>
          <cell r="AG67"/>
          <cell r="AH67"/>
          <cell r="AI67">
            <v>437.5</v>
          </cell>
          <cell r="AJ67"/>
          <cell r="AK67"/>
          <cell r="AL67">
            <v>437.5</v>
          </cell>
          <cell r="AM67"/>
          <cell r="AN67"/>
          <cell r="AO67">
            <v>437.5</v>
          </cell>
        </row>
        <row r="68">
          <cell r="A68" t="str">
            <v>Véhicules neufsFrais postaux</v>
          </cell>
          <cell r="C68"/>
          <cell r="D68"/>
          <cell r="E68">
            <v>2735.0400000000004</v>
          </cell>
          <cell r="F68"/>
          <cell r="G68"/>
          <cell r="H68">
            <v>227.92</v>
          </cell>
          <cell r="I68"/>
          <cell r="J68"/>
          <cell r="K68">
            <v>227.92</v>
          </cell>
          <cell r="L68"/>
          <cell r="M68"/>
          <cell r="N68">
            <v>227.92</v>
          </cell>
          <cell r="O68"/>
          <cell r="P68"/>
          <cell r="Q68">
            <v>227.92</v>
          </cell>
          <cell r="R68"/>
          <cell r="S68"/>
          <cell r="T68">
            <v>227.92</v>
          </cell>
          <cell r="U68"/>
          <cell r="V68"/>
          <cell r="W68">
            <v>227.92</v>
          </cell>
          <cell r="X68"/>
          <cell r="Y68"/>
          <cell r="Z68">
            <v>227.92</v>
          </cell>
          <cell r="AA68"/>
          <cell r="AB68"/>
          <cell r="AC68">
            <v>227.92</v>
          </cell>
          <cell r="AD68"/>
          <cell r="AE68"/>
          <cell r="AF68">
            <v>227.92</v>
          </cell>
          <cell r="AG68"/>
          <cell r="AH68"/>
          <cell r="AI68">
            <v>227.92</v>
          </cell>
          <cell r="AJ68"/>
          <cell r="AK68"/>
          <cell r="AL68">
            <v>227.92</v>
          </cell>
          <cell r="AM68"/>
          <cell r="AN68"/>
          <cell r="AO68">
            <v>227.92</v>
          </cell>
        </row>
        <row r="69">
          <cell r="A69" t="str">
            <v>Véhicules neufsDivers</v>
          </cell>
          <cell r="C69"/>
          <cell r="D69"/>
          <cell r="E69">
            <v>1440</v>
          </cell>
          <cell r="F69"/>
          <cell r="G69"/>
          <cell r="H69">
            <v>120</v>
          </cell>
          <cell r="I69"/>
          <cell r="J69"/>
          <cell r="K69">
            <v>120</v>
          </cell>
          <cell r="L69"/>
          <cell r="M69"/>
          <cell r="N69">
            <v>120</v>
          </cell>
          <cell r="O69"/>
          <cell r="P69"/>
          <cell r="Q69">
            <v>120</v>
          </cell>
          <cell r="R69"/>
          <cell r="S69"/>
          <cell r="T69">
            <v>120</v>
          </cell>
          <cell r="U69"/>
          <cell r="V69"/>
          <cell r="W69">
            <v>120</v>
          </cell>
          <cell r="X69"/>
          <cell r="Y69"/>
          <cell r="Z69">
            <v>120</v>
          </cell>
          <cell r="AA69"/>
          <cell r="AB69"/>
          <cell r="AC69">
            <v>120</v>
          </cell>
          <cell r="AD69"/>
          <cell r="AE69"/>
          <cell r="AF69">
            <v>120</v>
          </cell>
          <cell r="AG69"/>
          <cell r="AH69"/>
          <cell r="AI69">
            <v>120</v>
          </cell>
          <cell r="AJ69"/>
          <cell r="AK69"/>
          <cell r="AL69">
            <v>120</v>
          </cell>
          <cell r="AM69"/>
          <cell r="AN69"/>
          <cell r="AO69">
            <v>120</v>
          </cell>
        </row>
        <row r="70">
          <cell r="A70" t="str">
            <v>Véhicules neufsFormation</v>
          </cell>
          <cell r="C70"/>
          <cell r="D70"/>
          <cell r="E70">
            <v>23000.000000000004</v>
          </cell>
          <cell r="F70"/>
          <cell r="G70"/>
          <cell r="H70">
            <v>1916.6666666666667</v>
          </cell>
          <cell r="I70"/>
          <cell r="J70"/>
          <cell r="K70">
            <v>1916.6666666666667</v>
          </cell>
          <cell r="L70"/>
          <cell r="M70"/>
          <cell r="N70">
            <v>1916.6666666666667</v>
          </cell>
          <cell r="O70"/>
          <cell r="P70"/>
          <cell r="Q70">
            <v>1916.6666666666667</v>
          </cell>
          <cell r="R70"/>
          <cell r="S70"/>
          <cell r="T70">
            <v>1916.6666666666667</v>
          </cell>
          <cell r="U70"/>
          <cell r="V70"/>
          <cell r="W70">
            <v>1916.6666666666667</v>
          </cell>
          <cell r="X70"/>
          <cell r="Y70"/>
          <cell r="Z70">
            <v>1916.6666666666667</v>
          </cell>
          <cell r="AA70"/>
          <cell r="AB70"/>
          <cell r="AC70">
            <v>1916.6666666666667</v>
          </cell>
          <cell r="AD70"/>
          <cell r="AE70"/>
          <cell r="AF70">
            <v>1916.6666666666667</v>
          </cell>
          <cell r="AG70"/>
          <cell r="AH70"/>
          <cell r="AI70">
            <v>1916.6666666666667</v>
          </cell>
          <cell r="AJ70"/>
          <cell r="AK70"/>
          <cell r="AL70">
            <v>1916.6666666666667</v>
          </cell>
          <cell r="AM70"/>
          <cell r="AN70"/>
          <cell r="AO70">
            <v>1916.6666666666667</v>
          </cell>
        </row>
        <row r="71">
          <cell r="A71" t="str">
            <v>Véhicules neufsFrais bancaires</v>
          </cell>
          <cell r="C71"/>
          <cell r="D71"/>
          <cell r="E71">
            <v>43967.388901838982</v>
          </cell>
          <cell r="F71"/>
          <cell r="G71"/>
          <cell r="H71">
            <v>2814.8933450917157</v>
          </cell>
          <cell r="I71"/>
          <cell r="J71"/>
          <cell r="K71">
            <v>2848.5113413270478</v>
          </cell>
          <cell r="L71"/>
          <cell r="M71"/>
          <cell r="N71">
            <v>3886.4260291018004</v>
          </cell>
          <cell r="O71"/>
          <cell r="P71"/>
          <cell r="Q71">
            <v>4126.9453945062978</v>
          </cell>
          <cell r="R71"/>
          <cell r="S71"/>
          <cell r="T71">
            <v>4393.2604985450807</v>
          </cell>
          <cell r="U71"/>
          <cell r="V71"/>
          <cell r="W71">
            <v>3970.1321055074304</v>
          </cell>
          <cell r="X71"/>
          <cell r="Y71"/>
          <cell r="Z71">
            <v>3764.2586023400909</v>
          </cell>
          <cell r="AA71"/>
          <cell r="AB71"/>
          <cell r="AC71">
            <v>3649.3021509956943</v>
          </cell>
          <cell r="AD71"/>
          <cell r="AE71"/>
          <cell r="AF71">
            <v>3805.8496167836875</v>
          </cell>
          <cell r="AG71"/>
          <cell r="AH71"/>
          <cell r="AI71">
            <v>3815.2392310537534</v>
          </cell>
          <cell r="AJ71"/>
          <cell r="AK71"/>
          <cell r="AL71">
            <v>3943.5460114820748</v>
          </cell>
          <cell r="AM71"/>
          <cell r="AN71"/>
          <cell r="AO71">
            <v>2949.0245751043112</v>
          </cell>
        </row>
        <row r="72">
          <cell r="A72" t="str">
            <v>Véhicules neufs[...]</v>
          </cell>
          <cell r="C72"/>
          <cell r="D72"/>
          <cell r="E72">
            <v>0</v>
          </cell>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v>0</v>
          </cell>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v>0</v>
          </cell>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0.13094712485526977</v>
          </cell>
          <cell r="E75">
            <v>348976.44410183898</v>
          </cell>
          <cell r="F75" t="str">
            <v>% brut</v>
          </cell>
          <cell r="G75">
            <v>0.18366217565242215</v>
          </cell>
          <cell r="H75">
            <v>32377.647945091718</v>
          </cell>
          <cell r="I75" t="str">
            <v>% brut</v>
          </cell>
          <cell r="J75">
            <v>0.14575318327113801</v>
          </cell>
          <cell r="K75">
            <v>27467.265941327048</v>
          </cell>
          <cell r="L75" t="str">
            <v>% brut</v>
          </cell>
          <cell r="M75">
            <v>0.10266038693490991</v>
          </cell>
          <cell r="N75">
            <v>28025.1806291018</v>
          </cell>
          <cell r="O75" t="str">
            <v>% brut</v>
          </cell>
          <cell r="P75">
            <v>0.1009973105376625</v>
          </cell>
          <cell r="Q75">
            <v>28265.6999945063</v>
          </cell>
          <cell r="R75" t="str">
            <v>% brut</v>
          </cell>
          <cell r="S75">
            <v>9.8140374409515396E-2</v>
          </cell>
          <cell r="T75">
            <v>28532.015098545082</v>
          </cell>
          <cell r="U75" t="str">
            <v>% brut</v>
          </cell>
          <cell r="V75">
            <v>0.11211632311817375</v>
          </cell>
          <cell r="W75">
            <v>29388.88670550743</v>
          </cell>
          <cell r="X75" t="str">
            <v>% brut</v>
          </cell>
          <cell r="Y75">
            <v>0.11860037028590337</v>
          </cell>
          <cell r="Z75">
            <v>27903.013202340091</v>
          </cell>
          <cell r="AA75" t="str">
            <v>% brut</v>
          </cell>
          <cell r="AB75">
            <v>0.12984515629731311</v>
          </cell>
          <cell r="AC75">
            <v>27788.056750995696</v>
          </cell>
          <cell r="AD75" t="str">
            <v>% brut</v>
          </cell>
          <cell r="AE75">
            <v>0.13500740450031468</v>
          </cell>
          <cell r="AF75">
            <v>27944.604216783686</v>
          </cell>
          <cell r="AG75" t="str">
            <v>% brut</v>
          </cell>
          <cell r="AH75">
            <v>0.14232936230070106</v>
          </cell>
          <cell r="AI75">
            <v>28913.993831053755</v>
          </cell>
          <cell r="AJ75" t="str">
            <v>% brut</v>
          </cell>
          <cell r="AK75">
            <v>0.1665625032836561</v>
          </cell>
          <cell r="AL75">
            <v>30002.300611482075</v>
          </cell>
          <cell r="AM75" t="str">
            <v>% brut</v>
          </cell>
          <cell r="AN75">
            <v>0.20878512465950699</v>
          </cell>
          <cell r="AO75">
            <v>32367.779175104315</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0.93607167016117854</v>
          </cell>
          <cell r="E77">
            <v>2494647.8453678805</v>
          </cell>
          <cell r="F77" t="str">
            <v>% brut</v>
          </cell>
          <cell r="G77">
            <v>1.112777024215764</v>
          </cell>
          <cell r="H77">
            <v>196170.51035935307</v>
          </cell>
          <cell r="I77" t="str">
            <v>% brut</v>
          </cell>
          <cell r="J77">
            <v>0.97669986697234024</v>
          </cell>
          <cell r="K77">
            <v>184059.61632469093</v>
          </cell>
          <cell r="L77" t="str">
            <v>% brut</v>
          </cell>
          <cell r="M77">
            <v>0.79988860927932348</v>
          </cell>
          <cell r="N77">
            <v>218360.98058374954</v>
          </cell>
          <cell r="O77" t="str">
            <v>% brut</v>
          </cell>
          <cell r="P77">
            <v>0.8381639733488494</v>
          </cell>
          <cell r="Q77">
            <v>234573.48805389553</v>
          </cell>
          <cell r="R77" t="str">
            <v>% brut</v>
          </cell>
          <cell r="S77">
            <v>0.82090405447697457</v>
          </cell>
          <cell r="T77">
            <v>238658.62564431975</v>
          </cell>
          <cell r="U77" t="str">
            <v>% brut</v>
          </cell>
          <cell r="V77">
            <v>0.81036100584069093</v>
          </cell>
          <cell r="W77">
            <v>212418.73733328545</v>
          </cell>
          <cell r="X77" t="str">
            <v>% brut</v>
          </cell>
          <cell r="Y77">
            <v>0.91044920240854998</v>
          </cell>
          <cell r="Z77">
            <v>214200.64754962476</v>
          </cell>
          <cell r="AA77" t="str">
            <v>% brut</v>
          </cell>
          <cell r="AB77">
            <v>0.92339611098851759</v>
          </cell>
          <cell r="AC77">
            <v>197615.25394943528</v>
          </cell>
          <cell r="AD77" t="str">
            <v>% brut</v>
          </cell>
          <cell r="AE77">
            <v>0.94799155715779593</v>
          </cell>
          <cell r="AF77">
            <v>196220.71073564954</v>
          </cell>
          <cell r="AG77" t="str">
            <v>% brut</v>
          </cell>
          <cell r="AH77">
            <v>1.0303340021312466</v>
          </cell>
          <cell r="AI77">
            <v>209310.78802002792</v>
          </cell>
          <cell r="AJ77" t="str">
            <v>% brut</v>
          </cell>
          <cell r="AK77">
            <v>1.1396128792927072</v>
          </cell>
          <cell r="AL77">
            <v>205274.34153069323</v>
          </cell>
          <cell r="AM77" t="str">
            <v>% brut</v>
          </cell>
          <cell r="AN77">
            <v>1.2112828615742148</v>
          </cell>
          <cell r="AO77">
            <v>187784.1452831557</v>
          </cell>
        </row>
        <row r="78">
          <cell r="A78" t="str">
            <v>Véhicules neufsProgramme neuf 1</v>
          </cell>
          <cell r="C78"/>
          <cell r="D78"/>
          <cell r="E78">
            <v>140000</v>
          </cell>
          <cell r="F78"/>
          <cell r="G78"/>
          <cell r="H78">
            <v>0</v>
          </cell>
          <cell r="I78"/>
          <cell r="J78"/>
          <cell r="K78">
            <v>0</v>
          </cell>
          <cell r="L78"/>
          <cell r="M78"/>
          <cell r="N78">
            <v>35000</v>
          </cell>
          <cell r="O78"/>
          <cell r="P78"/>
          <cell r="Q78">
            <v>0</v>
          </cell>
          <cell r="R78"/>
          <cell r="S78"/>
          <cell r="T78">
            <v>0</v>
          </cell>
          <cell r="U78"/>
          <cell r="V78"/>
          <cell r="W78">
            <v>35000</v>
          </cell>
          <cell r="X78"/>
          <cell r="Y78"/>
          <cell r="Z78">
            <v>0</v>
          </cell>
          <cell r="AA78"/>
          <cell r="AB78"/>
          <cell r="AC78">
            <v>0</v>
          </cell>
          <cell r="AD78"/>
          <cell r="AE78"/>
          <cell r="AF78">
            <v>35000</v>
          </cell>
          <cell r="AG78"/>
          <cell r="AH78"/>
          <cell r="AI78">
            <v>0</v>
          </cell>
          <cell r="AJ78"/>
          <cell r="AK78"/>
          <cell r="AL78">
            <v>0</v>
          </cell>
          <cell r="AM78"/>
          <cell r="AN78"/>
          <cell r="AO78">
            <v>35000</v>
          </cell>
        </row>
        <row r="79">
          <cell r="A79" t="str">
            <v>Véhicules neufsProgramme neuf 2</v>
          </cell>
          <cell r="C79"/>
          <cell r="D79"/>
          <cell r="E79">
            <v>0</v>
          </cell>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row>
        <row r="80">
          <cell r="A80" t="str">
            <v>Véhicules neufsProgramme neuf 3</v>
          </cell>
          <cell r="C80"/>
          <cell r="D80"/>
          <cell r="E80">
            <v>0</v>
          </cell>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row>
        <row r="81">
          <cell r="A81" t="str">
            <v>Véhicules neufsHoldbacks</v>
          </cell>
          <cell r="C81"/>
          <cell r="D81"/>
          <cell r="E81">
            <v>971329.00248800265</v>
          </cell>
          <cell r="F81"/>
          <cell r="G81"/>
          <cell r="H81">
            <v>62754.401846134992</v>
          </cell>
          <cell r="I81"/>
          <cell r="J81"/>
          <cell r="K81">
            <v>68211.306354494562</v>
          </cell>
          <cell r="L81"/>
          <cell r="M81"/>
          <cell r="N81">
            <v>100952.73340465195</v>
          </cell>
          <cell r="O81"/>
          <cell r="P81"/>
          <cell r="Q81">
            <v>103681.18565883172</v>
          </cell>
          <cell r="R81"/>
          <cell r="S81"/>
          <cell r="T81">
            <v>107773.86404010141</v>
          </cell>
          <cell r="U81"/>
          <cell r="V81"/>
          <cell r="W81">
            <v>96860.055023382272</v>
          </cell>
          <cell r="X81"/>
          <cell r="Y81"/>
          <cell r="Z81">
            <v>85946.246006663147</v>
          </cell>
          <cell r="AA81"/>
          <cell r="AB81"/>
          <cell r="AC81">
            <v>77760.889244123799</v>
          </cell>
          <cell r="AD81"/>
          <cell r="AE81"/>
          <cell r="AF81">
            <v>75032.436989944021</v>
          </cell>
          <cell r="AG81"/>
          <cell r="AH81"/>
          <cell r="AI81">
            <v>73668.210862854117</v>
          </cell>
          <cell r="AJ81"/>
          <cell r="AK81"/>
          <cell r="AL81">
            <v>64118.627973224888</v>
          </cell>
          <cell r="AM81"/>
          <cell r="AN81"/>
          <cell r="AO81">
            <v>54569.045083595651</v>
          </cell>
        </row>
        <row r="82">
          <cell r="A82" t="str">
            <v>Véhicules neufs[...]</v>
          </cell>
          <cell r="C82"/>
          <cell r="D82"/>
          <cell r="E82">
            <v>0</v>
          </cell>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v>0</v>
          </cell>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v>0</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cell r="E85">
            <v>329001.14999999997</v>
          </cell>
          <cell r="F85"/>
          <cell r="G85"/>
          <cell r="H85">
            <v>21842.399999999998</v>
          </cell>
          <cell r="I85"/>
          <cell r="J85"/>
          <cell r="K85">
            <v>23207.55</v>
          </cell>
          <cell r="L85"/>
          <cell r="M85"/>
          <cell r="N85">
            <v>33673.699999999997</v>
          </cell>
          <cell r="O85"/>
          <cell r="P85"/>
          <cell r="Q85">
            <v>34583.799999999996</v>
          </cell>
          <cell r="R85"/>
          <cell r="S85"/>
          <cell r="T85">
            <v>35948.949999999997</v>
          </cell>
          <cell r="U85"/>
          <cell r="V85"/>
          <cell r="W85">
            <v>32308.549999999996</v>
          </cell>
          <cell r="X85"/>
          <cell r="Y85"/>
          <cell r="Z85">
            <v>29123.199999999997</v>
          </cell>
          <cell r="AA85"/>
          <cell r="AB85"/>
          <cell r="AC85">
            <v>26392.899999999998</v>
          </cell>
          <cell r="AD85"/>
          <cell r="AE85"/>
          <cell r="AF85">
            <v>25482.799999999996</v>
          </cell>
          <cell r="AG85"/>
          <cell r="AH85"/>
          <cell r="AI85">
            <v>25027.749999999996</v>
          </cell>
          <cell r="AJ85"/>
          <cell r="AK85"/>
          <cell r="AL85">
            <v>22297.449999999997</v>
          </cell>
          <cell r="AM85"/>
          <cell r="AN85"/>
          <cell r="AO85">
            <v>19112.099999999999</v>
          </cell>
        </row>
        <row r="86">
          <cell r="A86" t="str">
            <v>Véhicules neufsAUTRES REVENUS</v>
          </cell>
          <cell r="C86"/>
          <cell r="D86"/>
          <cell r="E86">
            <v>1440330.1524880026</v>
          </cell>
          <cell r="F86"/>
          <cell r="G86"/>
          <cell r="H86">
            <v>84596.801846134986</v>
          </cell>
          <cell r="I86"/>
          <cell r="J86"/>
          <cell r="K86">
            <v>91418.856354494565</v>
          </cell>
          <cell r="L86"/>
          <cell r="M86"/>
          <cell r="N86">
            <v>169626.43340465194</v>
          </cell>
          <cell r="O86"/>
          <cell r="P86"/>
          <cell r="Q86">
            <v>138264.98565883172</v>
          </cell>
          <cell r="R86"/>
          <cell r="S86"/>
          <cell r="T86">
            <v>143722.81404010142</v>
          </cell>
          <cell r="U86"/>
          <cell r="V86"/>
          <cell r="W86">
            <v>164168.60502338226</v>
          </cell>
          <cell r="X86"/>
          <cell r="Y86"/>
          <cell r="Z86">
            <v>115069.44600666314</v>
          </cell>
          <cell r="AA86"/>
          <cell r="AB86"/>
          <cell r="AC86">
            <v>104153.78924412379</v>
          </cell>
          <cell r="AD86"/>
          <cell r="AE86"/>
          <cell r="AF86">
            <v>135515.23698994401</v>
          </cell>
          <cell r="AG86"/>
          <cell r="AH86"/>
          <cell r="AI86">
            <v>98695.960862854117</v>
          </cell>
          <cell r="AJ86"/>
          <cell r="AK86"/>
          <cell r="AL86">
            <v>86416.077973224892</v>
          </cell>
          <cell r="AM86"/>
          <cell r="AN86"/>
          <cell r="AO86">
            <v>108681.14508359565</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v>4.4758874042790511E-2</v>
          </cell>
          <cell r="E88">
            <v>1610700.3018836393</v>
          </cell>
          <cell r="F88"/>
          <cell r="G88"/>
          <cell r="H88">
            <v>64715.436652773627</v>
          </cell>
          <cell r="I88"/>
          <cell r="J88"/>
          <cell r="K88">
            <v>95809.778981196185</v>
          </cell>
          <cell r="L88"/>
          <cell r="M88"/>
          <cell r="N88">
            <v>224254.6891353018</v>
          </cell>
          <cell r="O88"/>
          <cell r="P88"/>
          <cell r="Q88">
            <v>183557.36575561186</v>
          </cell>
          <cell r="R88"/>
          <cell r="S88"/>
          <cell r="T88">
            <v>195790.76520185819</v>
          </cell>
          <cell r="U88"/>
          <cell r="V88"/>
          <cell r="W88">
            <v>213878.39534909537</v>
          </cell>
          <cell r="X88"/>
          <cell r="Y88"/>
          <cell r="Z88">
            <v>136137.98973423117</v>
          </cell>
          <cell r="AA88"/>
          <cell r="AB88"/>
          <cell r="AC88">
            <v>120547.72549788683</v>
          </cell>
          <cell r="AD88"/>
          <cell r="AE88"/>
          <cell r="AF88">
            <v>146280.24174309606</v>
          </cell>
          <cell r="AG88"/>
          <cell r="AH88"/>
          <cell r="AI88">
            <v>92533.654390623706</v>
          </cell>
          <cell r="AJ88"/>
          <cell r="AK88"/>
          <cell r="AL88">
            <v>61268.115549527487</v>
          </cell>
          <cell r="AM88"/>
          <cell r="AN88"/>
          <cell r="AO88">
            <v>75926.143892437191</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v>2021</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18503608.462466374</v>
          </cell>
          <cell r="F96"/>
          <cell r="G96"/>
          <cell r="H96">
            <v>1039006.6025411608</v>
          </cell>
          <cell r="I96"/>
          <cell r="J96"/>
          <cell r="K96">
            <v>948717.19560298533</v>
          </cell>
          <cell r="L96"/>
          <cell r="M96"/>
          <cell r="N96">
            <v>1332498.4906039732</v>
          </cell>
          <cell r="O96"/>
          <cell r="P96"/>
          <cell r="Q96">
            <v>1484291.1825978032</v>
          </cell>
          <cell r="R96"/>
          <cell r="S96"/>
          <cell r="T96">
            <v>1643017.3843954331</v>
          </cell>
          <cell r="U96"/>
          <cell r="V96"/>
          <cell r="W96">
            <v>1874491.9506228818</v>
          </cell>
          <cell r="X96"/>
          <cell r="Y96"/>
          <cell r="Z96">
            <v>1897814.9194857227</v>
          </cell>
          <cell r="AA96"/>
          <cell r="AB96"/>
          <cell r="AC96">
            <v>1852382.3201543055</v>
          </cell>
          <cell r="AD96"/>
          <cell r="AE96"/>
          <cell r="AF96">
            <v>1682729.812317315</v>
          </cell>
          <cell r="AG96"/>
          <cell r="AH96"/>
          <cell r="AI96">
            <v>1857845.4731739857</v>
          </cell>
          <cell r="AJ96"/>
          <cell r="AK96"/>
          <cell r="AL96">
            <v>1552789.7324022062</v>
          </cell>
          <cell r="AM96"/>
          <cell r="AN96"/>
          <cell r="AO96">
            <v>1338023.398568602</v>
          </cell>
        </row>
        <row r="97">
          <cell r="A97" t="str">
            <v>Véhicules usagésCertifié</v>
          </cell>
          <cell r="C97">
            <v>329</v>
          </cell>
          <cell r="D97">
            <v>1500</v>
          </cell>
          <cell r="E97">
            <v>493500</v>
          </cell>
          <cell r="F97">
            <v>20</v>
          </cell>
          <cell r="G97">
            <v>1500</v>
          </cell>
          <cell r="H97">
            <v>30000</v>
          </cell>
          <cell r="I97">
            <v>21</v>
          </cell>
          <cell r="J97">
            <v>1500</v>
          </cell>
          <cell r="K97">
            <v>31500</v>
          </cell>
          <cell r="L97">
            <v>31</v>
          </cell>
          <cell r="M97">
            <v>1500</v>
          </cell>
          <cell r="N97">
            <v>46500</v>
          </cell>
          <cell r="O97">
            <v>31</v>
          </cell>
          <cell r="P97">
            <v>1500</v>
          </cell>
          <cell r="Q97">
            <v>46500</v>
          </cell>
          <cell r="R97">
            <v>33</v>
          </cell>
          <cell r="S97">
            <v>1500</v>
          </cell>
          <cell r="T97">
            <v>49500</v>
          </cell>
          <cell r="U97">
            <v>31</v>
          </cell>
          <cell r="V97">
            <v>1500</v>
          </cell>
          <cell r="W97">
            <v>46500</v>
          </cell>
          <cell r="X97">
            <v>30</v>
          </cell>
          <cell r="Y97">
            <v>1500</v>
          </cell>
          <cell r="Z97">
            <v>45000</v>
          </cell>
          <cell r="AA97">
            <v>29</v>
          </cell>
          <cell r="AB97">
            <v>1500</v>
          </cell>
          <cell r="AC97">
            <v>43500</v>
          </cell>
          <cell r="AD97">
            <v>29</v>
          </cell>
          <cell r="AE97">
            <v>1500</v>
          </cell>
          <cell r="AF97">
            <v>43500</v>
          </cell>
          <cell r="AG97">
            <v>28</v>
          </cell>
          <cell r="AH97">
            <v>1500</v>
          </cell>
          <cell r="AI97">
            <v>42000</v>
          </cell>
          <cell r="AJ97">
            <v>25</v>
          </cell>
          <cell r="AK97">
            <v>1500</v>
          </cell>
          <cell r="AL97">
            <v>37500</v>
          </cell>
          <cell r="AM97">
            <v>21</v>
          </cell>
          <cell r="AN97">
            <v>1500</v>
          </cell>
          <cell r="AO97">
            <v>31500</v>
          </cell>
        </row>
        <row r="98">
          <cell r="A98" t="str">
            <v>Véhicules usagésNon Certifié</v>
          </cell>
          <cell r="C98">
            <v>102</v>
          </cell>
          <cell r="D98">
            <v>1500</v>
          </cell>
          <cell r="E98">
            <v>153000</v>
          </cell>
          <cell r="F98">
            <v>6</v>
          </cell>
          <cell r="G98">
            <v>1500</v>
          </cell>
          <cell r="H98">
            <v>9000</v>
          </cell>
          <cell r="I98">
            <v>6</v>
          </cell>
          <cell r="J98">
            <v>1500</v>
          </cell>
          <cell r="K98">
            <v>9000</v>
          </cell>
          <cell r="L98">
            <v>9</v>
          </cell>
          <cell r="M98">
            <v>1500</v>
          </cell>
          <cell r="N98">
            <v>13500</v>
          </cell>
          <cell r="O98">
            <v>10</v>
          </cell>
          <cell r="P98">
            <v>1500</v>
          </cell>
          <cell r="Q98">
            <v>15000</v>
          </cell>
          <cell r="R98">
            <v>10</v>
          </cell>
          <cell r="S98">
            <v>1500</v>
          </cell>
          <cell r="T98">
            <v>15000</v>
          </cell>
          <cell r="U98">
            <v>10</v>
          </cell>
          <cell r="V98">
            <v>1500</v>
          </cell>
          <cell r="W98">
            <v>15000</v>
          </cell>
          <cell r="X98">
            <v>9</v>
          </cell>
          <cell r="Y98">
            <v>1500</v>
          </cell>
          <cell r="Z98">
            <v>13500</v>
          </cell>
          <cell r="AA98">
            <v>9</v>
          </cell>
          <cell r="AB98">
            <v>1500</v>
          </cell>
          <cell r="AC98">
            <v>13500</v>
          </cell>
          <cell r="AD98">
            <v>9</v>
          </cell>
          <cell r="AE98">
            <v>1500</v>
          </cell>
          <cell r="AF98">
            <v>13500</v>
          </cell>
          <cell r="AG98">
            <v>9</v>
          </cell>
          <cell r="AH98">
            <v>1500</v>
          </cell>
          <cell r="AI98">
            <v>13500</v>
          </cell>
          <cell r="AJ98">
            <v>8</v>
          </cell>
          <cell r="AK98">
            <v>1500</v>
          </cell>
          <cell r="AL98">
            <v>12000</v>
          </cell>
          <cell r="AM98">
            <v>7</v>
          </cell>
          <cell r="AN98">
            <v>1500</v>
          </cell>
          <cell r="AO98">
            <v>10500</v>
          </cell>
        </row>
        <row r="99">
          <cell r="A99" t="str">
            <v>Véhicules usagésAutres Marques</v>
          </cell>
          <cell r="C99">
            <v>102</v>
          </cell>
          <cell r="D99">
            <v>1500</v>
          </cell>
          <cell r="E99">
            <v>153000</v>
          </cell>
          <cell r="F99">
            <v>6</v>
          </cell>
          <cell r="G99">
            <v>1500</v>
          </cell>
          <cell r="H99">
            <v>9000</v>
          </cell>
          <cell r="I99">
            <v>6</v>
          </cell>
          <cell r="J99">
            <v>1500</v>
          </cell>
          <cell r="K99">
            <v>9000</v>
          </cell>
          <cell r="L99">
            <v>9</v>
          </cell>
          <cell r="M99">
            <v>1500</v>
          </cell>
          <cell r="N99">
            <v>13500</v>
          </cell>
          <cell r="O99">
            <v>10</v>
          </cell>
          <cell r="P99">
            <v>1500</v>
          </cell>
          <cell r="Q99">
            <v>15000</v>
          </cell>
          <cell r="R99">
            <v>10</v>
          </cell>
          <cell r="S99">
            <v>1500</v>
          </cell>
          <cell r="T99">
            <v>15000</v>
          </cell>
          <cell r="U99">
            <v>10</v>
          </cell>
          <cell r="V99">
            <v>1500</v>
          </cell>
          <cell r="W99">
            <v>15000</v>
          </cell>
          <cell r="X99">
            <v>9</v>
          </cell>
          <cell r="Y99">
            <v>1500</v>
          </cell>
          <cell r="Z99">
            <v>13500</v>
          </cell>
          <cell r="AA99">
            <v>9</v>
          </cell>
          <cell r="AB99">
            <v>1500</v>
          </cell>
          <cell r="AC99">
            <v>13500</v>
          </cell>
          <cell r="AD99">
            <v>9</v>
          </cell>
          <cell r="AE99">
            <v>1500</v>
          </cell>
          <cell r="AF99">
            <v>13500</v>
          </cell>
          <cell r="AG99">
            <v>9</v>
          </cell>
          <cell r="AH99">
            <v>1500</v>
          </cell>
          <cell r="AI99">
            <v>13500</v>
          </cell>
          <cell r="AJ99">
            <v>8</v>
          </cell>
          <cell r="AK99">
            <v>1500</v>
          </cell>
          <cell r="AL99">
            <v>12000</v>
          </cell>
          <cell r="AM99">
            <v>7</v>
          </cell>
          <cell r="AN99">
            <v>1500</v>
          </cell>
          <cell r="AO99">
            <v>10500</v>
          </cell>
        </row>
        <row r="100">
          <cell r="A100" t="str">
            <v>Véhicules usagésTotal Usagés</v>
          </cell>
          <cell r="C100">
            <v>533</v>
          </cell>
          <cell r="D100">
            <v>1500</v>
          </cell>
          <cell r="E100">
            <v>799500</v>
          </cell>
          <cell r="F100">
            <v>32</v>
          </cell>
          <cell r="G100">
            <v>1500</v>
          </cell>
          <cell r="H100">
            <v>48000</v>
          </cell>
          <cell r="I100">
            <v>33</v>
          </cell>
          <cell r="J100">
            <v>1500</v>
          </cell>
          <cell r="K100">
            <v>49500</v>
          </cell>
          <cell r="L100">
            <v>49</v>
          </cell>
          <cell r="M100">
            <v>1500</v>
          </cell>
          <cell r="N100">
            <v>73500</v>
          </cell>
          <cell r="O100">
            <v>51</v>
          </cell>
          <cell r="P100">
            <v>1500</v>
          </cell>
          <cell r="Q100">
            <v>76500</v>
          </cell>
          <cell r="R100">
            <v>53</v>
          </cell>
          <cell r="S100">
            <v>1500</v>
          </cell>
          <cell r="T100">
            <v>79500</v>
          </cell>
          <cell r="U100">
            <v>51</v>
          </cell>
          <cell r="V100">
            <v>1500</v>
          </cell>
          <cell r="W100">
            <v>76500</v>
          </cell>
          <cell r="X100">
            <v>48</v>
          </cell>
          <cell r="Y100">
            <v>1500</v>
          </cell>
          <cell r="Z100">
            <v>72000</v>
          </cell>
          <cell r="AA100">
            <v>47</v>
          </cell>
          <cell r="AB100">
            <v>1500</v>
          </cell>
          <cell r="AC100">
            <v>70500</v>
          </cell>
          <cell r="AD100">
            <v>47</v>
          </cell>
          <cell r="AE100">
            <v>1500</v>
          </cell>
          <cell r="AF100">
            <v>70500</v>
          </cell>
          <cell r="AG100">
            <v>46</v>
          </cell>
          <cell r="AH100">
            <v>1500</v>
          </cell>
          <cell r="AI100">
            <v>69000</v>
          </cell>
          <cell r="AJ100">
            <v>41</v>
          </cell>
          <cell r="AK100">
            <v>1500</v>
          </cell>
          <cell r="AL100">
            <v>61500</v>
          </cell>
          <cell r="AM100">
            <v>35</v>
          </cell>
          <cell r="AN100">
            <v>1500</v>
          </cell>
          <cell r="AO100">
            <v>52500</v>
          </cell>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
          </cell>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row>
        <row r="103">
          <cell r="A103" t="str">
            <v>Véhicules usagésVentes au Gros</v>
          </cell>
          <cell r="C103">
            <v>340</v>
          </cell>
          <cell r="D103">
            <v>500</v>
          </cell>
          <cell r="E103">
            <v>170000</v>
          </cell>
          <cell r="F103">
            <v>16</v>
          </cell>
          <cell r="G103">
            <v>500</v>
          </cell>
          <cell r="H103">
            <v>8000</v>
          </cell>
          <cell r="I103">
            <v>9</v>
          </cell>
          <cell r="J103">
            <v>500</v>
          </cell>
          <cell r="K103">
            <v>4500</v>
          </cell>
          <cell r="L103">
            <v>9</v>
          </cell>
          <cell r="M103">
            <v>500</v>
          </cell>
          <cell r="N103">
            <v>4500</v>
          </cell>
          <cell r="O103">
            <v>16</v>
          </cell>
          <cell r="P103">
            <v>500</v>
          </cell>
          <cell r="Q103">
            <v>8000</v>
          </cell>
          <cell r="R103">
            <v>22</v>
          </cell>
          <cell r="S103">
            <v>500</v>
          </cell>
          <cell r="T103">
            <v>11000</v>
          </cell>
          <cell r="U103">
            <v>39</v>
          </cell>
          <cell r="V103">
            <v>500</v>
          </cell>
          <cell r="W103">
            <v>19500</v>
          </cell>
          <cell r="X103">
            <v>44</v>
          </cell>
          <cell r="Y103">
            <v>500</v>
          </cell>
          <cell r="Z103">
            <v>22000</v>
          </cell>
          <cell r="AA103">
            <v>43</v>
          </cell>
          <cell r="AB103">
            <v>500</v>
          </cell>
          <cell r="AC103">
            <v>21500</v>
          </cell>
          <cell r="AD103">
            <v>33</v>
          </cell>
          <cell r="AE103">
            <v>500</v>
          </cell>
          <cell r="AF103">
            <v>16500</v>
          </cell>
          <cell r="AG103">
            <v>45</v>
          </cell>
          <cell r="AH103">
            <v>500</v>
          </cell>
          <cell r="AI103">
            <v>22500</v>
          </cell>
          <cell r="AJ103">
            <v>34</v>
          </cell>
          <cell r="AK103">
            <v>500</v>
          </cell>
          <cell r="AL103">
            <v>17000</v>
          </cell>
          <cell r="AM103">
            <v>30</v>
          </cell>
          <cell r="AN103">
            <v>500</v>
          </cell>
          <cell r="AO103">
            <v>15000</v>
          </cell>
        </row>
        <row r="104">
          <cell r="A104" t="str">
            <v>Véhicules usagés</v>
          </cell>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row>
        <row r="105">
          <cell r="A105" t="str">
            <v>Véhicules usagésRev. Finances</v>
          </cell>
          <cell r="C105"/>
          <cell r="D105">
            <v>350</v>
          </cell>
          <cell r="E105">
            <v>186550</v>
          </cell>
          <cell r="F105"/>
          <cell r="G105">
            <v>350</v>
          </cell>
          <cell r="H105">
            <v>11200</v>
          </cell>
          <cell r="I105"/>
          <cell r="J105">
            <v>350</v>
          </cell>
          <cell r="K105">
            <v>11550</v>
          </cell>
          <cell r="L105"/>
          <cell r="M105">
            <v>350</v>
          </cell>
          <cell r="N105">
            <v>17150</v>
          </cell>
          <cell r="O105"/>
          <cell r="P105">
            <v>350</v>
          </cell>
          <cell r="Q105">
            <v>17850</v>
          </cell>
          <cell r="R105"/>
          <cell r="S105">
            <v>350</v>
          </cell>
          <cell r="T105">
            <v>18550</v>
          </cell>
          <cell r="U105"/>
          <cell r="V105">
            <v>350</v>
          </cell>
          <cell r="W105">
            <v>17850</v>
          </cell>
          <cell r="X105"/>
          <cell r="Y105">
            <v>350</v>
          </cell>
          <cell r="Z105">
            <v>16800</v>
          </cell>
          <cell r="AA105"/>
          <cell r="AB105">
            <v>350</v>
          </cell>
          <cell r="AC105">
            <v>16450</v>
          </cell>
          <cell r="AD105"/>
          <cell r="AE105">
            <v>350</v>
          </cell>
          <cell r="AF105">
            <v>16450</v>
          </cell>
          <cell r="AG105"/>
          <cell r="AH105">
            <v>350</v>
          </cell>
          <cell r="AI105">
            <v>16100</v>
          </cell>
          <cell r="AJ105"/>
          <cell r="AK105">
            <v>350</v>
          </cell>
          <cell r="AL105">
            <v>14350</v>
          </cell>
          <cell r="AM105"/>
          <cell r="AN105">
            <v>350</v>
          </cell>
          <cell r="AO105">
            <v>12250</v>
          </cell>
        </row>
        <row r="106">
          <cell r="A106" t="str">
            <v>Véhicules usagésRev. Protections</v>
          </cell>
          <cell r="C106"/>
          <cell r="D106">
            <v>1600</v>
          </cell>
          <cell r="E106">
            <v>852800</v>
          </cell>
          <cell r="F106"/>
          <cell r="G106">
            <v>1600</v>
          </cell>
          <cell r="H106">
            <v>51200</v>
          </cell>
          <cell r="I106"/>
          <cell r="J106">
            <v>1600</v>
          </cell>
          <cell r="K106">
            <v>52800</v>
          </cell>
          <cell r="L106"/>
          <cell r="M106">
            <v>1600</v>
          </cell>
          <cell r="N106">
            <v>78400</v>
          </cell>
          <cell r="O106"/>
          <cell r="P106">
            <v>1600</v>
          </cell>
          <cell r="Q106">
            <v>81600</v>
          </cell>
          <cell r="R106"/>
          <cell r="S106">
            <v>1600</v>
          </cell>
          <cell r="T106">
            <v>84800</v>
          </cell>
          <cell r="U106"/>
          <cell r="V106">
            <v>1600</v>
          </cell>
          <cell r="W106">
            <v>81600</v>
          </cell>
          <cell r="X106"/>
          <cell r="Y106">
            <v>1600</v>
          </cell>
          <cell r="Z106">
            <v>76800</v>
          </cell>
          <cell r="AA106"/>
          <cell r="AB106">
            <v>1600</v>
          </cell>
          <cell r="AC106">
            <v>75200</v>
          </cell>
          <cell r="AD106"/>
          <cell r="AE106">
            <v>1600</v>
          </cell>
          <cell r="AF106">
            <v>75200</v>
          </cell>
          <cell r="AG106"/>
          <cell r="AH106">
            <v>1600</v>
          </cell>
          <cell r="AI106">
            <v>73600</v>
          </cell>
          <cell r="AJ106"/>
          <cell r="AK106">
            <v>1600</v>
          </cell>
          <cell r="AL106">
            <v>65600</v>
          </cell>
          <cell r="AM106"/>
          <cell r="AN106">
            <v>1600</v>
          </cell>
          <cell r="AO106">
            <v>56000</v>
          </cell>
        </row>
        <row r="107">
          <cell r="A107" t="str">
            <v>Véhicules usagésRev. Autres</v>
          </cell>
          <cell r="C107"/>
          <cell r="D107">
            <v>50</v>
          </cell>
          <cell r="E107">
            <v>26650</v>
          </cell>
          <cell r="F107"/>
          <cell r="G107">
            <v>50</v>
          </cell>
          <cell r="H107">
            <v>1600</v>
          </cell>
          <cell r="I107"/>
          <cell r="J107">
            <v>50</v>
          </cell>
          <cell r="K107">
            <v>1650</v>
          </cell>
          <cell r="L107"/>
          <cell r="M107">
            <v>50</v>
          </cell>
          <cell r="N107">
            <v>2450</v>
          </cell>
          <cell r="O107"/>
          <cell r="P107">
            <v>50</v>
          </cell>
          <cell r="Q107">
            <v>2550</v>
          </cell>
          <cell r="R107"/>
          <cell r="S107">
            <v>50</v>
          </cell>
          <cell r="T107">
            <v>2650</v>
          </cell>
          <cell r="U107"/>
          <cell r="V107">
            <v>50</v>
          </cell>
          <cell r="W107">
            <v>2550</v>
          </cell>
          <cell r="X107"/>
          <cell r="Y107">
            <v>50</v>
          </cell>
          <cell r="Z107">
            <v>2400</v>
          </cell>
          <cell r="AA107"/>
          <cell r="AB107">
            <v>50</v>
          </cell>
          <cell r="AC107">
            <v>2350</v>
          </cell>
          <cell r="AD107"/>
          <cell r="AE107">
            <v>50</v>
          </cell>
          <cell r="AF107">
            <v>2350</v>
          </cell>
          <cell r="AG107"/>
          <cell r="AH107">
            <v>50</v>
          </cell>
          <cell r="AI107">
            <v>2300</v>
          </cell>
          <cell r="AJ107"/>
          <cell r="AK107">
            <v>50</v>
          </cell>
          <cell r="AL107">
            <v>2050</v>
          </cell>
          <cell r="AM107"/>
          <cell r="AN107">
            <v>50</v>
          </cell>
          <cell r="AO107">
            <v>1750</v>
          </cell>
        </row>
        <row r="108">
          <cell r="A108" t="str">
            <v>Véhicules usagésTotal F&amp;I</v>
          </cell>
          <cell r="C108">
            <v>533</v>
          </cell>
          <cell r="D108">
            <v>2000</v>
          </cell>
          <cell r="E108">
            <v>1066000</v>
          </cell>
          <cell r="F108">
            <v>32</v>
          </cell>
          <cell r="G108">
            <v>2000</v>
          </cell>
          <cell r="H108">
            <v>64000</v>
          </cell>
          <cell r="I108">
            <v>33</v>
          </cell>
          <cell r="J108">
            <v>2000</v>
          </cell>
          <cell r="K108">
            <v>66000</v>
          </cell>
          <cell r="L108">
            <v>49</v>
          </cell>
          <cell r="M108">
            <v>2000</v>
          </cell>
          <cell r="N108">
            <v>98000</v>
          </cell>
          <cell r="O108">
            <v>51</v>
          </cell>
          <cell r="P108">
            <v>2000</v>
          </cell>
          <cell r="Q108">
            <v>102000</v>
          </cell>
          <cell r="R108">
            <v>53</v>
          </cell>
          <cell r="S108">
            <v>2000</v>
          </cell>
          <cell r="T108">
            <v>106000</v>
          </cell>
          <cell r="U108">
            <v>51</v>
          </cell>
          <cell r="V108">
            <v>2000</v>
          </cell>
          <cell r="W108">
            <v>102000</v>
          </cell>
          <cell r="X108">
            <v>48</v>
          </cell>
          <cell r="Y108">
            <v>2000</v>
          </cell>
          <cell r="Z108">
            <v>96000</v>
          </cell>
          <cell r="AA108">
            <v>47</v>
          </cell>
          <cell r="AB108">
            <v>2000</v>
          </cell>
          <cell r="AC108">
            <v>94000</v>
          </cell>
          <cell r="AD108">
            <v>47</v>
          </cell>
          <cell r="AE108">
            <v>2000</v>
          </cell>
          <cell r="AF108">
            <v>94000</v>
          </cell>
          <cell r="AG108">
            <v>46</v>
          </cell>
          <cell r="AH108">
            <v>2000</v>
          </cell>
          <cell r="AI108">
            <v>92000</v>
          </cell>
          <cell r="AJ108">
            <v>41</v>
          </cell>
          <cell r="AK108">
            <v>2000</v>
          </cell>
          <cell r="AL108">
            <v>82000</v>
          </cell>
          <cell r="AM108">
            <v>35</v>
          </cell>
          <cell r="AN108">
            <v>2000</v>
          </cell>
          <cell r="AO108">
            <v>70000</v>
          </cell>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v>
          </cell>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row>
        <row r="111">
          <cell r="A111" t="str">
            <v>Véhicules usagésTotal Dépt. Usagés</v>
          </cell>
          <cell r="C111">
            <v>873</v>
          </cell>
          <cell r="D111">
            <v>2331.6151202749143</v>
          </cell>
          <cell r="E111">
            <v>2035500</v>
          </cell>
          <cell r="F111">
            <v>48</v>
          </cell>
          <cell r="G111">
            <v>2500</v>
          </cell>
          <cell r="H111">
            <v>120000</v>
          </cell>
          <cell r="I111">
            <v>42</v>
          </cell>
          <cell r="J111">
            <v>2857.1428571428573</v>
          </cell>
          <cell r="K111">
            <v>120000</v>
          </cell>
          <cell r="L111">
            <v>58</v>
          </cell>
          <cell r="M111">
            <v>3034.4827586206898</v>
          </cell>
          <cell r="N111">
            <v>176000</v>
          </cell>
          <cell r="O111">
            <v>67</v>
          </cell>
          <cell r="P111">
            <v>2783.5820895522388</v>
          </cell>
          <cell r="Q111">
            <v>186500</v>
          </cell>
          <cell r="R111">
            <v>75</v>
          </cell>
          <cell r="S111">
            <v>2620</v>
          </cell>
          <cell r="T111">
            <v>196500</v>
          </cell>
          <cell r="U111">
            <v>90</v>
          </cell>
          <cell r="V111">
            <v>2200</v>
          </cell>
          <cell r="W111">
            <v>198000</v>
          </cell>
          <cell r="X111">
            <v>92</v>
          </cell>
          <cell r="Y111">
            <v>2065.217391304348</v>
          </cell>
          <cell r="Z111">
            <v>190000</v>
          </cell>
          <cell r="AA111">
            <v>90</v>
          </cell>
          <cell r="AB111">
            <v>2066.6666666666665</v>
          </cell>
          <cell r="AC111">
            <v>186000</v>
          </cell>
          <cell r="AD111">
            <v>80</v>
          </cell>
          <cell r="AE111">
            <v>2262.5</v>
          </cell>
          <cell r="AF111">
            <v>181000</v>
          </cell>
          <cell r="AG111">
            <v>91</v>
          </cell>
          <cell r="AH111">
            <v>2016.4835164835165</v>
          </cell>
          <cell r="AI111">
            <v>183500</v>
          </cell>
          <cell r="AJ111">
            <v>75</v>
          </cell>
          <cell r="AK111">
            <v>2140</v>
          </cell>
          <cell r="AL111">
            <v>160500</v>
          </cell>
          <cell r="AM111">
            <v>65</v>
          </cell>
          <cell r="AN111">
            <v>2115.3846153846152</v>
          </cell>
          <cell r="AO111">
            <v>137500</v>
          </cell>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usagésDEPENSES</v>
          </cell>
          <cell r="C114"/>
          <cell r="D114"/>
          <cell r="E114"/>
          <cell r="F114"/>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row>
        <row r="115">
          <cell r="A115" t="str">
            <v>Véhicules usagésComm. vendeurs</v>
          </cell>
          <cell r="C115">
            <v>0.31552845528455287</v>
          </cell>
          <cell r="D115">
            <v>473.29268292682929</v>
          </cell>
          <cell r="E115">
            <v>252265</v>
          </cell>
          <cell r="F115">
            <v>0.32833333333333331</v>
          </cell>
          <cell r="G115">
            <v>492.5</v>
          </cell>
          <cell r="H115">
            <v>15760</v>
          </cell>
          <cell r="I115">
            <v>0.32656565656565656</v>
          </cell>
          <cell r="J115">
            <v>489.84848484848487</v>
          </cell>
          <cell r="K115">
            <v>16165</v>
          </cell>
          <cell r="L115">
            <v>0.30809523809523809</v>
          </cell>
          <cell r="M115">
            <v>462.14285714285717</v>
          </cell>
          <cell r="N115">
            <v>22645</v>
          </cell>
          <cell r="O115">
            <v>0.30660130718954248</v>
          </cell>
          <cell r="P115">
            <v>459.9019607843137</v>
          </cell>
          <cell r="Q115">
            <v>23455</v>
          </cell>
          <cell r="R115">
            <v>0.31402515723270441</v>
          </cell>
          <cell r="S115">
            <v>471.03773584905662</v>
          </cell>
          <cell r="T115">
            <v>24965</v>
          </cell>
          <cell r="U115">
            <v>0.30660130718954248</v>
          </cell>
          <cell r="V115">
            <v>459.9019607843137</v>
          </cell>
          <cell r="W115">
            <v>23455</v>
          </cell>
          <cell r="X115">
            <v>0.31861111111111112</v>
          </cell>
          <cell r="Y115">
            <v>477.91666666666669</v>
          </cell>
          <cell r="Z115">
            <v>22940</v>
          </cell>
          <cell r="AA115">
            <v>0.30971631205673761</v>
          </cell>
          <cell r="AB115">
            <v>464.57446808510639</v>
          </cell>
          <cell r="AC115">
            <v>21835</v>
          </cell>
          <cell r="AD115">
            <v>0.30971631205673761</v>
          </cell>
          <cell r="AE115">
            <v>464.57446808510639</v>
          </cell>
          <cell r="AF115">
            <v>21835</v>
          </cell>
          <cell r="AG115">
            <v>0.32072463768115944</v>
          </cell>
          <cell r="AH115">
            <v>481.08695652173913</v>
          </cell>
          <cell r="AI115">
            <v>22130</v>
          </cell>
          <cell r="AJ115">
            <v>0.31552845528455287</v>
          </cell>
          <cell r="AK115">
            <v>473.29268292682929</v>
          </cell>
          <cell r="AL115">
            <v>19405</v>
          </cell>
          <cell r="AM115">
            <v>0.33666666666666667</v>
          </cell>
          <cell r="AN115">
            <v>505</v>
          </cell>
          <cell r="AO115">
            <v>17675</v>
          </cell>
        </row>
        <row r="116">
          <cell r="A116" t="str">
            <v>Véhicules usagésComm. F&amp;I</v>
          </cell>
          <cell r="C116">
            <v>0.25876172607879927</v>
          </cell>
          <cell r="D116">
            <v>517.52345215759851</v>
          </cell>
          <cell r="E116">
            <v>275840</v>
          </cell>
          <cell r="F116">
            <v>0.26064977973568282</v>
          </cell>
          <cell r="G116">
            <v>521.29955947136568</v>
          </cell>
          <cell r="H116">
            <v>16681.585903083702</v>
          </cell>
          <cell r="I116">
            <v>0.26135896409024167</v>
          </cell>
          <cell r="J116">
            <v>522.71792818048334</v>
          </cell>
          <cell r="K116">
            <v>17249.691629955949</v>
          </cell>
          <cell r="L116">
            <v>0.26097755401720157</v>
          </cell>
          <cell r="M116">
            <v>521.95510803440322</v>
          </cell>
          <cell r="N116">
            <v>25575.800293685756</v>
          </cell>
          <cell r="O116">
            <v>0.26044283205205726</v>
          </cell>
          <cell r="P116">
            <v>520.88566410411454</v>
          </cell>
          <cell r="Q116">
            <v>26565.16886930984</v>
          </cell>
          <cell r="R116">
            <v>0.26050259053001967</v>
          </cell>
          <cell r="S116">
            <v>521.00518106003926</v>
          </cell>
          <cell r="T116">
            <v>27613.274596182084</v>
          </cell>
          <cell r="U116">
            <v>0.25929112320405401</v>
          </cell>
          <cell r="V116">
            <v>518.58224640810806</v>
          </cell>
          <cell r="W116">
            <v>26447.694566813509</v>
          </cell>
          <cell r="X116">
            <v>0.25835535976505136</v>
          </cell>
          <cell r="Y116">
            <v>516.71071953010278</v>
          </cell>
          <cell r="Z116">
            <v>24802.114537444933</v>
          </cell>
          <cell r="AA116">
            <v>0.25718374105664388</v>
          </cell>
          <cell r="AB116">
            <v>514.36748211328779</v>
          </cell>
          <cell r="AC116">
            <v>24175.271659324524</v>
          </cell>
          <cell r="AD116">
            <v>0.25655887774549319</v>
          </cell>
          <cell r="AE116">
            <v>513.11775549098638</v>
          </cell>
          <cell r="AF116">
            <v>24116.534508076358</v>
          </cell>
          <cell r="AG116">
            <v>0.25659962970056821</v>
          </cell>
          <cell r="AH116">
            <v>513.19925940113649</v>
          </cell>
          <cell r="AI116">
            <v>23607.165932452277</v>
          </cell>
          <cell r="AJ116">
            <v>0.2564750546183876</v>
          </cell>
          <cell r="AK116">
            <v>512.95010923677523</v>
          </cell>
          <cell r="AL116">
            <v>21030.954478707783</v>
          </cell>
          <cell r="AM116">
            <v>0.25678204321376125</v>
          </cell>
          <cell r="AN116">
            <v>513.56408642752251</v>
          </cell>
          <cell r="AO116">
            <v>17974.743024963289</v>
          </cell>
        </row>
        <row r="117">
          <cell r="A117" t="str">
            <v>Véhicules usagésFrais de livraison</v>
          </cell>
          <cell r="C117"/>
          <cell r="D117">
            <v>8</v>
          </cell>
          <cell r="E117">
            <v>4264</v>
          </cell>
          <cell r="F117"/>
          <cell r="G117">
            <v>8</v>
          </cell>
          <cell r="H117">
            <v>256</v>
          </cell>
          <cell r="I117"/>
          <cell r="J117">
            <v>8</v>
          </cell>
          <cell r="K117">
            <v>264</v>
          </cell>
          <cell r="L117"/>
          <cell r="M117">
            <v>8</v>
          </cell>
          <cell r="N117">
            <v>392</v>
          </cell>
          <cell r="O117"/>
          <cell r="P117">
            <v>8</v>
          </cell>
          <cell r="Q117">
            <v>408</v>
          </cell>
          <cell r="R117"/>
          <cell r="S117">
            <v>8</v>
          </cell>
          <cell r="T117">
            <v>424</v>
          </cell>
          <cell r="U117"/>
          <cell r="V117">
            <v>8</v>
          </cell>
          <cell r="W117">
            <v>408</v>
          </cell>
          <cell r="X117"/>
          <cell r="Y117">
            <v>8</v>
          </cell>
          <cell r="Z117">
            <v>384</v>
          </cell>
          <cell r="AA117"/>
          <cell r="AB117">
            <v>8</v>
          </cell>
          <cell r="AC117">
            <v>376</v>
          </cell>
          <cell r="AD117"/>
          <cell r="AE117">
            <v>8</v>
          </cell>
          <cell r="AF117">
            <v>376</v>
          </cell>
          <cell r="AG117"/>
          <cell r="AH117">
            <v>8</v>
          </cell>
          <cell r="AI117">
            <v>368</v>
          </cell>
          <cell r="AJ117"/>
          <cell r="AK117">
            <v>8</v>
          </cell>
          <cell r="AL117">
            <v>328</v>
          </cell>
          <cell r="AM117"/>
          <cell r="AN117">
            <v>8</v>
          </cell>
          <cell r="AO117">
            <v>280</v>
          </cell>
        </row>
        <row r="118">
          <cell r="A118" t="str">
            <v>Véhicules usagésService gratuit 1</v>
          </cell>
          <cell r="C118"/>
          <cell r="D118">
            <v>50</v>
          </cell>
          <cell r="E118">
            <v>26650</v>
          </cell>
          <cell r="F118"/>
          <cell r="G118">
            <v>50</v>
          </cell>
          <cell r="H118">
            <v>1600</v>
          </cell>
          <cell r="I118"/>
          <cell r="J118">
            <v>50</v>
          </cell>
          <cell r="K118">
            <v>1650</v>
          </cell>
          <cell r="L118"/>
          <cell r="M118">
            <v>50</v>
          </cell>
          <cell r="N118">
            <v>2450</v>
          </cell>
          <cell r="O118"/>
          <cell r="P118">
            <v>50</v>
          </cell>
          <cell r="Q118">
            <v>2550</v>
          </cell>
          <cell r="R118"/>
          <cell r="S118">
            <v>50</v>
          </cell>
          <cell r="T118">
            <v>2650</v>
          </cell>
          <cell r="U118"/>
          <cell r="V118">
            <v>50</v>
          </cell>
          <cell r="W118">
            <v>2550</v>
          </cell>
          <cell r="X118"/>
          <cell r="Y118">
            <v>50</v>
          </cell>
          <cell r="Z118">
            <v>2400</v>
          </cell>
          <cell r="AA118"/>
          <cell r="AB118">
            <v>50</v>
          </cell>
          <cell r="AC118">
            <v>2350</v>
          </cell>
          <cell r="AD118"/>
          <cell r="AE118">
            <v>50</v>
          </cell>
          <cell r="AF118">
            <v>2350</v>
          </cell>
          <cell r="AG118"/>
          <cell r="AH118">
            <v>50</v>
          </cell>
          <cell r="AI118">
            <v>2300</v>
          </cell>
          <cell r="AJ118"/>
          <cell r="AK118">
            <v>50</v>
          </cell>
          <cell r="AL118">
            <v>2050</v>
          </cell>
          <cell r="AM118"/>
          <cell r="AN118">
            <v>50</v>
          </cell>
          <cell r="AO118">
            <v>1750</v>
          </cell>
        </row>
        <row r="119">
          <cell r="A119" t="str">
            <v>Véhicules usagésEntretien stock</v>
          </cell>
          <cell r="C119"/>
          <cell r="D119">
            <v>170</v>
          </cell>
          <cell r="E119">
            <v>90610</v>
          </cell>
          <cell r="F119"/>
          <cell r="G119">
            <v>170</v>
          </cell>
          <cell r="H119">
            <v>5440</v>
          </cell>
          <cell r="I119"/>
          <cell r="J119">
            <v>170</v>
          </cell>
          <cell r="K119">
            <v>5610</v>
          </cell>
          <cell r="L119"/>
          <cell r="M119">
            <v>170</v>
          </cell>
          <cell r="N119">
            <v>8330</v>
          </cell>
          <cell r="O119"/>
          <cell r="P119">
            <v>170</v>
          </cell>
          <cell r="Q119">
            <v>8670</v>
          </cell>
          <cell r="R119"/>
          <cell r="S119">
            <v>170</v>
          </cell>
          <cell r="T119">
            <v>9010</v>
          </cell>
          <cell r="U119"/>
          <cell r="V119">
            <v>170</v>
          </cell>
          <cell r="W119">
            <v>8670</v>
          </cell>
          <cell r="X119"/>
          <cell r="Y119">
            <v>170</v>
          </cell>
          <cell r="Z119">
            <v>8160</v>
          </cell>
          <cell r="AA119"/>
          <cell r="AB119">
            <v>170</v>
          </cell>
          <cell r="AC119">
            <v>7990</v>
          </cell>
          <cell r="AD119"/>
          <cell r="AE119">
            <v>170</v>
          </cell>
          <cell r="AF119">
            <v>7990</v>
          </cell>
          <cell r="AG119"/>
          <cell r="AH119">
            <v>170</v>
          </cell>
          <cell r="AI119">
            <v>7820</v>
          </cell>
          <cell r="AJ119"/>
          <cell r="AK119">
            <v>170</v>
          </cell>
          <cell r="AL119">
            <v>6970</v>
          </cell>
          <cell r="AM119"/>
          <cell r="AN119">
            <v>170</v>
          </cell>
          <cell r="AO119">
            <v>5950</v>
          </cell>
        </row>
        <row r="120">
          <cell r="A120" t="str">
            <v>Véhicules usagésPublicité 1</v>
          </cell>
          <cell r="C120"/>
          <cell r="D120">
            <v>220.76735459662288</v>
          </cell>
          <cell r="E120">
            <v>117669</v>
          </cell>
          <cell r="F120"/>
          <cell r="G120">
            <v>395.1328125</v>
          </cell>
          <cell r="H120">
            <v>12644.25</v>
          </cell>
          <cell r="I120"/>
          <cell r="J120">
            <v>327.34090909090907</v>
          </cell>
          <cell r="K120">
            <v>10802.25</v>
          </cell>
          <cell r="L120"/>
          <cell r="M120">
            <v>187.80102040816325</v>
          </cell>
          <cell r="N120">
            <v>9202.25</v>
          </cell>
          <cell r="O120"/>
          <cell r="P120">
            <v>176.51470588235293</v>
          </cell>
          <cell r="Q120">
            <v>9002.25</v>
          </cell>
          <cell r="R120"/>
          <cell r="S120">
            <v>166.08018867924528</v>
          </cell>
          <cell r="T120">
            <v>8802.25</v>
          </cell>
          <cell r="U120"/>
          <cell r="V120">
            <v>176.51470588235293</v>
          </cell>
          <cell r="W120">
            <v>9002.25</v>
          </cell>
          <cell r="X120"/>
          <cell r="Y120">
            <v>193.796875</v>
          </cell>
          <cell r="Z120">
            <v>9302.25</v>
          </cell>
          <cell r="AA120"/>
          <cell r="AB120">
            <v>200.04787234042553</v>
          </cell>
          <cell r="AC120">
            <v>9402.25</v>
          </cell>
          <cell r="AD120"/>
          <cell r="AE120">
            <v>200.04787234042553</v>
          </cell>
          <cell r="AF120">
            <v>9402.25</v>
          </cell>
          <cell r="AG120"/>
          <cell r="AH120">
            <v>206.57065217391303</v>
          </cell>
          <cell r="AI120">
            <v>9502.25</v>
          </cell>
          <cell r="AJ120"/>
          <cell r="AK120">
            <v>243.95731707317074</v>
          </cell>
          <cell r="AL120">
            <v>10002.25</v>
          </cell>
          <cell r="AM120"/>
          <cell r="AN120">
            <v>302.92142857142858</v>
          </cell>
          <cell r="AO120">
            <v>10602.25</v>
          </cell>
        </row>
        <row r="121">
          <cell r="A121" t="str">
            <v>Véhicules usagésIntérêt de gros</v>
          </cell>
          <cell r="C121"/>
          <cell r="D121">
            <v>0</v>
          </cell>
          <cell r="E121">
            <v>0</v>
          </cell>
          <cell r="F121"/>
          <cell r="G121">
            <v>0</v>
          </cell>
          <cell r="H121">
            <v>0</v>
          </cell>
          <cell r="I121"/>
          <cell r="J121">
            <v>0</v>
          </cell>
          <cell r="K121">
            <v>0</v>
          </cell>
          <cell r="L121"/>
          <cell r="M121">
            <v>0</v>
          </cell>
          <cell r="N121">
            <v>0</v>
          </cell>
          <cell r="O121"/>
          <cell r="P121">
            <v>0</v>
          </cell>
          <cell r="Q121">
            <v>0</v>
          </cell>
          <cell r="R121"/>
          <cell r="S121">
            <v>0</v>
          </cell>
          <cell r="T121">
            <v>0</v>
          </cell>
          <cell r="U121"/>
          <cell r="V121">
            <v>0</v>
          </cell>
          <cell r="W121">
            <v>0</v>
          </cell>
          <cell r="X121"/>
          <cell r="Y121">
            <v>0</v>
          </cell>
          <cell r="Z121">
            <v>0</v>
          </cell>
          <cell r="AA121"/>
          <cell r="AB121">
            <v>0</v>
          </cell>
          <cell r="AC121">
            <v>0</v>
          </cell>
          <cell r="AD121"/>
          <cell r="AE121">
            <v>0</v>
          </cell>
          <cell r="AF121">
            <v>0</v>
          </cell>
          <cell r="AG121"/>
          <cell r="AH121">
            <v>0</v>
          </cell>
          <cell r="AI121">
            <v>0</v>
          </cell>
          <cell r="AJ121"/>
          <cell r="AK121">
            <v>0</v>
          </cell>
          <cell r="AL121">
            <v>0</v>
          </cell>
          <cell r="AM121"/>
          <cell r="AN121">
            <v>0</v>
          </cell>
          <cell r="AO121">
            <v>0</v>
          </cell>
        </row>
        <row r="122">
          <cell r="A122" t="str">
            <v>Véhicules usagés[...]</v>
          </cell>
          <cell r="C122"/>
          <cell r="D122">
            <v>0</v>
          </cell>
          <cell r="E122">
            <v>0</v>
          </cell>
          <cell r="F122"/>
          <cell r="G122">
            <v>0</v>
          </cell>
          <cell r="H122"/>
          <cell r="I122"/>
          <cell r="J122">
            <v>0</v>
          </cell>
          <cell r="K122"/>
          <cell r="L122"/>
          <cell r="M122">
            <v>0</v>
          </cell>
          <cell r="N122"/>
          <cell r="O122"/>
          <cell r="P122">
            <v>0</v>
          </cell>
          <cell r="Q122"/>
          <cell r="R122"/>
          <cell r="S122">
            <v>0</v>
          </cell>
          <cell r="T122"/>
          <cell r="U122"/>
          <cell r="V122">
            <v>0</v>
          </cell>
          <cell r="W122"/>
          <cell r="X122"/>
          <cell r="Y122">
            <v>0</v>
          </cell>
          <cell r="Z122"/>
          <cell r="AA122"/>
          <cell r="AB122">
            <v>0</v>
          </cell>
          <cell r="AC122"/>
          <cell r="AD122"/>
          <cell r="AE122">
            <v>0</v>
          </cell>
          <cell r="AF122"/>
          <cell r="AG122"/>
          <cell r="AH122">
            <v>0</v>
          </cell>
          <cell r="AI122"/>
          <cell r="AJ122"/>
          <cell r="AK122">
            <v>0</v>
          </cell>
          <cell r="AL122"/>
          <cell r="AM122"/>
          <cell r="AN122">
            <v>0</v>
          </cell>
          <cell r="AO122"/>
        </row>
        <row r="123">
          <cell r="A123" t="str">
            <v>Véhicules usagés[...]</v>
          </cell>
          <cell r="C123"/>
          <cell r="D123">
            <v>0</v>
          </cell>
          <cell r="E123">
            <v>0</v>
          </cell>
          <cell r="F123"/>
          <cell r="G123">
            <v>0</v>
          </cell>
          <cell r="H123"/>
          <cell r="I123"/>
          <cell r="J123">
            <v>0</v>
          </cell>
          <cell r="K123"/>
          <cell r="L123"/>
          <cell r="M123">
            <v>0</v>
          </cell>
          <cell r="N123"/>
          <cell r="O123"/>
          <cell r="P123">
            <v>0</v>
          </cell>
          <cell r="Q123"/>
          <cell r="R123"/>
          <cell r="S123">
            <v>0</v>
          </cell>
          <cell r="T123"/>
          <cell r="U123"/>
          <cell r="V123">
            <v>0</v>
          </cell>
          <cell r="W123"/>
          <cell r="X123"/>
          <cell r="Y123">
            <v>0</v>
          </cell>
          <cell r="Z123"/>
          <cell r="AA123"/>
          <cell r="AB123">
            <v>0</v>
          </cell>
          <cell r="AC123"/>
          <cell r="AD123"/>
          <cell r="AE123">
            <v>0</v>
          </cell>
          <cell r="AF123"/>
          <cell r="AG123"/>
          <cell r="AH123">
            <v>0</v>
          </cell>
          <cell r="AI123"/>
          <cell r="AJ123"/>
          <cell r="AK123">
            <v>0</v>
          </cell>
          <cell r="AL123"/>
          <cell r="AM123"/>
          <cell r="AN123">
            <v>0</v>
          </cell>
          <cell r="AO123"/>
        </row>
        <row r="124">
          <cell r="A124" t="str">
            <v>Véhicules usagés[...]</v>
          </cell>
          <cell r="C124"/>
          <cell r="D124">
            <v>0</v>
          </cell>
          <cell r="E124">
            <v>0</v>
          </cell>
          <cell r="F124"/>
          <cell r="G124">
            <v>0</v>
          </cell>
          <cell r="H124"/>
          <cell r="I124"/>
          <cell r="J124">
            <v>0</v>
          </cell>
          <cell r="K124"/>
          <cell r="L124"/>
          <cell r="M124">
            <v>0</v>
          </cell>
          <cell r="N124"/>
          <cell r="O124"/>
          <cell r="P124">
            <v>0</v>
          </cell>
          <cell r="Q124"/>
          <cell r="R124"/>
          <cell r="S124">
            <v>0</v>
          </cell>
          <cell r="T124"/>
          <cell r="U124"/>
          <cell r="V124">
            <v>0</v>
          </cell>
          <cell r="W124"/>
          <cell r="X124"/>
          <cell r="Y124">
            <v>0</v>
          </cell>
          <cell r="Z124"/>
          <cell r="AA124"/>
          <cell r="AB124">
            <v>0</v>
          </cell>
          <cell r="AC124"/>
          <cell r="AD124"/>
          <cell r="AE124">
            <v>0</v>
          </cell>
          <cell r="AF124"/>
          <cell r="AG124"/>
          <cell r="AH124">
            <v>0</v>
          </cell>
          <cell r="AI124"/>
          <cell r="AJ124"/>
          <cell r="AK124">
            <v>0</v>
          </cell>
          <cell r="AL124"/>
          <cell r="AM124"/>
          <cell r="AN124">
            <v>0</v>
          </cell>
          <cell r="AO124"/>
        </row>
        <row r="125">
          <cell r="A125" t="str">
            <v>Véhicules usagésTOTAL VARIABLES</v>
          </cell>
          <cell r="C125" t="str">
            <v>% brut</v>
          </cell>
          <cell r="D125">
            <v>0.37695799557848192</v>
          </cell>
          <cell r="E125">
            <v>767298</v>
          </cell>
          <cell r="F125" t="str">
            <v>% brut</v>
          </cell>
          <cell r="G125">
            <v>0.4365152991923642</v>
          </cell>
          <cell r="H125">
            <v>52381.835903083702</v>
          </cell>
          <cell r="I125" t="str">
            <v>% brut</v>
          </cell>
          <cell r="J125">
            <v>0.43117451358296627</v>
          </cell>
          <cell r="K125">
            <v>51740.941629955953</v>
          </cell>
          <cell r="L125" t="str">
            <v>% brut</v>
          </cell>
          <cell r="M125">
            <v>0.38974460394139632</v>
          </cell>
          <cell r="N125">
            <v>68595.050293685752</v>
          </cell>
          <cell r="O125" t="str">
            <v>% brut</v>
          </cell>
          <cell r="P125">
            <v>0.37882262128316269</v>
          </cell>
          <cell r="Q125">
            <v>70650.41886930984</v>
          </cell>
          <cell r="R125" t="str">
            <v>% brut</v>
          </cell>
          <cell r="S125">
            <v>0.37386526512051949</v>
          </cell>
          <cell r="T125">
            <v>73464.524596182076</v>
          </cell>
          <cell r="U125" t="str">
            <v>% brut</v>
          </cell>
          <cell r="V125">
            <v>0.35622699276168435</v>
          </cell>
          <cell r="W125">
            <v>70532.944566813501</v>
          </cell>
          <cell r="X125" t="str">
            <v>% brut</v>
          </cell>
          <cell r="Y125">
            <v>0.35783349756549959</v>
          </cell>
          <cell r="Z125">
            <v>67988.364537444926</v>
          </cell>
          <cell r="AA125" t="str">
            <v>% brut</v>
          </cell>
          <cell r="AB125">
            <v>0.35552968634045445</v>
          </cell>
          <cell r="AC125">
            <v>66128.521659324528</v>
          </cell>
          <cell r="AD125" t="str">
            <v>% brut</v>
          </cell>
          <cell r="AE125">
            <v>0.36502643374627819</v>
          </cell>
          <cell r="AF125">
            <v>66069.784508076351</v>
          </cell>
          <cell r="AG125" t="str">
            <v>% brut</v>
          </cell>
          <cell r="AH125">
            <v>0.35818755276540748</v>
          </cell>
          <cell r="AI125">
            <v>65727.415932452277</v>
          </cell>
          <cell r="AJ125" t="str">
            <v>% brut</v>
          </cell>
          <cell r="AK125">
            <v>0.37249971637824164</v>
          </cell>
          <cell r="AL125">
            <v>59786.204478707783</v>
          </cell>
          <cell r="AM125" t="str">
            <v>% brut</v>
          </cell>
          <cell r="AN125">
            <v>0.39441449472700574</v>
          </cell>
          <cell r="AO125">
            <v>54231.993024963289</v>
          </cell>
        </row>
        <row r="126">
          <cell r="A126" t="str">
            <v>Véhicules usagésSalaires cadres</v>
          </cell>
          <cell r="C126"/>
          <cell r="D126"/>
          <cell r="E126">
            <v>141788.40833333333</v>
          </cell>
          <cell r="F126"/>
          <cell r="G126"/>
          <cell r="H126">
            <v>12515.972435897434</v>
          </cell>
          <cell r="I126"/>
          <cell r="J126"/>
          <cell r="K126">
            <v>11227.564102564102</v>
          </cell>
          <cell r="L126"/>
          <cell r="M126"/>
          <cell r="N126">
            <v>11227.564102564102</v>
          </cell>
          <cell r="O126"/>
          <cell r="P126"/>
          <cell r="Q126">
            <v>11227.564102564102</v>
          </cell>
          <cell r="R126"/>
          <cell r="S126"/>
          <cell r="T126">
            <v>12669.871794871795</v>
          </cell>
          <cell r="U126"/>
          <cell r="V126"/>
          <cell r="W126">
            <v>11227.564102564102</v>
          </cell>
          <cell r="X126"/>
          <cell r="Y126"/>
          <cell r="Z126">
            <v>12669.871794871795</v>
          </cell>
          <cell r="AA126"/>
          <cell r="AB126"/>
          <cell r="AC126">
            <v>11227.564102564102</v>
          </cell>
          <cell r="AD126"/>
          <cell r="AE126"/>
          <cell r="AF126">
            <v>11227.564102564102</v>
          </cell>
          <cell r="AG126"/>
          <cell r="AH126"/>
          <cell r="AI126">
            <v>12669.871794871795</v>
          </cell>
          <cell r="AJ126"/>
          <cell r="AK126"/>
          <cell r="AL126">
            <v>11227.564102564102</v>
          </cell>
          <cell r="AM126"/>
          <cell r="AN126"/>
          <cell r="AO126">
            <v>12669.871794871795</v>
          </cell>
        </row>
        <row r="127">
          <cell r="A127" t="str">
            <v>Véhicules usagésSalaires commis</v>
          </cell>
          <cell r="C127"/>
          <cell r="D127"/>
          <cell r="E127">
            <v>74021.07941845333</v>
          </cell>
          <cell r="F127"/>
          <cell r="G127"/>
          <cell r="H127">
            <v>5038.8964937271794</v>
          </cell>
          <cell r="I127"/>
          <cell r="J127"/>
          <cell r="K127">
            <v>5795.0548270605132</v>
          </cell>
          <cell r="L127"/>
          <cell r="M127"/>
          <cell r="N127">
            <v>5795.0548270605132</v>
          </cell>
          <cell r="O127"/>
          <cell r="P127"/>
          <cell r="Q127">
            <v>5795.0548270605132</v>
          </cell>
          <cell r="R127"/>
          <cell r="S127"/>
          <cell r="T127">
            <v>7104.1997838256402</v>
          </cell>
          <cell r="U127"/>
          <cell r="V127"/>
          <cell r="W127">
            <v>5795.0548270605132</v>
          </cell>
          <cell r="X127"/>
          <cell r="Y127"/>
          <cell r="Z127">
            <v>7104.1997838256402</v>
          </cell>
          <cell r="AA127"/>
          <cell r="AB127"/>
          <cell r="AC127">
            <v>5795.0548270605132</v>
          </cell>
          <cell r="AD127"/>
          <cell r="AE127"/>
          <cell r="AF127">
            <v>5795.0548270605132</v>
          </cell>
          <cell r="AG127"/>
          <cell r="AH127"/>
          <cell r="AI127">
            <v>7104.1997838256402</v>
          </cell>
          <cell r="AJ127"/>
          <cell r="AK127"/>
          <cell r="AL127">
            <v>5795.0548270605132</v>
          </cell>
          <cell r="AM127"/>
          <cell r="AN127"/>
          <cell r="AO127">
            <v>7104.1997838256402</v>
          </cell>
        </row>
        <row r="128">
          <cell r="A128" t="str">
            <v>Véhicules usagésSalaires autres</v>
          </cell>
          <cell r="C128"/>
          <cell r="D128"/>
          <cell r="E128">
            <v>3623.6333333333332</v>
          </cell>
          <cell r="F128"/>
          <cell r="G128"/>
          <cell r="H128">
            <v>3623.6333333333332</v>
          </cell>
          <cell r="I128"/>
          <cell r="J128"/>
          <cell r="K128">
            <v>0</v>
          </cell>
          <cell r="L128"/>
          <cell r="M128"/>
          <cell r="N128">
            <v>0</v>
          </cell>
          <cell r="O128"/>
          <cell r="P128"/>
          <cell r="Q128">
            <v>0</v>
          </cell>
          <cell r="R128"/>
          <cell r="S128"/>
          <cell r="T128">
            <v>0</v>
          </cell>
          <cell r="U128"/>
          <cell r="V128"/>
          <cell r="W128">
            <v>0</v>
          </cell>
          <cell r="X128"/>
          <cell r="Y128"/>
          <cell r="Z128">
            <v>0</v>
          </cell>
          <cell r="AA128"/>
          <cell r="AB128"/>
          <cell r="AC128">
            <v>0</v>
          </cell>
          <cell r="AD128"/>
          <cell r="AE128"/>
          <cell r="AF128">
            <v>0</v>
          </cell>
          <cell r="AG128"/>
          <cell r="AH128"/>
          <cell r="AI128">
            <v>0</v>
          </cell>
          <cell r="AJ128"/>
          <cell r="AK128"/>
          <cell r="AL128">
            <v>0</v>
          </cell>
          <cell r="AM128"/>
          <cell r="AN128"/>
          <cell r="AO128">
            <v>0</v>
          </cell>
        </row>
        <row r="129">
          <cell r="A129" t="str">
            <v>Véhicules usagésSalaires spécialistes</v>
          </cell>
          <cell r="C129"/>
          <cell r="D129"/>
          <cell r="E129">
            <v>0</v>
          </cell>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row>
        <row r="130">
          <cell r="A130" t="str">
            <v>Véhicules usagés[...]</v>
          </cell>
          <cell r="C130"/>
          <cell r="D130"/>
          <cell r="E130">
            <v>0</v>
          </cell>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v>0</v>
          </cell>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v>
          </cell>
          <cell r="C132"/>
          <cell r="D132"/>
          <cell r="E132">
            <v>0</v>
          </cell>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row>
        <row r="133">
          <cell r="A133" t="str">
            <v>Véhicules usagésSalaires en absences</v>
          </cell>
          <cell r="C133"/>
          <cell r="D133"/>
          <cell r="E133">
            <v>91205.234734661135</v>
          </cell>
          <cell r="F133"/>
          <cell r="G133"/>
          <cell r="H133">
            <v>7189.0136792688036</v>
          </cell>
          <cell r="I133"/>
          <cell r="J133"/>
          <cell r="K133">
            <v>6702.5659209354708</v>
          </cell>
          <cell r="L133"/>
          <cell r="M133"/>
          <cell r="N133">
            <v>7341.2871709354713</v>
          </cell>
          <cell r="O133"/>
          <cell r="P133"/>
          <cell r="Q133">
            <v>9032.3236709354715</v>
          </cell>
          <cell r="R133"/>
          <cell r="S133"/>
          <cell r="T133">
            <v>9123.2126522110048</v>
          </cell>
          <cell r="U133"/>
          <cell r="V133"/>
          <cell r="W133">
            <v>7570.2166709354715</v>
          </cell>
          <cell r="X133"/>
          <cell r="Y133"/>
          <cell r="Z133">
            <v>7446.9311522110047</v>
          </cell>
          <cell r="AA133"/>
          <cell r="AB133"/>
          <cell r="AC133">
            <v>7570.2166709354715</v>
          </cell>
          <cell r="AD133"/>
          <cell r="AE133"/>
          <cell r="AF133">
            <v>7326.5321709354712</v>
          </cell>
          <cell r="AG133"/>
          <cell r="AH133"/>
          <cell r="AI133">
            <v>8041.3874022110049</v>
          </cell>
          <cell r="AJ133"/>
          <cell r="AK133"/>
          <cell r="AL133">
            <v>7448.3744209354718</v>
          </cell>
          <cell r="AM133"/>
          <cell r="AN133"/>
          <cell r="AO133">
            <v>6413.1731522110049</v>
          </cell>
        </row>
        <row r="134">
          <cell r="A134" t="str">
            <v>Véhicules usagésDéduction à la source</v>
          </cell>
          <cell r="C134"/>
          <cell r="D134"/>
          <cell r="E134">
            <v>110892.70831174657</v>
          </cell>
          <cell r="F134"/>
          <cell r="G134"/>
          <cell r="H134">
            <v>8740.8272047497358</v>
          </cell>
          <cell r="I134"/>
          <cell r="J134"/>
          <cell r="K134">
            <v>8149.3753047497357</v>
          </cell>
          <cell r="L134"/>
          <cell r="M134"/>
          <cell r="N134">
            <v>8925.9703047497369</v>
          </cell>
          <cell r="O134"/>
          <cell r="P134"/>
          <cell r="Q134">
            <v>10982.032304749737</v>
          </cell>
          <cell r="R134"/>
          <cell r="S134"/>
          <cell r="T134">
            <v>11092.540493437169</v>
          </cell>
          <cell r="U134"/>
          <cell r="V134"/>
          <cell r="W134">
            <v>9204.3163047497364</v>
          </cell>
          <cell r="X134"/>
          <cell r="Y134"/>
          <cell r="Z134">
            <v>9054.4184934371697</v>
          </cell>
          <cell r="AA134"/>
          <cell r="AB134"/>
          <cell r="AC134">
            <v>9204.3163047497364</v>
          </cell>
          <cell r="AD134"/>
          <cell r="AE134"/>
          <cell r="AF134">
            <v>8908.0303047497364</v>
          </cell>
          <cell r="AG134"/>
          <cell r="AH134"/>
          <cell r="AI134">
            <v>9777.1934934371693</v>
          </cell>
          <cell r="AJ134"/>
          <cell r="AK134"/>
          <cell r="AL134">
            <v>9056.1733047497364</v>
          </cell>
          <cell r="AM134"/>
          <cell r="AN134"/>
          <cell r="AO134">
            <v>7797.5144934371692</v>
          </cell>
        </row>
        <row r="135">
          <cell r="A135" t="str">
            <v>Véhicules usagésBénéfices marginaux</v>
          </cell>
          <cell r="C135"/>
          <cell r="D135"/>
          <cell r="E135">
            <v>57133.851891052029</v>
          </cell>
          <cell r="F135"/>
          <cell r="G135"/>
          <cell r="H135">
            <v>4503.4261902732333</v>
          </cell>
          <cell r="I135"/>
          <cell r="J135"/>
          <cell r="K135">
            <v>4198.6998852732331</v>
          </cell>
          <cell r="L135"/>
          <cell r="M135"/>
          <cell r="N135">
            <v>4598.815135273233</v>
          </cell>
          <cell r="O135"/>
          <cell r="P135"/>
          <cell r="Q135">
            <v>5658.1340352732332</v>
          </cell>
          <cell r="R135"/>
          <cell r="S135"/>
          <cell r="T135">
            <v>5715.0697759665409</v>
          </cell>
          <cell r="U135"/>
          <cell r="V135"/>
          <cell r="W135">
            <v>4742.2238352732338</v>
          </cell>
          <cell r="X135"/>
          <cell r="Y135"/>
          <cell r="Z135">
            <v>4664.9938759665411</v>
          </cell>
          <cell r="AA135"/>
          <cell r="AB135"/>
          <cell r="AC135">
            <v>4742.2238352732338</v>
          </cell>
          <cell r="AD135"/>
          <cell r="AE135"/>
          <cell r="AF135">
            <v>4589.5721352732326</v>
          </cell>
          <cell r="AG135"/>
          <cell r="AH135"/>
          <cell r="AI135">
            <v>5037.3801259665406</v>
          </cell>
          <cell r="AJ135"/>
          <cell r="AK135"/>
          <cell r="AL135">
            <v>4665.8979852732336</v>
          </cell>
          <cell r="AM135"/>
          <cell r="AN135"/>
          <cell r="AO135">
            <v>4017.4150759665413</v>
          </cell>
        </row>
        <row r="136">
          <cell r="A136" t="str">
            <v>Véhicules usagésCsst</v>
          </cell>
          <cell r="C136"/>
          <cell r="D136"/>
          <cell r="E136">
            <v>24910.680852638725</v>
          </cell>
          <cell r="F136"/>
          <cell r="G136"/>
          <cell r="H136">
            <v>1963.5191546901578</v>
          </cell>
          <cell r="I136"/>
          <cell r="J136"/>
          <cell r="K136">
            <v>1830.6567713568245</v>
          </cell>
          <cell r="L136"/>
          <cell r="M136"/>
          <cell r="N136">
            <v>2005.1092713568246</v>
          </cell>
          <cell r="O136"/>
          <cell r="P136"/>
          <cell r="Q136">
            <v>2466.9782713568247</v>
          </cell>
          <cell r="R136"/>
          <cell r="S136"/>
          <cell r="T136">
            <v>2491.8025746126973</v>
          </cell>
          <cell r="U136"/>
          <cell r="V136"/>
          <cell r="W136">
            <v>2067.6362713568246</v>
          </cell>
          <cell r="X136"/>
          <cell r="Y136"/>
          <cell r="Z136">
            <v>2033.9635746126974</v>
          </cell>
          <cell r="AA136"/>
          <cell r="AB136"/>
          <cell r="AC136">
            <v>2067.6362713568246</v>
          </cell>
          <cell r="AD136"/>
          <cell r="AE136"/>
          <cell r="AF136">
            <v>2001.0792713568246</v>
          </cell>
          <cell r="AG136"/>
          <cell r="AH136"/>
          <cell r="AI136">
            <v>2196.3260746126975</v>
          </cell>
          <cell r="AJ136"/>
          <cell r="AK136"/>
          <cell r="AL136">
            <v>2034.3577713568247</v>
          </cell>
          <cell r="AM136"/>
          <cell r="AN136"/>
          <cell r="AO136">
            <v>1751.6155746126974</v>
          </cell>
        </row>
        <row r="137">
          <cell r="A137" t="str">
            <v>Véhicules usagés[...]</v>
          </cell>
          <cell r="C137"/>
          <cell r="D137"/>
          <cell r="E137">
            <v>0</v>
          </cell>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row>
        <row r="138">
          <cell r="A138" t="str">
            <v>Véhicules usagésTOTAL PERSONNEL</v>
          </cell>
          <cell r="C138" t="str">
            <v>% brut</v>
          </cell>
          <cell r="D138">
            <v>0.24739651037839275</v>
          </cell>
          <cell r="E138">
            <v>503575.59687521844</v>
          </cell>
          <cell r="F138" t="str">
            <v>% brut</v>
          </cell>
          <cell r="G138">
            <v>0.36312740409949895</v>
          </cell>
          <cell r="H138">
            <v>43575.288491939871</v>
          </cell>
          <cell r="I138" t="str">
            <v>% brut</v>
          </cell>
          <cell r="J138">
            <v>0.31586597343283235</v>
          </cell>
          <cell r="K138">
            <v>37903.916811939882</v>
          </cell>
          <cell r="L138" t="str">
            <v>% brut</v>
          </cell>
          <cell r="M138">
            <v>0.22666932279511295</v>
          </cell>
          <cell r="N138">
            <v>39893.80081193988</v>
          </cell>
          <cell r="O138" t="str">
            <v>% brut</v>
          </cell>
          <cell r="P138">
            <v>0.24215596360289482</v>
          </cell>
          <cell r="Q138">
            <v>45162.087211939885</v>
          </cell>
          <cell r="R138" t="str">
            <v>% brut</v>
          </cell>
          <cell r="S138">
            <v>0.24527581208613156</v>
          </cell>
          <cell r="T138">
            <v>48196.69707492485</v>
          </cell>
          <cell r="U138" t="str">
            <v>% brut</v>
          </cell>
          <cell r="V138">
            <v>0.20508591925222161</v>
          </cell>
          <cell r="W138">
            <v>40607.012011939878</v>
          </cell>
          <cell r="X138" t="str">
            <v>% brut</v>
          </cell>
          <cell r="Y138">
            <v>0.22618094039434131</v>
          </cell>
          <cell r="Z138">
            <v>42974.378674924847</v>
          </cell>
          <cell r="AA138" t="str">
            <v>% brut</v>
          </cell>
          <cell r="AB138">
            <v>0.21831726888139719</v>
          </cell>
          <cell r="AC138">
            <v>40607.012011939878</v>
          </cell>
          <cell r="AD138" t="str">
            <v>% brut</v>
          </cell>
          <cell r="AE138">
            <v>0.22015377244165679</v>
          </cell>
          <cell r="AF138">
            <v>39847.832811939879</v>
          </cell>
          <cell r="AG138" t="str">
            <v>% brut</v>
          </cell>
          <cell r="AH138">
            <v>0.24428533337833705</v>
          </cell>
          <cell r="AI138">
            <v>44826.35867492485</v>
          </cell>
          <cell r="AJ138" t="str">
            <v>% brut</v>
          </cell>
          <cell r="AK138">
            <v>0.25063814586878425</v>
          </cell>
          <cell r="AL138">
            <v>40227.422411939871</v>
          </cell>
          <cell r="AM138" t="str">
            <v>% brut</v>
          </cell>
          <cell r="AN138">
            <v>0.28911847181763528</v>
          </cell>
          <cell r="AO138">
            <v>39753.789874924849</v>
          </cell>
        </row>
        <row r="139">
          <cell r="A139" t="str">
            <v>Véhicules usagésPublicité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usagésService gratuit 2</v>
          </cell>
          <cell r="C140"/>
          <cell r="D140"/>
          <cell r="E140">
            <v>0</v>
          </cell>
          <cell r="F140"/>
          <cell r="G140"/>
          <cell r="H140">
            <v>0</v>
          </cell>
          <cell r="I140"/>
          <cell r="J140"/>
          <cell r="K140">
            <v>0</v>
          </cell>
          <cell r="L140"/>
          <cell r="M140"/>
          <cell r="N140">
            <v>0</v>
          </cell>
          <cell r="O140"/>
          <cell r="P140"/>
          <cell r="Q140">
            <v>0</v>
          </cell>
          <cell r="R140"/>
          <cell r="S140"/>
          <cell r="T140">
            <v>0</v>
          </cell>
          <cell r="U140"/>
          <cell r="V140"/>
          <cell r="W140">
            <v>0</v>
          </cell>
          <cell r="X140"/>
          <cell r="Y140"/>
          <cell r="Z140">
            <v>0</v>
          </cell>
          <cell r="AA140"/>
          <cell r="AB140"/>
          <cell r="AC140">
            <v>0</v>
          </cell>
          <cell r="AD140"/>
          <cell r="AE140"/>
          <cell r="AF140">
            <v>0</v>
          </cell>
          <cell r="AG140"/>
          <cell r="AH140"/>
          <cell r="AI140">
            <v>0</v>
          </cell>
          <cell r="AJ140"/>
          <cell r="AK140"/>
          <cell r="AL140">
            <v>0</v>
          </cell>
          <cell r="AM140"/>
          <cell r="AN140"/>
          <cell r="AO140">
            <v>0</v>
          </cell>
        </row>
        <row r="141">
          <cell r="A141" t="str">
            <v>Véhicules usagésFrais véhicules de cie</v>
          </cell>
          <cell r="C141"/>
          <cell r="D141"/>
          <cell r="E141">
            <v>15409.839466666666</v>
          </cell>
          <cell r="F141"/>
          <cell r="G141"/>
          <cell r="H141">
            <v>1284.1532888888889</v>
          </cell>
          <cell r="I141"/>
          <cell r="J141"/>
          <cell r="K141">
            <v>1284.1532888888889</v>
          </cell>
          <cell r="L141"/>
          <cell r="M141"/>
          <cell r="N141">
            <v>1284.1532888888889</v>
          </cell>
          <cell r="O141"/>
          <cell r="P141"/>
          <cell r="Q141">
            <v>1284.1532888888889</v>
          </cell>
          <cell r="R141"/>
          <cell r="S141"/>
          <cell r="T141">
            <v>1284.1532888888889</v>
          </cell>
          <cell r="U141"/>
          <cell r="V141"/>
          <cell r="W141">
            <v>1284.1532888888889</v>
          </cell>
          <cell r="X141"/>
          <cell r="Y141"/>
          <cell r="Z141">
            <v>1284.1532888888889</v>
          </cell>
          <cell r="AA141"/>
          <cell r="AB141"/>
          <cell r="AC141">
            <v>1284.1532888888889</v>
          </cell>
          <cell r="AD141"/>
          <cell r="AE141"/>
          <cell r="AF141">
            <v>1284.1532888888889</v>
          </cell>
          <cell r="AG141"/>
          <cell r="AH141"/>
          <cell r="AI141">
            <v>1284.1532888888889</v>
          </cell>
          <cell r="AJ141"/>
          <cell r="AK141"/>
          <cell r="AL141">
            <v>1284.1532888888889</v>
          </cell>
          <cell r="AM141"/>
          <cell r="AN141"/>
          <cell r="AO141">
            <v>1284.1532888888889</v>
          </cell>
        </row>
        <row r="142">
          <cell r="A142" t="str">
            <v>Véhicules usagésInformatique</v>
          </cell>
          <cell r="C142"/>
          <cell r="D142"/>
          <cell r="E142">
            <v>40794</v>
          </cell>
          <cell r="F142"/>
          <cell r="G142"/>
          <cell r="H142">
            <v>4604</v>
          </cell>
          <cell r="I142"/>
          <cell r="J142"/>
          <cell r="K142">
            <v>3290</v>
          </cell>
          <cell r="L142"/>
          <cell r="M142"/>
          <cell r="N142">
            <v>3290</v>
          </cell>
          <cell r="O142"/>
          <cell r="P142"/>
          <cell r="Q142">
            <v>3290</v>
          </cell>
          <cell r="R142"/>
          <cell r="S142"/>
          <cell r="T142">
            <v>3290</v>
          </cell>
          <cell r="U142"/>
          <cell r="V142"/>
          <cell r="W142">
            <v>3290</v>
          </cell>
          <cell r="X142"/>
          <cell r="Y142"/>
          <cell r="Z142">
            <v>3290</v>
          </cell>
          <cell r="AA142"/>
          <cell r="AB142"/>
          <cell r="AC142">
            <v>3290</v>
          </cell>
          <cell r="AD142"/>
          <cell r="AE142"/>
          <cell r="AF142">
            <v>3290</v>
          </cell>
          <cell r="AG142"/>
          <cell r="AH142"/>
          <cell r="AI142">
            <v>3290</v>
          </cell>
          <cell r="AJ142"/>
          <cell r="AK142"/>
          <cell r="AL142">
            <v>3290</v>
          </cell>
          <cell r="AM142"/>
          <cell r="AN142"/>
          <cell r="AO142">
            <v>3290</v>
          </cell>
        </row>
        <row r="143">
          <cell r="A143" t="str">
            <v>Véhicules usagésFrais de déplacement</v>
          </cell>
          <cell r="C143"/>
          <cell r="D143"/>
          <cell r="E143">
            <v>9000</v>
          </cell>
          <cell r="F143"/>
          <cell r="G143"/>
          <cell r="H143">
            <v>750</v>
          </cell>
          <cell r="I143"/>
          <cell r="J143"/>
          <cell r="K143">
            <v>750</v>
          </cell>
          <cell r="L143"/>
          <cell r="M143"/>
          <cell r="N143">
            <v>750</v>
          </cell>
          <cell r="O143"/>
          <cell r="P143"/>
          <cell r="Q143">
            <v>750</v>
          </cell>
          <cell r="R143"/>
          <cell r="S143"/>
          <cell r="T143">
            <v>750</v>
          </cell>
          <cell r="U143"/>
          <cell r="V143"/>
          <cell r="W143">
            <v>750</v>
          </cell>
          <cell r="X143"/>
          <cell r="Y143"/>
          <cell r="Z143">
            <v>750</v>
          </cell>
          <cell r="AA143"/>
          <cell r="AB143"/>
          <cell r="AC143">
            <v>750</v>
          </cell>
          <cell r="AD143"/>
          <cell r="AE143"/>
          <cell r="AF143">
            <v>750</v>
          </cell>
          <cell r="AG143"/>
          <cell r="AH143"/>
          <cell r="AI143">
            <v>750</v>
          </cell>
          <cell r="AJ143"/>
          <cell r="AK143"/>
          <cell r="AL143">
            <v>750</v>
          </cell>
          <cell r="AM143"/>
          <cell r="AN143"/>
          <cell r="AO143">
            <v>750</v>
          </cell>
        </row>
        <row r="144">
          <cell r="A144" t="str">
            <v>Véhicules usagésServices extérieurs</v>
          </cell>
          <cell r="C144"/>
          <cell r="D144"/>
          <cell r="E144">
            <v>20771.04</v>
          </cell>
          <cell r="F144"/>
          <cell r="G144"/>
          <cell r="H144">
            <v>2080.92</v>
          </cell>
          <cell r="I144"/>
          <cell r="J144"/>
          <cell r="K144">
            <v>1540.9199999999998</v>
          </cell>
          <cell r="L144"/>
          <cell r="M144"/>
          <cell r="N144">
            <v>1360.9199999999998</v>
          </cell>
          <cell r="O144"/>
          <cell r="P144"/>
          <cell r="Q144">
            <v>1360.9199999999998</v>
          </cell>
          <cell r="R144"/>
          <cell r="S144"/>
          <cell r="T144">
            <v>1360.9199999999998</v>
          </cell>
          <cell r="U144"/>
          <cell r="V144"/>
          <cell r="W144">
            <v>1840.9199999999998</v>
          </cell>
          <cell r="X144"/>
          <cell r="Y144"/>
          <cell r="Z144">
            <v>1360.9199999999998</v>
          </cell>
          <cell r="AA144"/>
          <cell r="AB144"/>
          <cell r="AC144">
            <v>1360.9199999999998</v>
          </cell>
          <cell r="AD144"/>
          <cell r="AE144"/>
          <cell r="AF144">
            <v>1360.9199999999998</v>
          </cell>
          <cell r="AG144"/>
          <cell r="AH144"/>
          <cell r="AI144">
            <v>1720.9199999999998</v>
          </cell>
          <cell r="AJ144"/>
          <cell r="AK144"/>
          <cell r="AL144">
            <v>2080.92</v>
          </cell>
          <cell r="AM144"/>
          <cell r="AN144"/>
          <cell r="AO144">
            <v>3340.92</v>
          </cell>
        </row>
        <row r="145">
          <cell r="A145" t="str">
            <v>Véhicules usagésFournitures autres</v>
          </cell>
          <cell r="C145"/>
          <cell r="D145"/>
          <cell r="E145">
            <v>600</v>
          </cell>
          <cell r="F145"/>
          <cell r="G145"/>
          <cell r="H145">
            <v>50</v>
          </cell>
          <cell r="I145"/>
          <cell r="J145"/>
          <cell r="K145">
            <v>50</v>
          </cell>
          <cell r="L145"/>
          <cell r="M145"/>
          <cell r="N145">
            <v>50</v>
          </cell>
          <cell r="O145"/>
          <cell r="P145"/>
          <cell r="Q145">
            <v>50</v>
          </cell>
          <cell r="R145"/>
          <cell r="S145"/>
          <cell r="T145">
            <v>50</v>
          </cell>
          <cell r="U145"/>
          <cell r="V145"/>
          <cell r="W145">
            <v>50</v>
          </cell>
          <cell r="X145"/>
          <cell r="Y145"/>
          <cell r="Z145">
            <v>50</v>
          </cell>
          <cell r="AA145"/>
          <cell r="AB145"/>
          <cell r="AC145">
            <v>50</v>
          </cell>
          <cell r="AD145"/>
          <cell r="AE145"/>
          <cell r="AF145">
            <v>50</v>
          </cell>
          <cell r="AG145"/>
          <cell r="AH145"/>
          <cell r="AI145">
            <v>50</v>
          </cell>
          <cell r="AJ145"/>
          <cell r="AK145"/>
          <cell r="AL145">
            <v>50</v>
          </cell>
          <cell r="AM145"/>
          <cell r="AN145"/>
          <cell r="AO145">
            <v>50</v>
          </cell>
        </row>
        <row r="146">
          <cell r="A146" t="str">
            <v>Véhicules usagésUniformes</v>
          </cell>
          <cell r="C146"/>
          <cell r="D146"/>
          <cell r="E146">
            <v>0</v>
          </cell>
          <cell r="F146"/>
          <cell r="G146"/>
          <cell r="H146">
            <v>0</v>
          </cell>
          <cell r="I146"/>
          <cell r="J146"/>
          <cell r="K146">
            <v>0</v>
          </cell>
          <cell r="L146"/>
          <cell r="M146"/>
          <cell r="N146">
            <v>0</v>
          </cell>
          <cell r="O146"/>
          <cell r="P146"/>
          <cell r="Q146">
            <v>0</v>
          </cell>
          <cell r="R146"/>
          <cell r="S146"/>
          <cell r="T146">
            <v>0</v>
          </cell>
          <cell r="U146"/>
          <cell r="V146"/>
          <cell r="W146">
            <v>0</v>
          </cell>
          <cell r="X146"/>
          <cell r="Y146"/>
          <cell r="Z146">
            <v>0</v>
          </cell>
          <cell r="AA146"/>
          <cell r="AB146"/>
          <cell r="AC146">
            <v>0</v>
          </cell>
          <cell r="AD146"/>
          <cell r="AE146"/>
          <cell r="AF146">
            <v>0</v>
          </cell>
          <cell r="AG146"/>
          <cell r="AH146"/>
          <cell r="AI146">
            <v>0</v>
          </cell>
          <cell r="AJ146"/>
          <cell r="AK146"/>
          <cell r="AL146">
            <v>0</v>
          </cell>
          <cell r="AM146"/>
          <cell r="AN146"/>
          <cell r="AO146">
            <v>0</v>
          </cell>
        </row>
        <row r="147">
          <cell r="A147" t="str">
            <v>Véhicules usagésPapeterie</v>
          </cell>
          <cell r="C147"/>
          <cell r="D147"/>
          <cell r="E147">
            <v>3264</v>
          </cell>
          <cell r="F147"/>
          <cell r="G147"/>
          <cell r="H147">
            <v>272</v>
          </cell>
          <cell r="I147"/>
          <cell r="J147"/>
          <cell r="K147">
            <v>272</v>
          </cell>
          <cell r="L147"/>
          <cell r="M147"/>
          <cell r="N147">
            <v>272</v>
          </cell>
          <cell r="O147"/>
          <cell r="P147"/>
          <cell r="Q147">
            <v>272</v>
          </cell>
          <cell r="R147"/>
          <cell r="S147"/>
          <cell r="T147">
            <v>272</v>
          </cell>
          <cell r="U147"/>
          <cell r="V147"/>
          <cell r="W147">
            <v>272</v>
          </cell>
          <cell r="X147"/>
          <cell r="Y147"/>
          <cell r="Z147">
            <v>272</v>
          </cell>
          <cell r="AA147"/>
          <cell r="AB147"/>
          <cell r="AC147">
            <v>272</v>
          </cell>
          <cell r="AD147"/>
          <cell r="AE147"/>
          <cell r="AF147">
            <v>272</v>
          </cell>
          <cell r="AG147"/>
          <cell r="AH147"/>
          <cell r="AI147">
            <v>272</v>
          </cell>
          <cell r="AJ147"/>
          <cell r="AK147"/>
          <cell r="AL147">
            <v>272</v>
          </cell>
          <cell r="AM147"/>
          <cell r="AN147"/>
          <cell r="AO147">
            <v>272</v>
          </cell>
        </row>
        <row r="148">
          <cell r="A148" t="str">
            <v>Véhicules usagésTéléphone</v>
          </cell>
          <cell r="C148"/>
          <cell r="D148"/>
          <cell r="E148">
            <v>1050</v>
          </cell>
          <cell r="F148"/>
          <cell r="G148"/>
          <cell r="H148">
            <v>87.5</v>
          </cell>
          <cell r="I148"/>
          <cell r="J148"/>
          <cell r="K148">
            <v>87.5</v>
          </cell>
          <cell r="L148"/>
          <cell r="M148"/>
          <cell r="N148">
            <v>87.5</v>
          </cell>
          <cell r="O148"/>
          <cell r="P148"/>
          <cell r="Q148">
            <v>87.5</v>
          </cell>
          <cell r="R148"/>
          <cell r="S148"/>
          <cell r="T148">
            <v>87.5</v>
          </cell>
          <cell r="U148"/>
          <cell r="V148"/>
          <cell r="W148">
            <v>87.5</v>
          </cell>
          <cell r="X148"/>
          <cell r="Y148"/>
          <cell r="Z148">
            <v>87.5</v>
          </cell>
          <cell r="AA148"/>
          <cell r="AB148"/>
          <cell r="AC148">
            <v>87.5</v>
          </cell>
          <cell r="AD148"/>
          <cell r="AE148"/>
          <cell r="AF148">
            <v>87.5</v>
          </cell>
          <cell r="AG148"/>
          <cell r="AH148"/>
          <cell r="AI148">
            <v>87.5</v>
          </cell>
          <cell r="AJ148"/>
          <cell r="AK148"/>
          <cell r="AL148">
            <v>87.5</v>
          </cell>
          <cell r="AM148"/>
          <cell r="AN148"/>
          <cell r="AO148">
            <v>87.5</v>
          </cell>
        </row>
        <row r="149">
          <cell r="A149" t="str">
            <v>Véhicules usagésFrais postaux</v>
          </cell>
          <cell r="C149"/>
          <cell r="D149"/>
          <cell r="E149">
            <v>1025.6400000000001</v>
          </cell>
          <cell r="F149"/>
          <cell r="G149"/>
          <cell r="H149">
            <v>85.469999999999985</v>
          </cell>
          <cell r="I149"/>
          <cell r="J149"/>
          <cell r="K149">
            <v>85.469999999999985</v>
          </cell>
          <cell r="L149"/>
          <cell r="M149"/>
          <cell r="N149">
            <v>85.469999999999985</v>
          </cell>
          <cell r="O149"/>
          <cell r="P149"/>
          <cell r="Q149">
            <v>85.469999999999985</v>
          </cell>
          <cell r="R149"/>
          <cell r="S149"/>
          <cell r="T149">
            <v>85.469999999999985</v>
          </cell>
          <cell r="U149"/>
          <cell r="V149"/>
          <cell r="W149">
            <v>85.469999999999985</v>
          </cell>
          <cell r="X149"/>
          <cell r="Y149"/>
          <cell r="Z149">
            <v>85.469999999999985</v>
          </cell>
          <cell r="AA149"/>
          <cell r="AB149"/>
          <cell r="AC149">
            <v>85.469999999999985</v>
          </cell>
          <cell r="AD149"/>
          <cell r="AE149"/>
          <cell r="AF149">
            <v>85.469999999999985</v>
          </cell>
          <cell r="AG149"/>
          <cell r="AH149"/>
          <cell r="AI149">
            <v>85.469999999999985</v>
          </cell>
          <cell r="AJ149"/>
          <cell r="AK149"/>
          <cell r="AL149">
            <v>85.469999999999985</v>
          </cell>
          <cell r="AM149"/>
          <cell r="AN149"/>
          <cell r="AO149">
            <v>85.469999999999985</v>
          </cell>
        </row>
        <row r="150">
          <cell r="A150" t="str">
            <v>Véhicules usagésDivers</v>
          </cell>
          <cell r="C150"/>
          <cell r="D150"/>
          <cell r="E150">
            <v>540</v>
          </cell>
          <cell r="F150"/>
          <cell r="G150"/>
          <cell r="H150">
            <v>45</v>
          </cell>
          <cell r="I150"/>
          <cell r="J150"/>
          <cell r="K150">
            <v>45</v>
          </cell>
          <cell r="L150"/>
          <cell r="M150"/>
          <cell r="N150">
            <v>45</v>
          </cell>
          <cell r="O150"/>
          <cell r="P150"/>
          <cell r="Q150">
            <v>45</v>
          </cell>
          <cell r="R150"/>
          <cell r="S150"/>
          <cell r="T150">
            <v>45</v>
          </cell>
          <cell r="U150"/>
          <cell r="V150"/>
          <cell r="W150">
            <v>45</v>
          </cell>
          <cell r="X150"/>
          <cell r="Y150"/>
          <cell r="Z150">
            <v>45</v>
          </cell>
          <cell r="AA150"/>
          <cell r="AB150"/>
          <cell r="AC150">
            <v>45</v>
          </cell>
          <cell r="AD150"/>
          <cell r="AE150"/>
          <cell r="AF150">
            <v>45</v>
          </cell>
          <cell r="AG150"/>
          <cell r="AH150"/>
          <cell r="AI150">
            <v>45</v>
          </cell>
          <cell r="AJ150"/>
          <cell r="AK150"/>
          <cell r="AL150">
            <v>45</v>
          </cell>
          <cell r="AM150"/>
          <cell r="AN150"/>
          <cell r="AO150">
            <v>45</v>
          </cell>
        </row>
        <row r="151">
          <cell r="A151" t="str">
            <v>Véhicules usagésFormation</v>
          </cell>
          <cell r="C151"/>
          <cell r="D151"/>
          <cell r="E151">
            <v>5000</v>
          </cell>
          <cell r="F151"/>
          <cell r="G151"/>
          <cell r="H151">
            <v>416.66666666666669</v>
          </cell>
          <cell r="I151"/>
          <cell r="J151"/>
          <cell r="K151">
            <v>416.66666666666669</v>
          </cell>
          <cell r="L151"/>
          <cell r="M151"/>
          <cell r="N151">
            <v>416.66666666666669</v>
          </cell>
          <cell r="O151"/>
          <cell r="P151"/>
          <cell r="Q151">
            <v>416.66666666666669</v>
          </cell>
          <cell r="R151"/>
          <cell r="S151"/>
          <cell r="T151">
            <v>416.66666666666669</v>
          </cell>
          <cell r="U151"/>
          <cell r="V151"/>
          <cell r="W151">
            <v>416.66666666666669</v>
          </cell>
          <cell r="X151"/>
          <cell r="Y151"/>
          <cell r="Z151">
            <v>416.66666666666669</v>
          </cell>
          <cell r="AA151"/>
          <cell r="AB151"/>
          <cell r="AC151">
            <v>416.66666666666669</v>
          </cell>
          <cell r="AD151"/>
          <cell r="AE151"/>
          <cell r="AF151">
            <v>416.66666666666669</v>
          </cell>
          <cell r="AG151"/>
          <cell r="AH151"/>
          <cell r="AI151">
            <v>416.66666666666669</v>
          </cell>
          <cell r="AJ151"/>
          <cell r="AK151"/>
          <cell r="AL151">
            <v>416.66666666666669</v>
          </cell>
          <cell r="AM151"/>
          <cell r="AN151"/>
          <cell r="AO151">
            <v>416.66666666666669</v>
          </cell>
        </row>
        <row r="152">
          <cell r="A152" t="str">
            <v>Véhicules usagésFrais bancaires</v>
          </cell>
          <cell r="C152"/>
          <cell r="D152"/>
          <cell r="E152">
            <v>10009.847698444823</v>
          </cell>
          <cell r="F152"/>
          <cell r="G152"/>
          <cell r="H152">
            <v>640.8534683431119</v>
          </cell>
          <cell r="I152"/>
          <cell r="J152"/>
          <cell r="K152">
            <v>648.50711871097565</v>
          </cell>
          <cell r="L152"/>
          <cell r="M152"/>
          <cell r="N152">
            <v>884.80425183842488</v>
          </cell>
          <cell r="O152"/>
          <cell r="P152"/>
          <cell r="Q152">
            <v>939.56215937759464</v>
          </cell>
          <cell r="R152"/>
          <cell r="S152"/>
          <cell r="T152">
            <v>1000.1928608544387</v>
          </cell>
          <cell r="U152"/>
          <cell r="V152"/>
          <cell r="W152">
            <v>903.86121876737752</v>
          </cell>
          <cell r="X152"/>
          <cell r="Y152"/>
          <cell r="Z152">
            <v>856.99097099234598</v>
          </cell>
          <cell r="AA152"/>
          <cell r="AB152"/>
          <cell r="AC152">
            <v>830.81937884981221</v>
          </cell>
          <cell r="AD152"/>
          <cell r="AE152"/>
          <cell r="AF152">
            <v>866.45980074554529</v>
          </cell>
          <cell r="AG152"/>
          <cell r="AH152"/>
          <cell r="AI152">
            <v>868.59748986327622</v>
          </cell>
          <cell r="AJ152"/>
          <cell r="AK152"/>
          <cell r="AL152">
            <v>897.80848835201243</v>
          </cell>
          <cell r="AM152"/>
          <cell r="AN152"/>
          <cell r="AO152">
            <v>671.39049174990771</v>
          </cell>
        </row>
        <row r="153">
          <cell r="A153" t="str">
            <v>Véhicules usagés[...]</v>
          </cell>
          <cell r="C153"/>
          <cell r="D153"/>
          <cell r="E153">
            <v>0</v>
          </cell>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v>0</v>
          </cell>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v>
          </cell>
          <cell r="C155"/>
          <cell r="D155"/>
          <cell r="E155">
            <v>0</v>
          </cell>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row>
        <row r="156">
          <cell r="A156" t="str">
            <v>Véhicules usagésTOTAL SEMI-FIXES</v>
          </cell>
          <cell r="C156" t="str">
            <v>% brut</v>
          </cell>
          <cell r="D156">
            <v>5.2795071071044697E-2</v>
          </cell>
          <cell r="E156">
            <v>107464.36716511149</v>
          </cell>
          <cell r="F156" t="str">
            <v>% brut</v>
          </cell>
          <cell r="G156">
            <v>8.5971361865822216E-2</v>
          </cell>
          <cell r="H156">
            <v>10316.563423898666</v>
          </cell>
          <cell r="I156" t="str">
            <v>% brut</v>
          </cell>
          <cell r="J156">
            <v>7.0585142285554431E-2</v>
          </cell>
          <cell r="K156">
            <v>8470.2170742665312</v>
          </cell>
          <cell r="L156" t="str">
            <v>% brut</v>
          </cell>
          <cell r="M156">
            <v>4.844610345110216E-2</v>
          </cell>
          <cell r="N156">
            <v>8526.5142073939805</v>
          </cell>
          <cell r="O156" t="str">
            <v>% brut</v>
          </cell>
          <cell r="P156">
            <v>4.6012182921893567E-2</v>
          </cell>
          <cell r="Q156">
            <v>8581.2721149331501</v>
          </cell>
          <cell r="R156" t="str">
            <v>% brut</v>
          </cell>
          <cell r="S156">
            <v>4.3979149192926184E-2</v>
          </cell>
          <cell r="T156">
            <v>8641.9028164099946</v>
          </cell>
          <cell r="U156" t="str">
            <v>% brut</v>
          </cell>
          <cell r="V156">
            <v>4.5583692799610775E-2</v>
          </cell>
          <cell r="W156">
            <v>9025.5711743229331</v>
          </cell>
          <cell r="X156" t="str">
            <v>% brut</v>
          </cell>
          <cell r="Y156">
            <v>4.4730004876567912E-2</v>
          </cell>
          <cell r="Z156">
            <v>8498.7009265479028</v>
          </cell>
          <cell r="AA156" t="str">
            <v>% brut</v>
          </cell>
          <cell r="AB156">
            <v>4.5551232980674018E-2</v>
          </cell>
          <cell r="AC156">
            <v>8472.529334405368</v>
          </cell>
          <cell r="AD156" t="str">
            <v>% brut</v>
          </cell>
          <cell r="AE156">
            <v>4.7006462741995041E-2</v>
          </cell>
          <cell r="AF156">
            <v>8508.1697563011021</v>
          </cell>
          <cell r="AG156" t="str">
            <v>% brut</v>
          </cell>
          <cell r="AH156">
            <v>4.833955011127429E-2</v>
          </cell>
          <cell r="AI156">
            <v>8870.3074454188318</v>
          </cell>
          <cell r="AJ156" t="str">
            <v>% brut</v>
          </cell>
          <cell r="AK156">
            <v>5.7691703700358685E-2</v>
          </cell>
          <cell r="AL156">
            <v>9259.5184439075692</v>
          </cell>
          <cell r="AM156" t="str">
            <v>% brut</v>
          </cell>
          <cell r="AN156">
            <v>7.4858912344039727E-2</v>
          </cell>
          <cell r="AO156">
            <v>10293.100447305462</v>
          </cell>
        </row>
        <row r="157">
          <cell r="A157" t="str">
            <v>Véhicules usagés</v>
          </cell>
          <cell r="C157"/>
          <cell r="D157"/>
          <cell r="E157"/>
          <cell r="F157"/>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row>
        <row r="158">
          <cell r="A158" t="str">
            <v>Véhicules usagésTOTAL DES DÉPENSES</v>
          </cell>
          <cell r="C158" t="str">
            <v>% brut</v>
          </cell>
          <cell r="D158">
            <v>0.67714957702791934</v>
          </cell>
          <cell r="E158">
            <v>1378337.9640403299</v>
          </cell>
          <cell r="F158" t="str">
            <v>% brut</v>
          </cell>
          <cell r="G158">
            <v>0.88561406515768526</v>
          </cell>
          <cell r="H158">
            <v>106273.68781892223</v>
          </cell>
          <cell r="I158" t="str">
            <v>% brut</v>
          </cell>
          <cell r="J158">
            <v>0.81762562930135307</v>
          </cell>
          <cell r="K158">
            <v>98115.075516162367</v>
          </cell>
          <cell r="L158" t="str">
            <v>% brut</v>
          </cell>
          <cell r="M158">
            <v>0.66486003018761142</v>
          </cell>
          <cell r="N158">
            <v>117015.3653130196</v>
          </cell>
          <cell r="O158" t="str">
            <v>% brut</v>
          </cell>
          <cell r="P158">
            <v>0.66699076780795108</v>
          </cell>
          <cell r="Q158">
            <v>124393.77819618287</v>
          </cell>
          <cell r="R158" t="str">
            <v>% brut</v>
          </cell>
          <cell r="S158">
            <v>0.66312022639957724</v>
          </cell>
          <cell r="T158">
            <v>130303.12448751694</v>
          </cell>
          <cell r="U158" t="str">
            <v>% brut</v>
          </cell>
          <cell r="V158">
            <v>0.6068966048135167</v>
          </cell>
          <cell r="W158">
            <v>120165.52775307631</v>
          </cell>
          <cell r="X158" t="str">
            <v>% brut</v>
          </cell>
          <cell r="Y158">
            <v>0.62874444283640873</v>
          </cell>
          <cell r="Z158">
            <v>119461.44413891766</v>
          </cell>
          <cell r="AA158" t="str">
            <v>% brut</v>
          </cell>
          <cell r="AB158">
            <v>0.61939818820252568</v>
          </cell>
          <cell r="AC158">
            <v>115208.06300566977</v>
          </cell>
          <cell r="AD158" t="str">
            <v>% brut</v>
          </cell>
          <cell r="AE158">
            <v>0.63218666892993003</v>
          </cell>
          <cell r="AF158">
            <v>114425.78707631733</v>
          </cell>
          <cell r="AG158" t="str">
            <v>% brut</v>
          </cell>
          <cell r="AH158">
            <v>0.65081243625501883</v>
          </cell>
          <cell r="AI158">
            <v>119424.08205279596</v>
          </cell>
          <cell r="AJ158" t="str">
            <v>% brut</v>
          </cell>
          <cell r="AK158">
            <v>0.68082956594738464</v>
          </cell>
          <cell r="AL158">
            <v>109273.14533455523</v>
          </cell>
          <cell r="AM158" t="str">
            <v>% brut</v>
          </cell>
          <cell r="AN158">
            <v>0.75839187888868076</v>
          </cell>
          <cell r="AO158">
            <v>104278.88334719361</v>
          </cell>
        </row>
        <row r="159">
          <cell r="A159" t="str">
            <v>Véhicules usagésProgramme used 1</v>
          </cell>
          <cell r="C159"/>
          <cell r="D159"/>
          <cell r="E159">
            <v>0</v>
          </cell>
          <cell r="F159"/>
          <cell r="G159"/>
          <cell r="H159">
            <v>0</v>
          </cell>
          <cell r="I159"/>
          <cell r="J159"/>
          <cell r="K159">
            <v>0</v>
          </cell>
          <cell r="L159"/>
          <cell r="M159"/>
          <cell r="N159">
            <v>0</v>
          </cell>
          <cell r="O159"/>
          <cell r="P159"/>
          <cell r="Q159">
            <v>0</v>
          </cell>
          <cell r="R159"/>
          <cell r="S159"/>
          <cell r="T159">
            <v>0</v>
          </cell>
          <cell r="U159"/>
          <cell r="V159"/>
          <cell r="W159">
            <v>0</v>
          </cell>
          <cell r="X159"/>
          <cell r="Y159"/>
          <cell r="Z159">
            <v>0</v>
          </cell>
          <cell r="AA159"/>
          <cell r="AB159"/>
          <cell r="AC159">
            <v>0</v>
          </cell>
          <cell r="AD159"/>
          <cell r="AE159"/>
          <cell r="AF159">
            <v>0</v>
          </cell>
          <cell r="AG159"/>
          <cell r="AH159"/>
          <cell r="AI159">
            <v>0</v>
          </cell>
          <cell r="AJ159"/>
          <cell r="AK159"/>
          <cell r="AL159">
            <v>0</v>
          </cell>
          <cell r="AM159"/>
          <cell r="AN159"/>
          <cell r="AO159">
            <v>0</v>
          </cell>
        </row>
        <row r="160">
          <cell r="A160" t="str">
            <v>Véhicules usagésProgramme used 2</v>
          </cell>
          <cell r="C160"/>
          <cell r="D160"/>
          <cell r="E160">
            <v>0</v>
          </cell>
          <cell r="F160"/>
          <cell r="G160"/>
          <cell r="H160">
            <v>0</v>
          </cell>
          <cell r="I160"/>
          <cell r="J160"/>
          <cell r="K160">
            <v>0</v>
          </cell>
          <cell r="L160"/>
          <cell r="M160"/>
          <cell r="N160">
            <v>0</v>
          </cell>
          <cell r="O160"/>
          <cell r="P160"/>
          <cell r="Q160">
            <v>0</v>
          </cell>
          <cell r="R160"/>
          <cell r="S160"/>
          <cell r="T160">
            <v>0</v>
          </cell>
          <cell r="U160"/>
          <cell r="V160"/>
          <cell r="W160">
            <v>0</v>
          </cell>
          <cell r="X160"/>
          <cell r="Y160"/>
          <cell r="Z160">
            <v>0</v>
          </cell>
          <cell r="AA160"/>
          <cell r="AB160"/>
          <cell r="AC160">
            <v>0</v>
          </cell>
          <cell r="AD160"/>
          <cell r="AE160"/>
          <cell r="AF160">
            <v>0</v>
          </cell>
          <cell r="AG160"/>
          <cell r="AH160"/>
          <cell r="AI160">
            <v>0</v>
          </cell>
          <cell r="AJ160"/>
          <cell r="AK160"/>
          <cell r="AL160">
            <v>0</v>
          </cell>
          <cell r="AM160"/>
          <cell r="AN160"/>
          <cell r="AO160">
            <v>0</v>
          </cell>
        </row>
        <row r="161">
          <cell r="A161" t="str">
            <v>Véhicules usagésProgramme used 3</v>
          </cell>
          <cell r="C161"/>
          <cell r="D161"/>
          <cell r="E161">
            <v>0</v>
          </cell>
          <cell r="F161"/>
          <cell r="G161"/>
          <cell r="H161">
            <v>0</v>
          </cell>
          <cell r="I161"/>
          <cell r="J161"/>
          <cell r="K161">
            <v>0</v>
          </cell>
          <cell r="L161"/>
          <cell r="M161"/>
          <cell r="N161">
            <v>0</v>
          </cell>
          <cell r="O161"/>
          <cell r="P161"/>
          <cell r="Q161">
            <v>0</v>
          </cell>
          <cell r="R161"/>
          <cell r="S161"/>
          <cell r="T161">
            <v>0</v>
          </cell>
          <cell r="U161"/>
          <cell r="V161"/>
          <cell r="W161">
            <v>0</v>
          </cell>
          <cell r="X161"/>
          <cell r="Y161"/>
          <cell r="Z161">
            <v>0</v>
          </cell>
          <cell r="AA161"/>
          <cell r="AB161"/>
          <cell r="AC161">
            <v>0</v>
          </cell>
          <cell r="AD161"/>
          <cell r="AE161"/>
          <cell r="AF161">
            <v>0</v>
          </cell>
          <cell r="AG161"/>
          <cell r="AH161"/>
          <cell r="AI161">
            <v>0</v>
          </cell>
          <cell r="AJ161"/>
          <cell r="AK161"/>
          <cell r="AL161">
            <v>0</v>
          </cell>
          <cell r="AM161"/>
          <cell r="AN161"/>
          <cell r="AO161">
            <v>0</v>
          </cell>
        </row>
        <row r="162">
          <cell r="A162" t="str">
            <v>Véhicules usagés[...]</v>
          </cell>
          <cell r="C162"/>
          <cell r="D162"/>
          <cell r="E162">
            <v>0</v>
          </cell>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v>0</v>
          </cell>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v>
          </cell>
          <cell r="C164"/>
          <cell r="D164"/>
          <cell r="E164">
            <v>0</v>
          </cell>
          <cell r="F164"/>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row>
        <row r="165">
          <cell r="A165" t="str">
            <v>Véhicules usagésFrais administration</v>
          </cell>
          <cell r="C165"/>
          <cell r="D165"/>
          <cell r="E165">
            <v>242541.65</v>
          </cell>
          <cell r="F165"/>
          <cell r="G165"/>
          <cell r="H165">
            <v>14561.599999999999</v>
          </cell>
          <cell r="I165"/>
          <cell r="J165"/>
          <cell r="K165">
            <v>15016.65</v>
          </cell>
          <cell r="L165"/>
          <cell r="M165"/>
          <cell r="N165">
            <v>22297.45</v>
          </cell>
          <cell r="O165"/>
          <cell r="P165"/>
          <cell r="Q165">
            <v>23207.55</v>
          </cell>
          <cell r="R165"/>
          <cell r="S165"/>
          <cell r="T165">
            <v>24117.649999999998</v>
          </cell>
          <cell r="U165"/>
          <cell r="V165"/>
          <cell r="W165">
            <v>23207.55</v>
          </cell>
          <cell r="X165"/>
          <cell r="Y165"/>
          <cell r="Z165">
            <v>21842.399999999998</v>
          </cell>
          <cell r="AA165"/>
          <cell r="AB165"/>
          <cell r="AC165">
            <v>21387.35</v>
          </cell>
          <cell r="AD165"/>
          <cell r="AE165"/>
          <cell r="AF165">
            <v>21387.35</v>
          </cell>
          <cell r="AG165"/>
          <cell r="AH165"/>
          <cell r="AI165">
            <v>20932.3</v>
          </cell>
          <cell r="AJ165"/>
          <cell r="AK165"/>
          <cell r="AL165">
            <v>18657.05</v>
          </cell>
          <cell r="AM165"/>
          <cell r="AN165"/>
          <cell r="AO165">
            <v>15926.75</v>
          </cell>
        </row>
        <row r="166">
          <cell r="A166" t="str">
            <v>Véhicules usagésAUTRES REVENUS</v>
          </cell>
          <cell r="C166"/>
          <cell r="D166"/>
          <cell r="E166">
            <v>242541.65</v>
          </cell>
          <cell r="F166"/>
          <cell r="G166"/>
          <cell r="H166">
            <v>14561.599999999999</v>
          </cell>
          <cell r="I166"/>
          <cell r="J166"/>
          <cell r="K166">
            <v>15016.65</v>
          </cell>
          <cell r="L166"/>
          <cell r="M166"/>
          <cell r="N166">
            <v>22297.45</v>
          </cell>
          <cell r="O166"/>
          <cell r="P166"/>
          <cell r="Q166">
            <v>23207.55</v>
          </cell>
          <cell r="R166"/>
          <cell r="S166"/>
          <cell r="T166">
            <v>24117.649999999998</v>
          </cell>
          <cell r="U166"/>
          <cell r="V166"/>
          <cell r="W166">
            <v>23207.55</v>
          </cell>
          <cell r="X166"/>
          <cell r="Y166"/>
          <cell r="Z166">
            <v>21842.399999999998</v>
          </cell>
          <cell r="AA166"/>
          <cell r="AB166"/>
          <cell r="AC166">
            <v>21387.35</v>
          </cell>
          <cell r="AD166"/>
          <cell r="AE166"/>
          <cell r="AF166">
            <v>21387.35</v>
          </cell>
          <cell r="AG166"/>
          <cell r="AH166"/>
          <cell r="AI166">
            <v>20932.3</v>
          </cell>
          <cell r="AJ166"/>
          <cell r="AK166"/>
          <cell r="AL166">
            <v>18657.05</v>
          </cell>
          <cell r="AM166"/>
          <cell r="AN166"/>
          <cell r="AO166">
            <v>15926.75</v>
          </cell>
        </row>
        <row r="167">
          <cell r="A167" t="str">
            <v>Véhicules usagés</v>
          </cell>
          <cell r="C167"/>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row>
        <row r="168">
          <cell r="A168" t="str">
            <v>Véhicules usagésPROFIT DÉPARTEMENTAL</v>
          </cell>
          <cell r="C168"/>
          <cell r="D168">
            <v>4.8623147630078377E-2</v>
          </cell>
          <cell r="E168">
            <v>899703.68595967011</v>
          </cell>
          <cell r="F168"/>
          <cell r="G168"/>
          <cell r="H168">
            <v>28287.912181077765</v>
          </cell>
          <cell r="I168"/>
          <cell r="J168"/>
          <cell r="K168">
            <v>36901.574483837634</v>
          </cell>
          <cell r="L168"/>
          <cell r="M168"/>
          <cell r="N168">
            <v>81282.084686980394</v>
          </cell>
          <cell r="O168"/>
          <cell r="P168"/>
          <cell r="Q168">
            <v>85313.77180381713</v>
          </cell>
          <cell r="R168"/>
          <cell r="S168"/>
          <cell r="T168">
            <v>90314.525512483058</v>
          </cell>
          <cell r="U168"/>
          <cell r="V168"/>
          <cell r="W168">
            <v>101042.02224692369</v>
          </cell>
          <cell r="X168"/>
          <cell r="Y168"/>
          <cell r="Z168">
            <v>92380.95586108233</v>
          </cell>
          <cell r="AA168"/>
          <cell r="AB168"/>
          <cell r="AC168">
            <v>92179.286994330236</v>
          </cell>
          <cell r="AD168"/>
          <cell r="AE168"/>
          <cell r="AF168">
            <v>87961.562923682679</v>
          </cell>
          <cell r="AG168"/>
          <cell r="AH168"/>
          <cell r="AI168">
            <v>85008.217947204044</v>
          </cell>
          <cell r="AJ168"/>
          <cell r="AK168"/>
          <cell r="AL168">
            <v>69883.904665444774</v>
          </cell>
          <cell r="AM168"/>
          <cell r="AN168"/>
          <cell r="AO168">
            <v>49147.866652806391</v>
          </cell>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t="str">
            <v>Service</v>
          </cell>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cell r="D172"/>
          <cell r="E172"/>
          <cell r="F172"/>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row>
        <row r="173">
          <cell r="A173"/>
          <cell r="C173">
            <v>2021</v>
          </cell>
          <cell r="D173"/>
          <cell r="E173"/>
          <cell r="F173" t="str">
            <v>Janvier</v>
          </cell>
          <cell r="G173"/>
          <cell r="H173"/>
          <cell r="I173" t="str">
            <v>Février</v>
          </cell>
          <cell r="J173"/>
          <cell r="K173"/>
          <cell r="L173" t="str">
            <v>Mars</v>
          </cell>
          <cell r="M173"/>
          <cell r="N173"/>
          <cell r="O173" t="str">
            <v>Avril</v>
          </cell>
          <cell r="P173"/>
          <cell r="Q173"/>
          <cell r="R173" t="str">
            <v>Mai</v>
          </cell>
          <cell r="S173"/>
          <cell r="T173"/>
          <cell r="U173" t="str">
            <v>Juin</v>
          </cell>
          <cell r="V173"/>
          <cell r="W173"/>
          <cell r="X173" t="str">
            <v>Juillet</v>
          </cell>
          <cell r="Y173"/>
          <cell r="Z173"/>
          <cell r="AA173" t="str">
            <v>Août</v>
          </cell>
          <cell r="AB173"/>
          <cell r="AC173"/>
          <cell r="AD173" t="str">
            <v>Septembre</v>
          </cell>
          <cell r="AE173"/>
          <cell r="AF173"/>
          <cell r="AG173" t="str">
            <v>Octobre</v>
          </cell>
          <cell r="AH173"/>
          <cell r="AI173"/>
          <cell r="AJ173" t="str">
            <v>Novembre</v>
          </cell>
          <cell r="AK173"/>
          <cell r="AL173"/>
          <cell r="AM173" t="str">
            <v>Décembre</v>
          </cell>
          <cell r="AN173"/>
          <cell r="AO173"/>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5803.0000000000009</v>
          </cell>
          <cell r="D175">
            <v>2031049.9999999995</v>
          </cell>
          <cell r="E175">
            <v>1598436.3499999999</v>
          </cell>
          <cell r="F175">
            <v>294.76237807605202</v>
          </cell>
          <cell r="G175">
            <v>103166.8323266182</v>
          </cell>
          <cell r="H175">
            <v>81192.297041048529</v>
          </cell>
          <cell r="I175">
            <v>283.72149852865647</v>
          </cell>
          <cell r="J175">
            <v>99302.52448502976</v>
          </cell>
          <cell r="K175">
            <v>78151.086769718429</v>
          </cell>
          <cell r="L175">
            <v>370.38159707021657</v>
          </cell>
          <cell r="M175">
            <v>129633.5589745758</v>
          </cell>
          <cell r="N175">
            <v>102021.61091299116</v>
          </cell>
          <cell r="O175">
            <v>659.01552188133667</v>
          </cell>
          <cell r="P175">
            <v>230655.43265846782</v>
          </cell>
          <cell r="Q175">
            <v>181525.82550221417</v>
          </cell>
          <cell r="R175">
            <v>620.90288771897451</v>
          </cell>
          <cell r="S175">
            <v>217316.01070164109</v>
          </cell>
          <cell r="T175">
            <v>171027.70042219156</v>
          </cell>
          <cell r="U175">
            <v>423.81970065732037</v>
          </cell>
          <cell r="V175">
            <v>148336.89523006213</v>
          </cell>
          <cell r="W175">
            <v>116741.1365460589</v>
          </cell>
          <cell r="X175">
            <v>411.51758821408816</v>
          </cell>
          <cell r="Y175">
            <v>144031.15587493085</v>
          </cell>
          <cell r="Z175">
            <v>113352.51967357058</v>
          </cell>
          <cell r="AA175">
            <v>409.5330002686436</v>
          </cell>
          <cell r="AB175">
            <v>143336.55009402527</v>
          </cell>
          <cell r="AC175">
            <v>112805.86492399788</v>
          </cell>
          <cell r="AD175">
            <v>388.66542486707237</v>
          </cell>
          <cell r="AE175">
            <v>136032.89870347534</v>
          </cell>
          <cell r="AF175">
            <v>107057.89127963509</v>
          </cell>
          <cell r="AG175">
            <v>592.43026349314778</v>
          </cell>
          <cell r="AH175">
            <v>207350.5922226017</v>
          </cell>
          <cell r="AI175">
            <v>163184.91607918753</v>
          </cell>
          <cell r="AJ175">
            <v>886.22515645668841</v>
          </cell>
          <cell r="AK175">
            <v>310178.80475984095</v>
          </cell>
          <cell r="AL175">
            <v>244110.71934599485</v>
          </cell>
          <cell r="AM175">
            <v>462.02498276780256</v>
          </cell>
          <cell r="AN175">
            <v>161708.74396873091</v>
          </cell>
          <cell r="AO175">
            <v>127264.78150339123</v>
          </cell>
        </row>
        <row r="176">
          <cell r="A176" t="str">
            <v>Service% profit / ventes</v>
          </cell>
          <cell r="C176"/>
          <cell r="D176"/>
          <cell r="E176">
            <v>0.78700000000000014</v>
          </cell>
          <cell r="F176"/>
          <cell r="G176"/>
          <cell r="H176">
            <v>0.78700000000000003</v>
          </cell>
          <cell r="I176"/>
          <cell r="J176"/>
          <cell r="K176">
            <v>0.78700000000000003</v>
          </cell>
          <cell r="L176"/>
          <cell r="M176"/>
          <cell r="N176">
            <v>0.78700000000000003</v>
          </cell>
          <cell r="O176"/>
          <cell r="P176"/>
          <cell r="Q176">
            <v>0.78699999999999992</v>
          </cell>
          <cell r="R176"/>
          <cell r="S176"/>
          <cell r="T176">
            <v>0.78700000000000003</v>
          </cell>
          <cell r="U176"/>
          <cell r="V176"/>
          <cell r="W176">
            <v>0.78700000000000003</v>
          </cell>
          <cell r="X176"/>
          <cell r="Y176"/>
          <cell r="Z176">
            <v>0.78700000000000003</v>
          </cell>
          <cell r="AA176"/>
          <cell r="AB176"/>
          <cell r="AC176">
            <v>0.78700000000000003</v>
          </cell>
          <cell r="AD176"/>
          <cell r="AE176"/>
          <cell r="AF176">
            <v>0.78700000000000003</v>
          </cell>
          <cell r="AG176"/>
          <cell r="AH176"/>
          <cell r="AI176">
            <v>0.78700000000000003</v>
          </cell>
          <cell r="AJ176"/>
          <cell r="AK176"/>
          <cell r="AL176">
            <v>0.78700000000000003</v>
          </cell>
          <cell r="AM176"/>
          <cell r="AN176"/>
          <cell r="AO176">
            <v>0.78700000000000003</v>
          </cell>
        </row>
        <row r="177">
          <cell r="A177" t="str">
            <v>Service</v>
          </cell>
          <cell r="C177"/>
          <cell r="D177">
            <v>349.99999999999989</v>
          </cell>
          <cell r="E177"/>
          <cell r="F177"/>
          <cell r="G177">
            <v>350</v>
          </cell>
          <cell r="H177"/>
          <cell r="I177"/>
          <cell r="J177">
            <v>350</v>
          </cell>
          <cell r="K177"/>
          <cell r="L177"/>
          <cell r="M177">
            <v>350</v>
          </cell>
          <cell r="N177"/>
          <cell r="O177"/>
          <cell r="P177">
            <v>350</v>
          </cell>
          <cell r="Q177"/>
          <cell r="R177"/>
          <cell r="S177">
            <v>350</v>
          </cell>
          <cell r="T177"/>
          <cell r="U177"/>
          <cell r="V177">
            <v>350</v>
          </cell>
          <cell r="W177"/>
          <cell r="X177"/>
          <cell r="Y177">
            <v>350</v>
          </cell>
          <cell r="Z177"/>
          <cell r="AA177"/>
          <cell r="AB177">
            <v>350</v>
          </cell>
          <cell r="AC177"/>
          <cell r="AD177"/>
          <cell r="AE177">
            <v>350</v>
          </cell>
          <cell r="AF177"/>
          <cell r="AG177"/>
          <cell r="AH177">
            <v>349.99999999999994</v>
          </cell>
          <cell r="AI177"/>
          <cell r="AJ177"/>
          <cell r="AK177">
            <v>350</v>
          </cell>
          <cell r="AL177"/>
          <cell r="AM177"/>
          <cell r="AN177">
            <v>350.00000000000006</v>
          </cell>
          <cell r="AO177"/>
        </row>
        <row r="178">
          <cell r="A178" t="str">
            <v>ServiceM/O Garantie</v>
          </cell>
          <cell r="C178">
            <v>2377</v>
          </cell>
          <cell r="D178">
            <v>713100.00000000012</v>
          </cell>
          <cell r="E178">
            <v>459949.5</v>
          </cell>
          <cell r="F178">
            <v>273.53966785057435</v>
          </cell>
          <cell r="G178">
            <v>82061.9003551723</v>
          </cell>
          <cell r="H178">
            <v>52929.925729086135</v>
          </cell>
          <cell r="I178">
            <v>235.88237362310653</v>
          </cell>
          <cell r="J178">
            <v>70764.712086931962</v>
          </cell>
          <cell r="K178">
            <v>45643.239296071115</v>
          </cell>
          <cell r="L178">
            <v>290.91736964263987</v>
          </cell>
          <cell r="M178">
            <v>87275.210892791962</v>
          </cell>
          <cell r="N178">
            <v>56292.511025850814</v>
          </cell>
          <cell r="O178">
            <v>139.91529733713244</v>
          </cell>
          <cell r="P178">
            <v>41974.58920113973</v>
          </cell>
          <cell r="Q178">
            <v>27073.610034735128</v>
          </cell>
          <cell r="R178">
            <v>149.96147628257265</v>
          </cell>
          <cell r="S178">
            <v>44988.442884771794</v>
          </cell>
          <cell r="T178">
            <v>29017.545660677806</v>
          </cell>
          <cell r="U178">
            <v>205.16198987760498</v>
          </cell>
          <cell r="V178">
            <v>61548.596963281496</v>
          </cell>
          <cell r="W178">
            <v>39698.845041316563</v>
          </cell>
          <cell r="X178">
            <v>239.60045160947578</v>
          </cell>
          <cell r="Y178">
            <v>71880.135482842728</v>
          </cell>
          <cell r="Z178">
            <v>46362.687386433558</v>
          </cell>
          <cell r="AA178">
            <v>245.72397242557832</v>
          </cell>
          <cell r="AB178">
            <v>73717.191727673504</v>
          </cell>
          <cell r="AC178">
            <v>47547.588664349409</v>
          </cell>
          <cell r="AD178">
            <v>249.37028999256785</v>
          </cell>
          <cell r="AE178">
            <v>74811.086997770355</v>
          </cell>
          <cell r="AF178">
            <v>48253.151113561878</v>
          </cell>
          <cell r="AG178">
            <v>221.75791575581431</v>
          </cell>
          <cell r="AH178">
            <v>66527.374726744296</v>
          </cell>
          <cell r="AI178">
            <v>42910.15669875007</v>
          </cell>
          <cell r="AJ178">
            <v>48.84821272845128</v>
          </cell>
          <cell r="AK178">
            <v>14654.463818535383</v>
          </cell>
          <cell r="AL178">
            <v>9452.1291629553234</v>
          </cell>
          <cell r="AM178">
            <v>76.320982874481771</v>
          </cell>
          <cell r="AN178">
            <v>22896.29486234453</v>
          </cell>
          <cell r="AO178">
            <v>14768.110186212221</v>
          </cell>
        </row>
        <row r="179">
          <cell r="A179" t="str">
            <v>Service% profit / ventes</v>
          </cell>
          <cell r="C179"/>
          <cell r="D179"/>
          <cell r="E179">
            <v>0.64499999999999991</v>
          </cell>
          <cell r="F179"/>
          <cell r="G179"/>
          <cell r="H179">
            <v>0.64500000000000002</v>
          </cell>
          <cell r="I179"/>
          <cell r="J179"/>
          <cell r="K179">
            <v>0.64500000000000002</v>
          </cell>
          <cell r="L179"/>
          <cell r="M179"/>
          <cell r="N179">
            <v>0.64500000000000002</v>
          </cell>
          <cell r="O179"/>
          <cell r="P179"/>
          <cell r="Q179">
            <v>0.64500000000000002</v>
          </cell>
          <cell r="R179"/>
          <cell r="S179"/>
          <cell r="T179">
            <v>0.64500000000000002</v>
          </cell>
          <cell r="U179"/>
          <cell r="V179"/>
          <cell r="W179">
            <v>0.64500000000000002</v>
          </cell>
          <cell r="X179"/>
          <cell r="Y179"/>
          <cell r="Z179">
            <v>0.64500000000000002</v>
          </cell>
          <cell r="AA179"/>
          <cell r="AB179"/>
          <cell r="AC179">
            <v>0.64500000000000002</v>
          </cell>
          <cell r="AD179"/>
          <cell r="AE179"/>
          <cell r="AF179">
            <v>0.64500000000000002</v>
          </cell>
          <cell r="AG179"/>
          <cell r="AH179"/>
          <cell r="AI179">
            <v>0.64500000000000002</v>
          </cell>
          <cell r="AJ179"/>
          <cell r="AK179"/>
          <cell r="AL179">
            <v>0.64500000000000013</v>
          </cell>
          <cell r="AM179"/>
          <cell r="AN179"/>
          <cell r="AO179">
            <v>0.64500000000000002</v>
          </cell>
        </row>
        <row r="180">
          <cell r="A180" t="str">
            <v>Service</v>
          </cell>
          <cell r="C180"/>
          <cell r="D180">
            <v>300.00000000000006</v>
          </cell>
          <cell r="E180"/>
          <cell r="F180"/>
          <cell r="G180">
            <v>300</v>
          </cell>
          <cell r="H180"/>
          <cell r="I180"/>
          <cell r="J180">
            <v>300</v>
          </cell>
          <cell r="K180"/>
          <cell r="L180"/>
          <cell r="M180">
            <v>300</v>
          </cell>
          <cell r="N180"/>
          <cell r="O180"/>
          <cell r="P180">
            <v>300</v>
          </cell>
          <cell r="Q180"/>
          <cell r="R180"/>
          <cell r="S180">
            <v>300</v>
          </cell>
          <cell r="T180"/>
          <cell r="U180"/>
          <cell r="V180">
            <v>300</v>
          </cell>
          <cell r="W180"/>
          <cell r="X180"/>
          <cell r="Y180">
            <v>300</v>
          </cell>
          <cell r="Z180"/>
          <cell r="AA180"/>
          <cell r="AB180">
            <v>300</v>
          </cell>
          <cell r="AC180"/>
          <cell r="AD180"/>
          <cell r="AE180">
            <v>300</v>
          </cell>
          <cell r="AF180"/>
          <cell r="AG180"/>
          <cell r="AH180">
            <v>300</v>
          </cell>
          <cell r="AI180"/>
          <cell r="AJ180"/>
          <cell r="AK180">
            <v>300</v>
          </cell>
          <cell r="AL180"/>
          <cell r="AM180"/>
          <cell r="AN180">
            <v>300</v>
          </cell>
          <cell r="AO180"/>
        </row>
        <row r="181">
          <cell r="A181" t="str">
            <v>ServiceM/O Interne</v>
          </cell>
          <cell r="C181">
            <v>3408.9</v>
          </cell>
          <cell r="D181">
            <v>1063576.8</v>
          </cell>
          <cell r="E181">
            <v>797682.60000000009</v>
          </cell>
          <cell r="F181">
            <v>225.12917185982698</v>
          </cell>
          <cell r="G181">
            <v>70240.301620266022</v>
          </cell>
          <cell r="H181">
            <v>52680.226215199516</v>
          </cell>
          <cell r="I181">
            <v>234.50207116487226</v>
          </cell>
          <cell r="J181">
            <v>73164.646203440148</v>
          </cell>
          <cell r="K181">
            <v>54873.484652580111</v>
          </cell>
          <cell r="L181">
            <v>246.95173245070447</v>
          </cell>
          <cell r="M181">
            <v>77048.9405246198</v>
          </cell>
          <cell r="N181">
            <v>57786.70539346485</v>
          </cell>
          <cell r="O181">
            <v>235.354709308867</v>
          </cell>
          <cell r="P181">
            <v>73430.6693043665</v>
          </cell>
          <cell r="Q181">
            <v>55073.001978274871</v>
          </cell>
          <cell r="R181">
            <v>316.85679749651365</v>
          </cell>
          <cell r="S181">
            <v>98859.320818912252</v>
          </cell>
          <cell r="T181">
            <v>74144.490614184193</v>
          </cell>
          <cell r="U181">
            <v>288.54858822359927</v>
          </cell>
          <cell r="V181">
            <v>90027.159525762982</v>
          </cell>
          <cell r="W181">
            <v>67520.369644322229</v>
          </cell>
          <cell r="X181">
            <v>337.35093163487613</v>
          </cell>
          <cell r="Y181">
            <v>105253.49067008134</v>
          </cell>
          <cell r="Z181">
            <v>78940.118002561008</v>
          </cell>
          <cell r="AA181">
            <v>348.77416058485875</v>
          </cell>
          <cell r="AB181">
            <v>108817.53810247593</v>
          </cell>
          <cell r="AC181">
            <v>81613.153576856945</v>
          </cell>
          <cell r="AD181">
            <v>403.10952583575823</v>
          </cell>
          <cell r="AE181">
            <v>125770.17206075658</v>
          </cell>
          <cell r="AF181">
            <v>94327.629045567432</v>
          </cell>
          <cell r="AG181">
            <v>257.63172776879776</v>
          </cell>
          <cell r="AH181">
            <v>80381.099063864909</v>
          </cell>
          <cell r="AI181">
            <v>60285.824297898682</v>
          </cell>
          <cell r="AJ181">
            <v>279.4093097419875</v>
          </cell>
          <cell r="AK181">
            <v>87175.704639500094</v>
          </cell>
          <cell r="AL181">
            <v>65381.778479625071</v>
          </cell>
          <cell r="AM181">
            <v>235.28127392933806</v>
          </cell>
          <cell r="AN181">
            <v>73407.757465953473</v>
          </cell>
          <cell r="AO181">
            <v>55055.818099465105</v>
          </cell>
        </row>
        <row r="182">
          <cell r="A182" t="str">
            <v>Service% profit / ventes</v>
          </cell>
          <cell r="C182"/>
          <cell r="D182"/>
          <cell r="E182">
            <v>0.75</v>
          </cell>
          <cell r="F182"/>
          <cell r="G182"/>
          <cell r="H182">
            <v>0.75</v>
          </cell>
          <cell r="I182"/>
          <cell r="J182"/>
          <cell r="K182">
            <v>0.75</v>
          </cell>
          <cell r="L182"/>
          <cell r="M182"/>
          <cell r="N182">
            <v>0.75</v>
          </cell>
          <cell r="O182"/>
          <cell r="P182"/>
          <cell r="Q182">
            <v>0.75</v>
          </cell>
          <cell r="R182"/>
          <cell r="S182"/>
          <cell r="T182">
            <v>0.75</v>
          </cell>
          <cell r="U182"/>
          <cell r="V182"/>
          <cell r="W182">
            <v>0.74999999999999989</v>
          </cell>
          <cell r="X182"/>
          <cell r="Y182"/>
          <cell r="Z182">
            <v>0.75</v>
          </cell>
          <cell r="AA182"/>
          <cell r="AB182"/>
          <cell r="AC182">
            <v>0.75</v>
          </cell>
          <cell r="AD182"/>
          <cell r="AE182"/>
          <cell r="AF182">
            <v>0.75</v>
          </cell>
          <cell r="AG182"/>
          <cell r="AH182"/>
          <cell r="AI182">
            <v>0.75</v>
          </cell>
          <cell r="AJ182"/>
          <cell r="AK182"/>
          <cell r="AL182">
            <v>0.75</v>
          </cell>
          <cell r="AM182"/>
          <cell r="AN182"/>
          <cell r="AO182">
            <v>0.75</v>
          </cell>
        </row>
        <row r="183">
          <cell r="A183" t="str">
            <v>Service</v>
          </cell>
          <cell r="C183"/>
          <cell r="D183">
            <v>312</v>
          </cell>
          <cell r="E183"/>
          <cell r="F183"/>
          <cell r="G183">
            <v>312</v>
          </cell>
          <cell r="H183"/>
          <cell r="I183"/>
          <cell r="J183">
            <v>312</v>
          </cell>
          <cell r="K183"/>
          <cell r="L183"/>
          <cell r="M183">
            <v>312</v>
          </cell>
          <cell r="N183"/>
          <cell r="O183"/>
          <cell r="P183">
            <v>312</v>
          </cell>
          <cell r="Q183"/>
          <cell r="R183"/>
          <cell r="S183">
            <v>312</v>
          </cell>
          <cell r="T183"/>
          <cell r="U183"/>
          <cell r="V183">
            <v>312.00000000000006</v>
          </cell>
          <cell r="W183"/>
          <cell r="X183"/>
          <cell r="Y183">
            <v>312</v>
          </cell>
          <cell r="Z183"/>
          <cell r="AA183"/>
          <cell r="AB183">
            <v>312</v>
          </cell>
          <cell r="AC183"/>
          <cell r="AD183"/>
          <cell r="AE183">
            <v>312</v>
          </cell>
          <cell r="AF183"/>
          <cell r="AG183"/>
          <cell r="AH183">
            <v>312.00000000000006</v>
          </cell>
          <cell r="AI183"/>
          <cell r="AJ183"/>
          <cell r="AK183">
            <v>312</v>
          </cell>
          <cell r="AL183"/>
          <cell r="AM183"/>
          <cell r="AN183">
            <v>312</v>
          </cell>
          <cell r="AO183"/>
        </row>
        <row r="184">
          <cell r="A184" t="str">
            <v>ServiceM/O Esthétique</v>
          </cell>
          <cell r="C184">
            <v>0</v>
          </cell>
          <cell r="D184">
            <v>130000</v>
          </cell>
          <cell r="E184">
            <v>101400</v>
          </cell>
          <cell r="F184">
            <v>0</v>
          </cell>
          <cell r="G184">
            <v>3758.5296184751242</v>
          </cell>
          <cell r="H184">
            <v>2931.6531024105971</v>
          </cell>
          <cell r="I184">
            <v>0</v>
          </cell>
          <cell r="J184">
            <v>3634.3077156852428</v>
          </cell>
          <cell r="K184">
            <v>2834.7600182344895</v>
          </cell>
          <cell r="L184">
            <v>0</v>
          </cell>
          <cell r="M184">
            <v>7920.1031537553536</v>
          </cell>
          <cell r="N184">
            <v>6177.6804599291763</v>
          </cell>
          <cell r="O184">
            <v>0</v>
          </cell>
          <cell r="P184">
            <v>24165.030879901624</v>
          </cell>
          <cell r="Q184">
            <v>18848.724086323266</v>
          </cell>
          <cell r="R184">
            <v>0</v>
          </cell>
          <cell r="S184">
            <v>23052.760398972528</v>
          </cell>
          <cell r="T184">
            <v>17981.153111198571</v>
          </cell>
          <cell r="U184">
            <v>0</v>
          </cell>
          <cell r="V184">
            <v>9021.8073013155936</v>
          </cell>
          <cell r="W184">
            <v>7037.0096950261632</v>
          </cell>
          <cell r="X184">
            <v>0</v>
          </cell>
          <cell r="Y184">
            <v>7950.0089622500545</v>
          </cell>
          <cell r="Z184">
            <v>6201.0069905550426</v>
          </cell>
          <cell r="AA184">
            <v>0</v>
          </cell>
          <cell r="AB184">
            <v>5087.5545456925329</v>
          </cell>
          <cell r="AC184">
            <v>3968.2925456401758</v>
          </cell>
          <cell r="AD184">
            <v>0</v>
          </cell>
          <cell r="AE184">
            <v>7825.1025615868257</v>
          </cell>
          <cell r="AF184">
            <v>6103.5799980377242</v>
          </cell>
          <cell r="AG184">
            <v>0</v>
          </cell>
          <cell r="AH184">
            <v>11646.519217073856</v>
          </cell>
          <cell r="AI184">
            <v>9084.2849893176081</v>
          </cell>
          <cell r="AJ184">
            <v>0</v>
          </cell>
          <cell r="AK184">
            <v>18745.610555416999</v>
          </cell>
          <cell r="AL184">
            <v>14621.57623322526</v>
          </cell>
          <cell r="AM184">
            <v>0</v>
          </cell>
          <cell r="AN184">
            <v>7192.6650898742737</v>
          </cell>
          <cell r="AO184">
            <v>5610.2787701019333</v>
          </cell>
        </row>
        <row r="185">
          <cell r="A185" t="str">
            <v>Service% profit / ventes</v>
          </cell>
          <cell r="C185"/>
          <cell r="D185">
            <v>0</v>
          </cell>
          <cell r="E185">
            <v>0.78</v>
          </cell>
          <cell r="F185"/>
          <cell r="G185">
            <v>0</v>
          </cell>
          <cell r="H185">
            <v>0.78</v>
          </cell>
          <cell r="I185"/>
          <cell r="J185">
            <v>0</v>
          </cell>
          <cell r="K185">
            <v>0.78</v>
          </cell>
          <cell r="L185"/>
          <cell r="M185">
            <v>0</v>
          </cell>
          <cell r="N185">
            <v>0.78</v>
          </cell>
          <cell r="O185"/>
          <cell r="P185">
            <v>0</v>
          </cell>
          <cell r="Q185">
            <v>0.77999999999999992</v>
          </cell>
          <cell r="R185"/>
          <cell r="S185">
            <v>0</v>
          </cell>
          <cell r="T185">
            <v>0.77999999999999992</v>
          </cell>
          <cell r="U185"/>
          <cell r="V185">
            <v>0</v>
          </cell>
          <cell r="W185">
            <v>0.78</v>
          </cell>
          <cell r="X185"/>
          <cell r="Y185">
            <v>0</v>
          </cell>
          <cell r="Z185">
            <v>0.78</v>
          </cell>
          <cell r="AA185"/>
          <cell r="AB185">
            <v>0</v>
          </cell>
          <cell r="AC185">
            <v>0.78</v>
          </cell>
          <cell r="AD185"/>
          <cell r="AE185">
            <v>0</v>
          </cell>
          <cell r="AF185">
            <v>0.78</v>
          </cell>
          <cell r="AG185"/>
          <cell r="AH185">
            <v>0</v>
          </cell>
          <cell r="AI185">
            <v>0.78</v>
          </cell>
          <cell r="AJ185"/>
          <cell r="AK185">
            <v>0</v>
          </cell>
          <cell r="AL185">
            <v>0.78</v>
          </cell>
          <cell r="AM185"/>
          <cell r="AN185">
            <v>0</v>
          </cell>
          <cell r="AO185">
            <v>0.78</v>
          </cell>
        </row>
        <row r="186">
          <cell r="A186" t="str">
            <v>Service</v>
          </cell>
          <cell r="C186"/>
          <cell r="D186">
            <v>0</v>
          </cell>
          <cell r="E186"/>
          <cell r="F186"/>
          <cell r="G186">
            <v>0</v>
          </cell>
          <cell r="H186"/>
          <cell r="I186"/>
          <cell r="J186">
            <v>0</v>
          </cell>
          <cell r="K186"/>
          <cell r="L186"/>
          <cell r="M186">
            <v>0</v>
          </cell>
          <cell r="N186"/>
          <cell r="O186"/>
          <cell r="P186">
            <v>0</v>
          </cell>
          <cell r="Q186"/>
          <cell r="R186"/>
          <cell r="S186">
            <v>0</v>
          </cell>
          <cell r="T186"/>
          <cell r="U186"/>
          <cell r="V186">
            <v>0</v>
          </cell>
          <cell r="W186"/>
          <cell r="X186"/>
          <cell r="Y186">
            <v>0</v>
          </cell>
          <cell r="Z186"/>
          <cell r="AA186"/>
          <cell r="AB186">
            <v>0</v>
          </cell>
          <cell r="AC186"/>
          <cell r="AD186"/>
          <cell r="AE186">
            <v>0</v>
          </cell>
          <cell r="AF186"/>
          <cell r="AG186"/>
          <cell r="AH186">
            <v>0</v>
          </cell>
          <cell r="AI186"/>
          <cell r="AJ186"/>
          <cell r="AK186">
            <v>0</v>
          </cell>
          <cell r="AL186"/>
          <cell r="AM186"/>
          <cell r="AN186">
            <v>0</v>
          </cell>
          <cell r="AO186"/>
        </row>
        <row r="187">
          <cell r="A187" t="str">
            <v>ServiceAjustement M/O</v>
          </cell>
          <cell r="C187"/>
          <cell r="D187"/>
          <cell r="E187">
            <v>-41107</v>
          </cell>
          <cell r="F187"/>
          <cell r="G187"/>
          <cell r="H187">
            <v>-2914.1988288703378</v>
          </cell>
          <cell r="I187"/>
          <cell r="J187"/>
          <cell r="K187">
            <v>-2741.0144654697733</v>
          </cell>
          <cell r="L187"/>
          <cell r="M187"/>
          <cell r="N187">
            <v>-3337.9860131866349</v>
          </cell>
          <cell r="O187"/>
          <cell r="P187"/>
          <cell r="Q187">
            <v>-3677.8787613518284</v>
          </cell>
          <cell r="R187"/>
          <cell r="S187"/>
          <cell r="T187">
            <v>-3859.9215491022792</v>
          </cell>
          <cell r="U187"/>
          <cell r="V187"/>
          <cell r="W187">
            <v>-3268.2815620368419</v>
          </cell>
          <cell r="X187"/>
          <cell r="Y187"/>
          <cell r="Z187">
            <v>-3533.3669654766359</v>
          </cell>
          <cell r="AA187"/>
          <cell r="AB187"/>
          <cell r="AC187">
            <v>-3565.4670895067106</v>
          </cell>
          <cell r="AD187"/>
          <cell r="AE187"/>
          <cell r="AF187">
            <v>-3719.4969512977391</v>
          </cell>
          <cell r="AG187"/>
          <cell r="AH187"/>
          <cell r="AI187">
            <v>-3792.6059522053906</v>
          </cell>
          <cell r="AJ187"/>
          <cell r="AK187"/>
          <cell r="AL187">
            <v>-4075.5814621015152</v>
          </cell>
          <cell r="AM187"/>
          <cell r="AN187"/>
          <cell r="AO187">
            <v>-2621.2003993943108</v>
          </cell>
        </row>
        <row r="188">
          <cell r="A188" t="str">
            <v>ServiceSous-total M/O</v>
          </cell>
          <cell r="C188">
            <v>11588.900000000001</v>
          </cell>
          <cell r="D188">
            <v>3937726.8</v>
          </cell>
          <cell r="E188">
            <v>2916361.45</v>
          </cell>
          <cell r="F188">
            <v>793.43121778645332</v>
          </cell>
          <cell r="G188">
            <v>259227.56392053163</v>
          </cell>
          <cell r="H188">
            <v>186819.90325887443</v>
          </cell>
          <cell r="I188">
            <v>754.10594331663526</v>
          </cell>
          <cell r="J188">
            <v>246866.19049108712</v>
          </cell>
          <cell r="K188">
            <v>178761.55627113438</v>
          </cell>
          <cell r="L188">
            <v>908.25069916356097</v>
          </cell>
          <cell r="M188">
            <v>301877.81354574295</v>
          </cell>
          <cell r="N188">
            <v>218940.52177904936</v>
          </cell>
          <cell r="O188">
            <v>1034.2855285273361</v>
          </cell>
          <cell r="P188">
            <v>370225.72204387566</v>
          </cell>
          <cell r="Q188">
            <v>278843.28284019564</v>
          </cell>
          <cell r="R188">
            <v>1087.7211614980608</v>
          </cell>
          <cell r="S188">
            <v>384216.53480429767</v>
          </cell>
          <cell r="T188">
            <v>288310.96825914981</v>
          </cell>
          <cell r="U188">
            <v>917.53027875852456</v>
          </cell>
          <cell r="V188">
            <v>308934.45902042219</v>
          </cell>
          <cell r="W188">
            <v>227729.079364687</v>
          </cell>
          <cell r="X188">
            <v>988.46897145844014</v>
          </cell>
          <cell r="Y188">
            <v>329114.79099010502</v>
          </cell>
          <cell r="Z188">
            <v>241322.96508764356</v>
          </cell>
          <cell r="AA188">
            <v>1004.0311332790807</v>
          </cell>
          <cell r="AB188">
            <v>330958.83446986723</v>
          </cell>
          <cell r="AC188">
            <v>242369.43262133771</v>
          </cell>
          <cell r="AD188">
            <v>1041.1452406953983</v>
          </cell>
          <cell r="AE188">
            <v>344439.26032358909</v>
          </cell>
          <cell r="AF188">
            <v>252022.75448550435</v>
          </cell>
          <cell r="AG188">
            <v>1071.8199070177598</v>
          </cell>
          <cell r="AH188">
            <v>365905.58523028478</v>
          </cell>
          <cell r="AI188">
            <v>271672.57611294853</v>
          </cell>
          <cell r="AJ188">
            <v>1214.4826789271272</v>
          </cell>
          <cell r="AK188">
            <v>430754.58377329342</v>
          </cell>
          <cell r="AL188">
            <v>329490.62175969902</v>
          </cell>
          <cell r="AM188">
            <v>773.62723957162234</v>
          </cell>
          <cell r="AN188">
            <v>265205.46138690319</v>
          </cell>
          <cell r="AO188">
            <v>200077.78815977616</v>
          </cell>
        </row>
        <row r="189">
          <cell r="A189" t="str">
            <v>Service% protit / ventes</v>
          </cell>
          <cell r="C189"/>
          <cell r="D189">
            <v>339.78434536496127</v>
          </cell>
          <cell r="E189">
            <v>0.74062056565224388</v>
          </cell>
          <cell r="F189"/>
          <cell r="G189">
            <v>326.71712192486603</v>
          </cell>
          <cell r="H189">
            <v>0.72067916094040696</v>
          </cell>
          <cell r="I189"/>
          <cell r="J189">
            <v>327.36274349641684</v>
          </cell>
          <cell r="K189">
            <v>0.72412328280161309</v>
          </cell>
          <cell r="L189"/>
          <cell r="M189">
            <v>332.37278410438057</v>
          </cell>
          <cell r="N189">
            <v>0.72526204959369678</v>
          </cell>
          <cell r="O189"/>
          <cell r="P189">
            <v>357.95311046362633</v>
          </cell>
          <cell r="Q189">
            <v>0.75317101497110395</v>
          </cell>
          <cell r="R189"/>
          <cell r="S189">
            <v>353.23072530384218</v>
          </cell>
          <cell r="T189">
            <v>0.75038667559167449</v>
          </cell>
          <cell r="U189"/>
          <cell r="V189">
            <v>336.70219519995538</v>
          </cell>
          <cell r="W189">
            <v>0.73714366499216877</v>
          </cell>
          <cell r="X189"/>
          <cell r="Y189">
            <v>332.95409415281028</v>
          </cell>
          <cell r="Z189">
            <v>0.73324861627048254</v>
          </cell>
          <cell r="AA189"/>
          <cell r="AB189">
            <v>329.63005179827809</v>
          </cell>
          <cell r="AC189">
            <v>0.73232501259429195</v>
          </cell>
          <cell r="AD189"/>
          <cell r="AE189">
            <v>330.82729177490387</v>
          </cell>
          <cell r="AF189">
            <v>0.73168997706224737</v>
          </cell>
          <cell r="AG189"/>
          <cell r="AH189">
            <v>341.3871890552802</v>
          </cell>
          <cell r="AI189">
            <v>0.74246632759642039</v>
          </cell>
          <cell r="AJ189"/>
          <cell r="AK189">
            <v>354.68153745413775</v>
          </cell>
          <cell r="AL189">
            <v>0.76491495197439452</v>
          </cell>
          <cell r="AM189"/>
          <cell r="AN189">
            <v>342.8078121108486</v>
          </cell>
          <cell r="AO189">
            <v>0.75442559558713795</v>
          </cell>
        </row>
        <row r="190">
          <cell r="A190" t="str">
            <v>Service</v>
          </cell>
          <cell r="C190"/>
          <cell r="D190"/>
          <cell r="E190"/>
          <cell r="F190"/>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row>
        <row r="191">
          <cell r="A191" t="str">
            <v>ServiceSous-traitement</v>
          </cell>
          <cell r="C191">
            <v>0</v>
          </cell>
          <cell r="D191">
            <v>240000.00000000006</v>
          </cell>
          <cell r="E191">
            <v>48000.000000000007</v>
          </cell>
          <cell r="F191">
            <v>0</v>
          </cell>
          <cell r="G191">
            <v>10024.803331868648</v>
          </cell>
          <cell r="H191">
            <v>2004.9606663737297</v>
          </cell>
          <cell r="I191">
            <v>0</v>
          </cell>
          <cell r="J191">
            <v>21755.610381411672</v>
          </cell>
          <cell r="K191">
            <v>4351.122076282335</v>
          </cell>
          <cell r="L191">
            <v>0</v>
          </cell>
          <cell r="M191">
            <v>20247.880139630204</v>
          </cell>
          <cell r="N191">
            <v>4049.5760279260412</v>
          </cell>
          <cell r="O191">
            <v>0</v>
          </cell>
          <cell r="P191">
            <v>20880.830944074769</v>
          </cell>
          <cell r="Q191">
            <v>4176.1661888149538</v>
          </cell>
          <cell r="R191">
            <v>0</v>
          </cell>
          <cell r="S191">
            <v>29550.033253398495</v>
          </cell>
          <cell r="T191">
            <v>5910.0066506796993</v>
          </cell>
          <cell r="U191">
            <v>0</v>
          </cell>
          <cell r="V191">
            <v>20089.31740003399</v>
          </cell>
          <cell r="W191">
            <v>4017.863480006798</v>
          </cell>
          <cell r="X191">
            <v>0</v>
          </cell>
          <cell r="Y191">
            <v>25482.445610109997</v>
          </cell>
          <cell r="Z191">
            <v>5096.4891220219997</v>
          </cell>
          <cell r="AA191">
            <v>0</v>
          </cell>
          <cell r="AB191">
            <v>19762.362308724096</v>
          </cell>
          <cell r="AC191">
            <v>3952.4724617448192</v>
          </cell>
          <cell r="AD191">
            <v>0</v>
          </cell>
          <cell r="AE191">
            <v>23928.38057187057</v>
          </cell>
          <cell r="AF191">
            <v>4785.6761143741141</v>
          </cell>
          <cell r="AG191">
            <v>0</v>
          </cell>
          <cell r="AH191">
            <v>13970.860206411597</v>
          </cell>
          <cell r="AI191">
            <v>2794.1720412823197</v>
          </cell>
          <cell r="AJ191">
            <v>0</v>
          </cell>
          <cell r="AK191">
            <v>17662.860276089392</v>
          </cell>
          <cell r="AL191">
            <v>3532.5720552178786</v>
          </cell>
          <cell r="AM191">
            <v>0</v>
          </cell>
          <cell r="AN191">
            <v>16644.615576376615</v>
          </cell>
          <cell r="AO191">
            <v>3328.9231152753232</v>
          </cell>
        </row>
        <row r="192">
          <cell r="A192" t="str">
            <v>Service% profit / ventes</v>
          </cell>
          <cell r="C192"/>
          <cell r="D192"/>
          <cell r="E192">
            <v>0.19999999999999998</v>
          </cell>
          <cell r="F192"/>
          <cell r="G192"/>
          <cell r="H192">
            <v>0.2</v>
          </cell>
          <cell r="I192"/>
          <cell r="J192"/>
          <cell r="K192">
            <v>0.20000000000000004</v>
          </cell>
          <cell r="L192"/>
          <cell r="M192"/>
          <cell r="N192">
            <v>0.2</v>
          </cell>
          <cell r="O192"/>
          <cell r="P192"/>
          <cell r="Q192">
            <v>0.2</v>
          </cell>
          <cell r="R192"/>
          <cell r="S192"/>
          <cell r="T192">
            <v>0.2</v>
          </cell>
          <cell r="U192"/>
          <cell r="V192"/>
          <cell r="W192">
            <v>0.2</v>
          </cell>
          <cell r="X192"/>
          <cell r="Y192"/>
          <cell r="Z192">
            <v>0.2</v>
          </cell>
          <cell r="AA192"/>
          <cell r="AB192"/>
          <cell r="AC192">
            <v>0.2</v>
          </cell>
          <cell r="AD192"/>
          <cell r="AE192"/>
          <cell r="AF192">
            <v>0.2</v>
          </cell>
          <cell r="AG192"/>
          <cell r="AH192"/>
          <cell r="AI192">
            <v>0.20000000000000004</v>
          </cell>
          <cell r="AJ192"/>
          <cell r="AK192"/>
          <cell r="AL192">
            <v>0.2</v>
          </cell>
          <cell r="AM192"/>
          <cell r="AN192"/>
          <cell r="AO192">
            <v>0.2</v>
          </cell>
        </row>
        <row r="193">
          <cell r="A193" t="str">
            <v>Service</v>
          </cell>
          <cell r="C193"/>
          <cell r="D193"/>
          <cell r="E193"/>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ServiceM.O. Recond. MCPA</v>
          </cell>
          <cell r="C194">
            <v>0</v>
          </cell>
          <cell r="D194">
            <v>119999.99999999999</v>
          </cell>
          <cell r="E194">
            <v>84000</v>
          </cell>
          <cell r="F194">
            <v>0</v>
          </cell>
          <cell r="G194">
            <v>3469.4119555154989</v>
          </cell>
          <cell r="H194">
            <v>2428.5883688608492</v>
          </cell>
          <cell r="I194">
            <v>0</v>
          </cell>
          <cell r="J194">
            <v>3354.7455837094549</v>
          </cell>
          <cell r="K194">
            <v>2348.3219085966184</v>
          </cell>
          <cell r="L194">
            <v>0</v>
          </cell>
          <cell r="M194">
            <v>7310.8644496203269</v>
          </cell>
          <cell r="N194">
            <v>5117.6051147342287</v>
          </cell>
          <cell r="O194">
            <v>0</v>
          </cell>
          <cell r="P194">
            <v>22306.18235067842</v>
          </cell>
          <cell r="Q194">
            <v>15614.327645474894</v>
          </cell>
          <cell r="R194">
            <v>0</v>
          </cell>
          <cell r="S194">
            <v>21279.471137513105</v>
          </cell>
          <cell r="T194">
            <v>14895.629796259173</v>
          </cell>
          <cell r="U194">
            <v>0</v>
          </cell>
          <cell r="V194">
            <v>8327.8221242913169</v>
          </cell>
          <cell r="W194">
            <v>5829.4754870039214</v>
          </cell>
          <cell r="X194">
            <v>0</v>
          </cell>
          <cell r="Y194">
            <v>7338.4698113077429</v>
          </cell>
          <cell r="Z194">
            <v>5136.9288679154197</v>
          </cell>
          <cell r="AA194">
            <v>0</v>
          </cell>
          <cell r="AB194">
            <v>4696.2041960238766</v>
          </cell>
          <cell r="AC194">
            <v>3287.3429372167134</v>
          </cell>
          <cell r="AD194">
            <v>0</v>
          </cell>
          <cell r="AE194">
            <v>7223.171595310916</v>
          </cell>
          <cell r="AF194">
            <v>5056.2201167176408</v>
          </cell>
          <cell r="AG194">
            <v>0</v>
          </cell>
          <cell r="AH194">
            <v>10750.63312345279</v>
          </cell>
          <cell r="AI194">
            <v>7525.4431864169519</v>
          </cell>
          <cell r="AJ194">
            <v>0</v>
          </cell>
          <cell r="AK194">
            <v>17303.640512692615</v>
          </cell>
          <cell r="AL194">
            <v>12112.548358884829</v>
          </cell>
          <cell r="AM194">
            <v>0</v>
          </cell>
          <cell r="AN194">
            <v>6639.3831598839452</v>
          </cell>
          <cell r="AO194">
            <v>4647.5682119187613</v>
          </cell>
        </row>
        <row r="195">
          <cell r="A195" t="str">
            <v>Service% profit / ventes</v>
          </cell>
          <cell r="C195"/>
          <cell r="D195"/>
          <cell r="E195">
            <v>0.70000000000000007</v>
          </cell>
          <cell r="F195"/>
          <cell r="G195"/>
          <cell r="H195">
            <v>0.7</v>
          </cell>
          <cell r="I195"/>
          <cell r="J195"/>
          <cell r="K195">
            <v>0.7</v>
          </cell>
          <cell r="L195"/>
          <cell r="M195"/>
          <cell r="N195">
            <v>0.7</v>
          </cell>
          <cell r="O195"/>
          <cell r="P195"/>
          <cell r="Q195">
            <v>0.7</v>
          </cell>
          <cell r="R195"/>
          <cell r="S195"/>
          <cell r="T195">
            <v>0.7</v>
          </cell>
          <cell r="U195"/>
          <cell r="V195"/>
          <cell r="W195">
            <v>0.7</v>
          </cell>
          <cell r="X195"/>
          <cell r="Y195"/>
          <cell r="Z195">
            <v>0.7</v>
          </cell>
          <cell r="AA195"/>
          <cell r="AB195"/>
          <cell r="AC195">
            <v>0.7</v>
          </cell>
          <cell r="AD195"/>
          <cell r="AE195"/>
          <cell r="AF195">
            <v>0.7</v>
          </cell>
          <cell r="AG195"/>
          <cell r="AH195"/>
          <cell r="AI195">
            <v>0.7</v>
          </cell>
          <cell r="AJ195"/>
          <cell r="AK195"/>
          <cell r="AL195">
            <v>0.7</v>
          </cell>
          <cell r="AM195"/>
          <cell r="AN195"/>
          <cell r="AO195">
            <v>0.7</v>
          </cell>
        </row>
        <row r="196">
          <cell r="A196" t="str">
            <v>Service</v>
          </cell>
          <cell r="C196"/>
          <cell r="D196"/>
          <cell r="E196"/>
          <cell r="F196"/>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row>
        <row r="197">
          <cell r="A197" t="str">
            <v>ServiceTotal Mécanique</v>
          </cell>
          <cell r="C197"/>
          <cell r="D197">
            <v>4297726.8</v>
          </cell>
          <cell r="E197">
            <v>3048361.45</v>
          </cell>
          <cell r="F197"/>
          <cell r="G197">
            <v>272721.77920791577</v>
          </cell>
          <cell r="H197">
            <v>191253.45229410901</v>
          </cell>
          <cell r="I197"/>
          <cell r="J197">
            <v>271976.54645620822</v>
          </cell>
          <cell r="K197">
            <v>185461.00025601333</v>
          </cell>
          <cell r="L197"/>
          <cell r="M197">
            <v>329436.55813499348</v>
          </cell>
          <cell r="N197">
            <v>228107.70292170963</v>
          </cell>
          <cell r="O197"/>
          <cell r="P197">
            <v>413412.73533862887</v>
          </cell>
          <cell r="Q197">
            <v>298633.77667448547</v>
          </cell>
          <cell r="R197"/>
          <cell r="S197">
            <v>435046.03919520928</v>
          </cell>
          <cell r="T197">
            <v>309116.60470608866</v>
          </cell>
          <cell r="U197"/>
          <cell r="V197">
            <v>337351.59854474751</v>
          </cell>
          <cell r="W197">
            <v>237576.41833169773</v>
          </cell>
          <cell r="X197"/>
          <cell r="Y197">
            <v>361935.70641152275</v>
          </cell>
          <cell r="Z197">
            <v>251556.38307758098</v>
          </cell>
          <cell r="AA197"/>
          <cell r="AB197">
            <v>355417.40097461519</v>
          </cell>
          <cell r="AC197">
            <v>249609.24802029924</v>
          </cell>
          <cell r="AD197"/>
          <cell r="AE197">
            <v>375590.81249077059</v>
          </cell>
          <cell r="AF197">
            <v>261864.65071659611</v>
          </cell>
          <cell r="AG197"/>
          <cell r="AH197">
            <v>390627.07856014912</v>
          </cell>
          <cell r="AI197">
            <v>281992.19134064781</v>
          </cell>
          <cell r="AJ197"/>
          <cell r="AK197">
            <v>465721.08456207544</v>
          </cell>
          <cell r="AL197">
            <v>345135.7421738017</v>
          </cell>
          <cell r="AM197"/>
          <cell r="AN197">
            <v>288489.46012316376</v>
          </cell>
          <cell r="AO197">
            <v>208054.27948697025</v>
          </cell>
        </row>
        <row r="198">
          <cell r="A198" t="str">
            <v>Service</v>
          </cell>
          <cell r="C198"/>
          <cell r="D198"/>
          <cell r="E198">
            <v>0.70929623772269568</v>
          </cell>
          <cell r="F198"/>
          <cell r="G198"/>
          <cell r="H198">
            <v>0.70127678416289041</v>
          </cell>
          <cell r="I198"/>
          <cell r="J198"/>
          <cell r="K198">
            <v>0.6819007104565723</v>
          </cell>
          <cell r="L198"/>
          <cell r="M198"/>
          <cell r="N198">
            <v>0.69241769709188672</v>
          </cell>
          <cell r="O198"/>
          <cell r="P198"/>
          <cell r="Q198">
            <v>0.72236230562629555</v>
          </cell>
          <cell r="R198"/>
          <cell r="S198"/>
          <cell r="T198">
            <v>0.71053768304136911</v>
          </cell>
          <cell r="U198"/>
          <cell r="V198"/>
          <cell r="W198">
            <v>0.70423978826999611</v>
          </cell>
          <cell r="X198"/>
          <cell r="Y198"/>
          <cell r="Z198">
            <v>0.69503057758982223</v>
          </cell>
          <cell r="AA198"/>
          <cell r="AB198"/>
          <cell r="AC198">
            <v>0.70229889514646182</v>
          </cell>
          <cell r="AD198"/>
          <cell r="AE198"/>
          <cell r="AF198">
            <v>0.69720728518360897</v>
          </cell>
          <cell r="AG198"/>
          <cell r="AH198"/>
          <cell r="AI198">
            <v>0.72189616854026262</v>
          </cell>
          <cell r="AJ198"/>
          <cell r="AK198"/>
          <cell r="AL198">
            <v>0.74107819812010023</v>
          </cell>
          <cell r="AM198"/>
          <cell r="AN198"/>
          <cell r="AO198">
            <v>0.72118502838248022</v>
          </cell>
        </row>
        <row r="199">
          <cell r="A199" t="str">
            <v>Service</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ServiceDEPENSES</v>
          </cell>
          <cell r="C200"/>
          <cell r="D200"/>
          <cell r="E200"/>
          <cell r="F200"/>
          <cell r="G200"/>
          <cell r="H200"/>
          <cell r="I200"/>
          <cell r="J200"/>
          <cell r="K200"/>
          <cell r="L200"/>
          <cell r="M200"/>
          <cell r="N200"/>
          <cell r="O200"/>
          <cell r="P200"/>
          <cell r="Q200"/>
          <cell r="R200"/>
          <cell r="S200"/>
          <cell r="T200"/>
          <cell r="U200"/>
          <cell r="V200"/>
          <cell r="W200"/>
          <cell r="X200"/>
          <cell r="Y200"/>
          <cell r="Z200"/>
          <cell r="AA200"/>
          <cell r="AB200"/>
          <cell r="AC200"/>
          <cell r="AD200"/>
          <cell r="AE200"/>
          <cell r="AF200"/>
          <cell r="AG200"/>
          <cell r="AH200"/>
          <cell r="AI200"/>
          <cell r="AJ200"/>
          <cell r="AK200"/>
          <cell r="AL200"/>
          <cell r="AM200"/>
          <cell r="AN200"/>
          <cell r="AO200"/>
        </row>
        <row r="201">
          <cell r="A201" t="str">
            <v>ServiceSalaires cadres</v>
          </cell>
          <cell r="C201"/>
          <cell r="D201"/>
          <cell r="E201">
            <v>92898.918750000012</v>
          </cell>
          <cell r="F201"/>
          <cell r="G201"/>
          <cell r="H201">
            <v>10052.764903846155</v>
          </cell>
          <cell r="I201"/>
          <cell r="J201"/>
          <cell r="K201">
            <v>7153.8461538461543</v>
          </cell>
          <cell r="L201"/>
          <cell r="M201"/>
          <cell r="N201">
            <v>7153.8461538461543</v>
          </cell>
          <cell r="O201"/>
          <cell r="P201"/>
          <cell r="Q201">
            <v>7153.8461538461543</v>
          </cell>
          <cell r="R201"/>
          <cell r="S201"/>
          <cell r="T201">
            <v>8192.3076923076933</v>
          </cell>
          <cell r="U201"/>
          <cell r="V201"/>
          <cell r="W201">
            <v>7153.8461538461543</v>
          </cell>
          <cell r="X201"/>
          <cell r="Y201"/>
          <cell r="Z201">
            <v>8192.3076923076933</v>
          </cell>
          <cell r="AA201"/>
          <cell r="AB201"/>
          <cell r="AC201">
            <v>7153.8461538461543</v>
          </cell>
          <cell r="AD201"/>
          <cell r="AE201"/>
          <cell r="AF201">
            <v>7153.8461538461543</v>
          </cell>
          <cell r="AG201"/>
          <cell r="AH201"/>
          <cell r="AI201">
            <v>8192.3076923076933</v>
          </cell>
          <cell r="AJ201"/>
          <cell r="AK201"/>
          <cell r="AL201">
            <v>7153.8461538461543</v>
          </cell>
          <cell r="AM201"/>
          <cell r="AN201"/>
          <cell r="AO201">
            <v>8192.3076923076933</v>
          </cell>
        </row>
        <row r="202">
          <cell r="A202" t="str">
            <v>ServiceSalaires commis</v>
          </cell>
          <cell r="C202"/>
          <cell r="D202"/>
          <cell r="E202">
            <v>176104.97830735997</v>
          </cell>
          <cell r="F202"/>
          <cell r="G202"/>
          <cell r="H202">
            <v>11984.70794672</v>
          </cell>
          <cell r="I202"/>
          <cell r="J202"/>
          <cell r="K202">
            <v>13686.064196719999</v>
          </cell>
          <cell r="L202"/>
          <cell r="M202"/>
          <cell r="N202">
            <v>13686.064196719999</v>
          </cell>
          <cell r="O202"/>
          <cell r="P202"/>
          <cell r="Q202">
            <v>13686.064196719999</v>
          </cell>
          <cell r="R202"/>
          <cell r="S202"/>
          <cell r="T202">
            <v>17079.455245900001</v>
          </cell>
          <cell r="U202"/>
          <cell r="V202"/>
          <cell r="W202">
            <v>13686.064196719999</v>
          </cell>
          <cell r="X202"/>
          <cell r="Y202"/>
          <cell r="Z202">
            <v>17079.455245900001</v>
          </cell>
          <cell r="AA202"/>
          <cell r="AB202"/>
          <cell r="AC202">
            <v>13686.064196719999</v>
          </cell>
          <cell r="AD202"/>
          <cell r="AE202"/>
          <cell r="AF202">
            <v>13686.064196719999</v>
          </cell>
          <cell r="AG202"/>
          <cell r="AH202"/>
          <cell r="AI202">
            <v>17079.455245900001</v>
          </cell>
          <cell r="AJ202"/>
          <cell r="AK202"/>
          <cell r="AL202">
            <v>13686.064196719999</v>
          </cell>
          <cell r="AM202"/>
          <cell r="AN202"/>
          <cell r="AO202">
            <v>17079.455245900001</v>
          </cell>
        </row>
        <row r="203">
          <cell r="A203" t="str">
            <v>ServiceSalaires autres</v>
          </cell>
          <cell r="C203"/>
          <cell r="D203"/>
          <cell r="E203">
            <v>319391.40014066669</v>
          </cell>
          <cell r="F203"/>
          <cell r="G203"/>
          <cell r="H203">
            <v>20062.377097999997</v>
          </cell>
          <cell r="I203"/>
          <cell r="J203"/>
          <cell r="K203">
            <v>19891.452097999998</v>
          </cell>
          <cell r="L203"/>
          <cell r="M203"/>
          <cell r="N203">
            <v>35049.351564666664</v>
          </cell>
          <cell r="O203"/>
          <cell r="P203"/>
          <cell r="Q203">
            <v>35049.351564666664</v>
          </cell>
          <cell r="R203"/>
          <cell r="S203"/>
          <cell r="T203">
            <v>24864.315122499997</v>
          </cell>
          <cell r="U203"/>
          <cell r="V203"/>
          <cell r="W203">
            <v>19891.452097999998</v>
          </cell>
          <cell r="X203"/>
          <cell r="Y203"/>
          <cell r="Z203">
            <v>24864.315122499997</v>
          </cell>
          <cell r="AA203"/>
          <cell r="AB203"/>
          <cell r="AC203">
            <v>19891.452097999998</v>
          </cell>
          <cell r="AD203"/>
          <cell r="AE203"/>
          <cell r="AF203">
            <v>19891.452097999998</v>
          </cell>
          <cell r="AG203"/>
          <cell r="AH203"/>
          <cell r="AI203">
            <v>40022.214589166659</v>
          </cell>
          <cell r="AJ203"/>
          <cell r="AK203"/>
          <cell r="AL203">
            <v>35049.351564666664</v>
          </cell>
          <cell r="AM203"/>
          <cell r="AN203"/>
          <cell r="AO203">
            <v>24864.315122499997</v>
          </cell>
        </row>
        <row r="204">
          <cell r="A204" t="str">
            <v>ServiceSalaires spécialistes</v>
          </cell>
          <cell r="C204"/>
          <cell r="D204"/>
          <cell r="E204">
            <v>443650.36281249998</v>
          </cell>
          <cell r="F204"/>
          <cell r="G204"/>
          <cell r="H204">
            <v>26582.196004975034</v>
          </cell>
          <cell r="I204"/>
          <cell r="J204"/>
          <cell r="K204">
            <v>26214.917022316586</v>
          </cell>
          <cell r="L204"/>
          <cell r="M204"/>
          <cell r="N204">
            <v>29097.697573702389</v>
          </cell>
          <cell r="O204"/>
          <cell r="P204"/>
          <cell r="Q204">
            <v>42074.212906812798</v>
          </cell>
          <cell r="R204"/>
          <cell r="S204"/>
          <cell r="T204">
            <v>45535.035739912259</v>
          </cell>
          <cell r="U204"/>
          <cell r="V204"/>
          <cell r="W204">
            <v>34250.336052268896</v>
          </cell>
          <cell r="X204"/>
          <cell r="Y204"/>
          <cell r="Z204">
            <v>38569.755532328607</v>
          </cell>
          <cell r="AA204"/>
          <cell r="AB204"/>
          <cell r="AC204">
            <v>33775.083626791886</v>
          </cell>
          <cell r="AD204"/>
          <cell r="AE204"/>
          <cell r="AF204">
            <v>33080.915935609577</v>
          </cell>
          <cell r="AG204"/>
          <cell r="AH204"/>
          <cell r="AI204">
            <v>44587.883258591624</v>
          </cell>
          <cell r="AJ204"/>
          <cell r="AK204"/>
          <cell r="AL204">
            <v>49632.426279108688</v>
          </cell>
          <cell r="AM204"/>
          <cell r="AN204"/>
          <cell r="AO204">
            <v>40249.902880081616</v>
          </cell>
        </row>
        <row r="205">
          <cell r="A205" t="str">
            <v>Service[...]</v>
          </cell>
          <cell r="C205"/>
          <cell r="D205"/>
          <cell r="E205">
            <v>0</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v>0</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v>
          </cell>
          <cell r="C207"/>
          <cell r="D207"/>
          <cell r="E207">
            <v>0</v>
          </cell>
          <cell r="F207"/>
          <cell r="G207"/>
          <cell r="H207"/>
          <cell r="I207"/>
          <cell r="J207"/>
          <cell r="K207"/>
          <cell r="L207"/>
          <cell r="M207"/>
          <cell r="N207"/>
          <cell r="O207"/>
          <cell r="P207"/>
          <cell r="Q207"/>
          <cell r="R207"/>
          <cell r="S207"/>
          <cell r="T207"/>
          <cell r="U207"/>
          <cell r="V207"/>
          <cell r="W207"/>
          <cell r="X207"/>
          <cell r="Y207"/>
          <cell r="Z207"/>
          <cell r="AA207"/>
          <cell r="AB207"/>
          <cell r="AC207"/>
          <cell r="AD207"/>
          <cell r="AE207"/>
          <cell r="AF207"/>
          <cell r="AG207"/>
          <cell r="AH207"/>
          <cell r="AI207"/>
          <cell r="AJ207"/>
          <cell r="AK207"/>
          <cell r="AL207"/>
          <cell r="AM207"/>
          <cell r="AN207"/>
          <cell r="AO207"/>
        </row>
        <row r="208">
          <cell r="A208" t="str">
            <v>ServiceSalaires en absences</v>
          </cell>
          <cell r="C208"/>
          <cell r="D208"/>
          <cell r="E208">
            <v>237395.66649206978</v>
          </cell>
          <cell r="F208"/>
          <cell r="G208"/>
          <cell r="H208">
            <v>16347.02915127694</v>
          </cell>
          <cell r="I208"/>
          <cell r="J208"/>
          <cell r="K208">
            <v>15661.626154361753</v>
          </cell>
          <cell r="L208"/>
          <cell r="M208"/>
          <cell r="N208">
            <v>19392.749967965792</v>
          </cell>
          <cell r="O208"/>
          <cell r="P208"/>
          <cell r="Q208">
            <v>21824.108692371785</v>
          </cell>
          <cell r="R208"/>
          <cell r="S208"/>
          <cell r="T208">
            <v>22160.637532309549</v>
          </cell>
          <cell r="U208"/>
          <cell r="V208"/>
          <cell r="W208">
            <v>18060.580821222648</v>
          </cell>
          <cell r="X208"/>
          <cell r="Y208"/>
          <cell r="Z208">
            <v>20449.168665803896</v>
          </cell>
          <cell r="AA208"/>
          <cell r="AB208"/>
          <cell r="AC208">
            <v>18844.726189813166</v>
          </cell>
          <cell r="AD208"/>
          <cell r="AE208"/>
          <cell r="AF208">
            <v>19200.314459678488</v>
          </cell>
          <cell r="AG208"/>
          <cell r="AH208"/>
          <cell r="AI208">
            <v>23583.722047089708</v>
          </cell>
          <cell r="AJ208"/>
          <cell r="AK208"/>
          <cell r="AL208">
            <v>23803.518749052651</v>
          </cell>
          <cell r="AM208"/>
          <cell r="AN208"/>
          <cell r="AO208">
            <v>18067.484061123407</v>
          </cell>
        </row>
        <row r="209">
          <cell r="A209" t="str">
            <v>ServiceDéduction à la source</v>
          </cell>
          <cell r="C209"/>
          <cell r="D209"/>
          <cell r="E209">
            <v>288639.66498595272</v>
          </cell>
          <cell r="F209"/>
          <cell r="G209"/>
          <cell r="H209">
            <v>19875.683020935841</v>
          </cell>
          <cell r="I209"/>
          <cell r="J209"/>
          <cell r="K209">
            <v>19042.329597373762</v>
          </cell>
          <cell r="L209"/>
          <cell r="M209"/>
          <cell r="N209">
            <v>23578.85018131524</v>
          </cell>
          <cell r="O209"/>
          <cell r="P209"/>
          <cell r="Q209">
            <v>26535.039643588603</v>
          </cell>
          <cell r="R209"/>
          <cell r="S209"/>
          <cell r="T209">
            <v>26944.211272764034</v>
          </cell>
          <cell r="U209"/>
          <cell r="V209"/>
          <cell r="W209">
            <v>21959.120293645155</v>
          </cell>
          <cell r="X209"/>
          <cell r="Y209"/>
          <cell r="Z209">
            <v>24863.306395426767</v>
          </cell>
          <cell r="AA209"/>
          <cell r="AB209"/>
          <cell r="AC209">
            <v>22912.530521534951</v>
          </cell>
          <cell r="AD209"/>
          <cell r="AE209"/>
          <cell r="AF209">
            <v>23344.87573071041</v>
          </cell>
          <cell r="AG209"/>
          <cell r="AH209"/>
          <cell r="AI209">
            <v>28674.481431703785</v>
          </cell>
          <cell r="AJ209"/>
          <cell r="AK209"/>
          <cell r="AL209">
            <v>28941.723236733622</v>
          </cell>
          <cell r="AM209"/>
          <cell r="AN209"/>
          <cell r="AO209">
            <v>21967.513660220535</v>
          </cell>
        </row>
        <row r="210">
          <cell r="A210" t="str">
            <v>ServiceBénéfices marginaux</v>
          </cell>
          <cell r="C210"/>
          <cell r="D210"/>
          <cell r="E210">
            <v>148712.17522102347</v>
          </cell>
          <cell r="F210"/>
          <cell r="G210"/>
          <cell r="H210">
            <v>10240.297556438682</v>
          </cell>
          <cell r="I210"/>
          <cell r="J210"/>
          <cell r="K210">
            <v>9810.9393795164815</v>
          </cell>
          <cell r="L210"/>
          <cell r="M210"/>
          <cell r="N210">
            <v>12148.233680373285</v>
          </cell>
          <cell r="O210"/>
          <cell r="P210"/>
          <cell r="Q210">
            <v>13671.313903327171</v>
          </cell>
          <cell r="R210"/>
          <cell r="S210"/>
          <cell r="T210">
            <v>13882.126242706685</v>
          </cell>
          <cell r="U210"/>
          <cell r="V210"/>
          <cell r="W210">
            <v>11313.72067303022</v>
          </cell>
          <cell r="X210"/>
          <cell r="Y210"/>
          <cell r="Z210">
            <v>12810.007860252485</v>
          </cell>
          <cell r="AA210"/>
          <cell r="AB210"/>
          <cell r="AC210">
            <v>11804.934203486484</v>
          </cell>
          <cell r="AD210"/>
          <cell r="AE210"/>
          <cell r="AF210">
            <v>12027.685974300795</v>
          </cell>
          <cell r="AG210"/>
          <cell r="AH210"/>
          <cell r="AI210">
            <v>14773.591520247384</v>
          </cell>
          <cell r="AJ210"/>
          <cell r="AK210"/>
          <cell r="AL210">
            <v>14911.279145882321</v>
          </cell>
          <cell r="AM210"/>
          <cell r="AN210"/>
          <cell r="AO210">
            <v>11318.045081461447</v>
          </cell>
        </row>
        <row r="211">
          <cell r="A211" t="str">
            <v>ServiceCsst</v>
          </cell>
          <cell r="C211"/>
          <cell r="D211"/>
          <cell r="E211">
            <v>64839.34503307633</v>
          </cell>
          <cell r="F211"/>
          <cell r="G211"/>
          <cell r="H211">
            <v>4464.8273452826879</v>
          </cell>
          <cell r="I211"/>
          <cell r="J211"/>
          <cell r="K211">
            <v>4277.6247646274387</v>
          </cell>
          <cell r="L211"/>
          <cell r="M211"/>
          <cell r="N211">
            <v>5296.6982291360309</v>
          </cell>
          <cell r="O211"/>
          <cell r="P211"/>
          <cell r="Q211">
            <v>5960.7697750090338</v>
          </cell>
          <cell r="R211"/>
          <cell r="S211"/>
          <cell r="T211">
            <v>6052.6851409832243</v>
          </cell>
          <cell r="U211"/>
          <cell r="V211"/>
          <cell r="W211">
            <v>4932.8458630652158</v>
          </cell>
          <cell r="X211"/>
          <cell r="Y211"/>
          <cell r="Z211">
            <v>5585.2354946248524</v>
          </cell>
          <cell r="AA211"/>
          <cell r="AB211"/>
          <cell r="AC211">
            <v>5147.0177258520534</v>
          </cell>
          <cell r="AD211"/>
          <cell r="AE211"/>
          <cell r="AF211">
            <v>5244.1387511016128</v>
          </cell>
          <cell r="AG211"/>
          <cell r="AH211"/>
          <cell r="AI211">
            <v>6441.3690172667921</v>
          </cell>
          <cell r="AJ211"/>
          <cell r="AK211"/>
          <cell r="AL211">
            <v>6501.4015966575525</v>
          </cell>
          <cell r="AM211"/>
          <cell r="AN211"/>
          <cell r="AO211">
            <v>4934.7313294698297</v>
          </cell>
        </row>
        <row r="212">
          <cell r="A212" t="str">
            <v>Service[...]</v>
          </cell>
          <cell r="C212"/>
          <cell r="D212"/>
          <cell r="E212">
            <v>0</v>
          </cell>
          <cell r="F212"/>
          <cell r="G212"/>
          <cell r="H212"/>
          <cell r="I212"/>
          <cell r="J212"/>
          <cell r="K212"/>
          <cell r="L212"/>
          <cell r="M212"/>
          <cell r="N212"/>
          <cell r="O212"/>
          <cell r="P212"/>
          <cell r="Q212"/>
          <cell r="R212"/>
          <cell r="S212"/>
          <cell r="T212"/>
          <cell r="U212"/>
          <cell r="V212"/>
          <cell r="W212"/>
          <cell r="X212"/>
          <cell r="Y212"/>
          <cell r="Z212"/>
          <cell r="AA212"/>
          <cell r="AB212"/>
          <cell r="AC212"/>
          <cell r="AD212"/>
          <cell r="AE212"/>
          <cell r="AF212"/>
          <cell r="AG212"/>
          <cell r="AH212"/>
          <cell r="AI212"/>
          <cell r="AJ212"/>
          <cell r="AK212"/>
          <cell r="AL212"/>
          <cell r="AM212"/>
          <cell r="AN212"/>
          <cell r="AO212"/>
        </row>
        <row r="213">
          <cell r="A213" t="str">
            <v>ServiceTOTAL PERSONNEL</v>
          </cell>
          <cell r="C213" t="str">
            <v>%brut</v>
          </cell>
          <cell r="D213">
            <v>0.58117534314792252</v>
          </cell>
          <cell r="E213">
            <v>1771632.5117426489</v>
          </cell>
          <cell r="F213" t="str">
            <v>%brut</v>
          </cell>
          <cell r="G213">
            <v>0.6253998638599193</v>
          </cell>
          <cell r="H213">
            <v>119609.88302747534</v>
          </cell>
          <cell r="I213" t="str">
            <v>%brut</v>
          </cell>
          <cell r="J213">
            <v>0.6240600406931619</v>
          </cell>
          <cell r="K213">
            <v>115738.79936676219</v>
          </cell>
          <cell r="L213" t="str">
            <v>%brut</v>
          </cell>
          <cell r="M213">
            <v>0.6374335004269035</v>
          </cell>
          <cell r="N213">
            <v>145403.49154772557</v>
          </cell>
          <cell r="O213" t="str">
            <v>%brut</v>
          </cell>
          <cell r="P213">
            <v>0.55571311686298264</v>
          </cell>
          <cell r="Q213">
            <v>165954.7068363422</v>
          </cell>
          <cell r="R213" t="str">
            <v>%brut</v>
          </cell>
          <cell r="S213">
            <v>0.53284350139000858</v>
          </cell>
          <cell r="T213">
            <v>164710.77398938348</v>
          </cell>
          <cell r="U213" t="str">
            <v>%brut</v>
          </cell>
          <cell r="V213">
            <v>0.5524452598176367</v>
          </cell>
          <cell r="W213">
            <v>131247.96615179829</v>
          </cell>
          <cell r="X213" t="str">
            <v>%brut</v>
          </cell>
          <cell r="Y213">
            <v>0.60588226839841053</v>
          </cell>
          <cell r="Z213">
            <v>152413.5520091443</v>
          </cell>
          <cell r="AA213" t="str">
            <v>%brut</v>
          </cell>
          <cell r="AB213">
            <v>0.53369679117502511</v>
          </cell>
          <cell r="AC213">
            <v>133215.65471604469</v>
          </cell>
          <cell r="AD213" t="str">
            <v>%brut</v>
          </cell>
          <cell r="AE213">
            <v>0.51029909128356465</v>
          </cell>
          <cell r="AF213">
            <v>133629.29329996704</v>
          </cell>
          <cell r="AG213" t="str">
            <v>%brut</v>
          </cell>
          <cell r="AH213">
            <v>0.65021312799679609</v>
          </cell>
          <cell r="AI213">
            <v>183355.02480227366</v>
          </cell>
          <cell r="AJ213" t="str">
            <v>%brut</v>
          </cell>
          <cell r="AK213">
            <v>0.52060563125387771</v>
          </cell>
          <cell r="AL213">
            <v>179679.61092266763</v>
          </cell>
          <cell r="AM213" t="str">
            <v>%brut</v>
          </cell>
          <cell r="AN213">
            <v>0.70497831351866147</v>
          </cell>
          <cell r="AO213">
            <v>146673.75507306453</v>
          </cell>
        </row>
        <row r="214">
          <cell r="A214" t="str">
            <v>ServicePublicité 2</v>
          </cell>
          <cell r="C214"/>
          <cell r="D214"/>
          <cell r="E214">
            <v>96816.75</v>
          </cell>
          <cell r="F214"/>
          <cell r="G214"/>
          <cell r="H214">
            <v>15755.5</v>
          </cell>
          <cell r="I214"/>
          <cell r="J214"/>
          <cell r="K214">
            <v>4456.25</v>
          </cell>
          <cell r="L214"/>
          <cell r="M214"/>
          <cell r="N214">
            <v>5697.5</v>
          </cell>
          <cell r="O214"/>
          <cell r="P214"/>
          <cell r="Q214">
            <v>15300</v>
          </cell>
          <cell r="R214"/>
          <cell r="S214"/>
          <cell r="T214">
            <v>9905</v>
          </cell>
          <cell r="U214"/>
          <cell r="V214"/>
          <cell r="W214">
            <v>5715</v>
          </cell>
          <cell r="X214"/>
          <cell r="Y214"/>
          <cell r="Z214">
            <v>7330</v>
          </cell>
          <cell r="AA214"/>
          <cell r="AB214"/>
          <cell r="AC214">
            <v>3620</v>
          </cell>
          <cell r="AD214"/>
          <cell r="AE214"/>
          <cell r="AF214">
            <v>4312.5</v>
          </cell>
          <cell r="AG214"/>
          <cell r="AH214"/>
          <cell r="AI214">
            <v>7125</v>
          </cell>
          <cell r="AJ214"/>
          <cell r="AK214"/>
          <cell r="AL214">
            <v>11375</v>
          </cell>
          <cell r="AM214"/>
          <cell r="AN214"/>
          <cell r="AO214">
            <v>6225</v>
          </cell>
        </row>
        <row r="215">
          <cell r="A215" t="str">
            <v>ServiceService gratuit 2</v>
          </cell>
          <cell r="C215"/>
          <cell r="D215"/>
          <cell r="E215">
            <v>41066.128839884514</v>
          </cell>
          <cell r="F215"/>
          <cell r="G215"/>
          <cell r="H215">
            <v>3422.1774033237093</v>
          </cell>
          <cell r="I215"/>
          <cell r="J215"/>
          <cell r="K215">
            <v>3422.1774033237093</v>
          </cell>
          <cell r="L215"/>
          <cell r="M215"/>
          <cell r="N215">
            <v>3422.1774033237093</v>
          </cell>
          <cell r="O215"/>
          <cell r="P215"/>
          <cell r="Q215">
            <v>3422.1774033237093</v>
          </cell>
          <cell r="R215"/>
          <cell r="S215"/>
          <cell r="T215">
            <v>3422.1774033237093</v>
          </cell>
          <cell r="U215"/>
          <cell r="V215"/>
          <cell r="W215">
            <v>3422.1774033237093</v>
          </cell>
          <cell r="X215"/>
          <cell r="Y215"/>
          <cell r="Z215">
            <v>3422.1774033237093</v>
          </cell>
          <cell r="AA215"/>
          <cell r="AB215"/>
          <cell r="AC215">
            <v>3422.1774033237093</v>
          </cell>
          <cell r="AD215"/>
          <cell r="AE215"/>
          <cell r="AF215">
            <v>3422.1774033237093</v>
          </cell>
          <cell r="AG215"/>
          <cell r="AH215"/>
          <cell r="AI215">
            <v>3422.1774033237093</v>
          </cell>
          <cell r="AJ215"/>
          <cell r="AK215"/>
          <cell r="AL215">
            <v>3422.1774033237093</v>
          </cell>
          <cell r="AM215"/>
          <cell r="AN215"/>
          <cell r="AO215">
            <v>3422.1774033237093</v>
          </cell>
        </row>
        <row r="216">
          <cell r="A216" t="str">
            <v>ServiceFrais véhicules de cie</v>
          </cell>
          <cell r="C216"/>
          <cell r="D216"/>
          <cell r="E216">
            <v>157004.8722666667</v>
          </cell>
          <cell r="F216"/>
          <cell r="G216"/>
          <cell r="H216">
            <v>11083.739355555555</v>
          </cell>
          <cell r="I216"/>
          <cell r="J216"/>
          <cell r="K216">
            <v>11083.739355555555</v>
          </cell>
          <cell r="L216"/>
          <cell r="M216"/>
          <cell r="N216">
            <v>14083.739355555555</v>
          </cell>
          <cell r="O216"/>
          <cell r="P216"/>
          <cell r="Q216">
            <v>16083.739355555555</v>
          </cell>
          <cell r="R216"/>
          <cell r="S216"/>
          <cell r="T216">
            <v>16083.739355555555</v>
          </cell>
          <cell r="U216"/>
          <cell r="V216"/>
          <cell r="W216">
            <v>11083.739355555555</v>
          </cell>
          <cell r="X216"/>
          <cell r="Y216"/>
          <cell r="Z216">
            <v>11083.739355555555</v>
          </cell>
          <cell r="AA216"/>
          <cell r="AB216"/>
          <cell r="AC216">
            <v>11083.739355555555</v>
          </cell>
          <cell r="AD216"/>
          <cell r="AE216"/>
          <cell r="AF216">
            <v>11083.739355555555</v>
          </cell>
          <cell r="AG216"/>
          <cell r="AH216"/>
          <cell r="AI216">
            <v>14083.739355555555</v>
          </cell>
          <cell r="AJ216"/>
          <cell r="AK216"/>
          <cell r="AL216">
            <v>19083.739355555554</v>
          </cell>
          <cell r="AM216"/>
          <cell r="AN216"/>
          <cell r="AO216">
            <v>11083.739355555555</v>
          </cell>
        </row>
        <row r="217">
          <cell r="A217" t="str">
            <v>ServiceInformatique</v>
          </cell>
          <cell r="C217"/>
          <cell r="D217"/>
          <cell r="E217">
            <v>68388</v>
          </cell>
          <cell r="F217"/>
          <cell r="G217"/>
          <cell r="H217">
            <v>8108</v>
          </cell>
          <cell r="I217"/>
          <cell r="J217"/>
          <cell r="K217">
            <v>5480</v>
          </cell>
          <cell r="L217"/>
          <cell r="M217"/>
          <cell r="N217">
            <v>5480</v>
          </cell>
          <cell r="O217"/>
          <cell r="P217"/>
          <cell r="Q217">
            <v>5480</v>
          </cell>
          <cell r="R217"/>
          <cell r="S217"/>
          <cell r="T217">
            <v>5480</v>
          </cell>
          <cell r="U217"/>
          <cell r="V217"/>
          <cell r="W217">
            <v>5480</v>
          </cell>
          <cell r="X217"/>
          <cell r="Y217"/>
          <cell r="Z217">
            <v>5480</v>
          </cell>
          <cell r="AA217"/>
          <cell r="AB217"/>
          <cell r="AC217">
            <v>5480</v>
          </cell>
          <cell r="AD217"/>
          <cell r="AE217"/>
          <cell r="AF217">
            <v>5480</v>
          </cell>
          <cell r="AG217"/>
          <cell r="AH217"/>
          <cell r="AI217">
            <v>5480</v>
          </cell>
          <cell r="AJ217"/>
          <cell r="AK217"/>
          <cell r="AL217">
            <v>5480</v>
          </cell>
          <cell r="AM217"/>
          <cell r="AN217"/>
          <cell r="AO217">
            <v>5480</v>
          </cell>
        </row>
        <row r="218">
          <cell r="A218" t="str">
            <v>ServiceFrais de déplacement</v>
          </cell>
          <cell r="C218"/>
          <cell r="D218"/>
          <cell r="E218">
            <v>15000</v>
          </cell>
          <cell r="F218"/>
          <cell r="G218"/>
          <cell r="H218">
            <v>1250</v>
          </cell>
          <cell r="I218"/>
          <cell r="J218"/>
          <cell r="K218">
            <v>1250</v>
          </cell>
          <cell r="L218"/>
          <cell r="M218"/>
          <cell r="N218">
            <v>1250</v>
          </cell>
          <cell r="O218"/>
          <cell r="P218"/>
          <cell r="Q218">
            <v>1250</v>
          </cell>
          <cell r="R218"/>
          <cell r="S218"/>
          <cell r="T218">
            <v>1250</v>
          </cell>
          <cell r="U218"/>
          <cell r="V218"/>
          <cell r="W218">
            <v>1250</v>
          </cell>
          <cell r="X218"/>
          <cell r="Y218"/>
          <cell r="Z218">
            <v>1250</v>
          </cell>
          <cell r="AA218"/>
          <cell r="AB218"/>
          <cell r="AC218">
            <v>1250</v>
          </cell>
          <cell r="AD218"/>
          <cell r="AE218"/>
          <cell r="AF218">
            <v>1250</v>
          </cell>
          <cell r="AG218"/>
          <cell r="AH218"/>
          <cell r="AI218">
            <v>1250</v>
          </cell>
          <cell r="AJ218"/>
          <cell r="AK218"/>
          <cell r="AL218">
            <v>1250</v>
          </cell>
          <cell r="AM218"/>
          <cell r="AN218"/>
          <cell r="AO218">
            <v>1250</v>
          </cell>
        </row>
        <row r="219">
          <cell r="A219" t="str">
            <v>ServiceServices extérieurs</v>
          </cell>
          <cell r="C219"/>
          <cell r="D219"/>
          <cell r="E219">
            <v>197542.08</v>
          </cell>
          <cell r="F219"/>
          <cell r="G219"/>
          <cell r="H219">
            <v>16161.84</v>
          </cell>
          <cell r="I219"/>
          <cell r="J219"/>
          <cell r="K219">
            <v>15081.84</v>
          </cell>
          <cell r="L219"/>
          <cell r="M219"/>
          <cell r="N219">
            <v>14721.84</v>
          </cell>
          <cell r="O219"/>
          <cell r="P219"/>
          <cell r="Q219">
            <v>14721.84</v>
          </cell>
          <cell r="R219"/>
          <cell r="S219"/>
          <cell r="T219">
            <v>17721.84</v>
          </cell>
          <cell r="U219"/>
          <cell r="V219"/>
          <cell r="W219">
            <v>15681.84</v>
          </cell>
          <cell r="X219"/>
          <cell r="Y219"/>
          <cell r="Z219">
            <v>17721.84</v>
          </cell>
          <cell r="AA219"/>
          <cell r="AB219"/>
          <cell r="AC219">
            <v>14721.84</v>
          </cell>
          <cell r="AD219"/>
          <cell r="AE219"/>
          <cell r="AF219">
            <v>14721.84</v>
          </cell>
          <cell r="AG219"/>
          <cell r="AH219"/>
          <cell r="AI219">
            <v>18441.84</v>
          </cell>
          <cell r="AJ219"/>
          <cell r="AK219"/>
          <cell r="AL219">
            <v>16161.84</v>
          </cell>
          <cell r="AM219"/>
          <cell r="AN219"/>
          <cell r="AO219">
            <v>21681.84</v>
          </cell>
        </row>
        <row r="220">
          <cell r="A220" t="str">
            <v>ServiceFournitures d'atelier</v>
          </cell>
          <cell r="C220"/>
          <cell r="D220"/>
          <cell r="E220"/>
          <cell r="F220"/>
          <cell r="G220"/>
          <cell r="H220"/>
          <cell r="I220"/>
          <cell r="J220"/>
          <cell r="K220"/>
          <cell r="L220"/>
          <cell r="M220"/>
          <cell r="N220"/>
          <cell r="O220"/>
          <cell r="P220"/>
          <cell r="Q220"/>
          <cell r="R220"/>
          <cell r="S220"/>
          <cell r="T220"/>
          <cell r="U220"/>
          <cell r="V220"/>
          <cell r="W220"/>
          <cell r="X220"/>
          <cell r="Y220"/>
          <cell r="Z220"/>
          <cell r="AA220"/>
          <cell r="AB220"/>
          <cell r="AC220"/>
          <cell r="AD220"/>
          <cell r="AE220"/>
          <cell r="AF220"/>
          <cell r="AG220"/>
          <cell r="AH220"/>
          <cell r="AI220"/>
          <cell r="AJ220"/>
          <cell r="AK220"/>
          <cell r="AL220"/>
          <cell r="AM220"/>
          <cell r="AN220"/>
          <cell r="AO220"/>
        </row>
        <row r="221">
          <cell r="A221" t="str">
            <v>ServiceFournitures autres</v>
          </cell>
          <cell r="C221"/>
          <cell r="D221"/>
          <cell r="E221">
            <v>60000</v>
          </cell>
          <cell r="F221"/>
          <cell r="G221"/>
          <cell r="H221">
            <v>5000</v>
          </cell>
          <cell r="I221"/>
          <cell r="J221"/>
          <cell r="K221">
            <v>5000</v>
          </cell>
          <cell r="L221"/>
          <cell r="M221"/>
          <cell r="N221">
            <v>5000</v>
          </cell>
          <cell r="O221"/>
          <cell r="P221"/>
          <cell r="Q221">
            <v>5000</v>
          </cell>
          <cell r="R221"/>
          <cell r="S221"/>
          <cell r="T221">
            <v>5000</v>
          </cell>
          <cell r="U221"/>
          <cell r="V221"/>
          <cell r="W221">
            <v>5000</v>
          </cell>
          <cell r="X221"/>
          <cell r="Y221"/>
          <cell r="Z221">
            <v>5000</v>
          </cell>
          <cell r="AA221"/>
          <cell r="AB221"/>
          <cell r="AC221">
            <v>5000</v>
          </cell>
          <cell r="AD221"/>
          <cell r="AE221"/>
          <cell r="AF221">
            <v>5000</v>
          </cell>
          <cell r="AG221"/>
          <cell r="AH221"/>
          <cell r="AI221">
            <v>5000</v>
          </cell>
          <cell r="AJ221"/>
          <cell r="AK221"/>
          <cell r="AL221">
            <v>5000</v>
          </cell>
          <cell r="AM221"/>
          <cell r="AN221"/>
          <cell r="AO221">
            <v>5000</v>
          </cell>
        </row>
        <row r="222">
          <cell r="A222" t="str">
            <v>ServiceUniformes</v>
          </cell>
          <cell r="C222"/>
          <cell r="D222"/>
          <cell r="E222">
            <v>27000</v>
          </cell>
          <cell r="F222"/>
          <cell r="G222"/>
          <cell r="H222">
            <v>1000</v>
          </cell>
          <cell r="I222"/>
          <cell r="J222"/>
          <cell r="K222">
            <v>1000</v>
          </cell>
          <cell r="L222"/>
          <cell r="M222"/>
          <cell r="N222">
            <v>1000</v>
          </cell>
          <cell r="O222"/>
          <cell r="P222"/>
          <cell r="Q222">
            <v>16000</v>
          </cell>
          <cell r="R222"/>
          <cell r="S222"/>
          <cell r="T222">
            <v>1000</v>
          </cell>
          <cell r="U222"/>
          <cell r="V222"/>
          <cell r="W222">
            <v>1000</v>
          </cell>
          <cell r="X222"/>
          <cell r="Y222"/>
          <cell r="Z222">
            <v>1000</v>
          </cell>
          <cell r="AA222"/>
          <cell r="AB222"/>
          <cell r="AC222">
            <v>1000</v>
          </cell>
          <cell r="AD222"/>
          <cell r="AE222"/>
          <cell r="AF222">
            <v>1000</v>
          </cell>
          <cell r="AG222"/>
          <cell r="AH222"/>
          <cell r="AI222">
            <v>1000</v>
          </cell>
          <cell r="AJ222"/>
          <cell r="AK222"/>
          <cell r="AL222">
            <v>1000</v>
          </cell>
          <cell r="AM222"/>
          <cell r="AN222"/>
          <cell r="AO222">
            <v>1000</v>
          </cell>
        </row>
        <row r="223">
          <cell r="A223" t="str">
            <v>ServicePapeterie</v>
          </cell>
          <cell r="C223"/>
          <cell r="D223"/>
          <cell r="E223">
            <v>9996</v>
          </cell>
          <cell r="F223"/>
          <cell r="G223"/>
          <cell r="H223">
            <v>833</v>
          </cell>
          <cell r="I223"/>
          <cell r="J223"/>
          <cell r="K223">
            <v>833</v>
          </cell>
          <cell r="L223"/>
          <cell r="M223"/>
          <cell r="N223">
            <v>833</v>
          </cell>
          <cell r="O223"/>
          <cell r="P223"/>
          <cell r="Q223">
            <v>833</v>
          </cell>
          <cell r="R223"/>
          <cell r="S223"/>
          <cell r="T223">
            <v>833</v>
          </cell>
          <cell r="U223"/>
          <cell r="V223"/>
          <cell r="W223">
            <v>833</v>
          </cell>
          <cell r="X223"/>
          <cell r="Y223"/>
          <cell r="Z223">
            <v>833</v>
          </cell>
          <cell r="AA223"/>
          <cell r="AB223"/>
          <cell r="AC223">
            <v>833</v>
          </cell>
          <cell r="AD223"/>
          <cell r="AE223"/>
          <cell r="AF223">
            <v>833</v>
          </cell>
          <cell r="AG223"/>
          <cell r="AH223"/>
          <cell r="AI223">
            <v>833</v>
          </cell>
          <cell r="AJ223"/>
          <cell r="AK223"/>
          <cell r="AL223">
            <v>833</v>
          </cell>
          <cell r="AM223"/>
          <cell r="AN223"/>
          <cell r="AO223">
            <v>833</v>
          </cell>
        </row>
        <row r="224">
          <cell r="A224" t="str">
            <v>ServiceTéléphone</v>
          </cell>
          <cell r="C224"/>
          <cell r="D224"/>
          <cell r="E224">
            <v>2730</v>
          </cell>
          <cell r="F224"/>
          <cell r="G224"/>
          <cell r="H224">
            <v>227.5</v>
          </cell>
          <cell r="I224"/>
          <cell r="J224"/>
          <cell r="K224">
            <v>227.5</v>
          </cell>
          <cell r="L224"/>
          <cell r="M224"/>
          <cell r="N224">
            <v>227.5</v>
          </cell>
          <cell r="O224"/>
          <cell r="P224"/>
          <cell r="Q224">
            <v>227.5</v>
          </cell>
          <cell r="R224"/>
          <cell r="S224"/>
          <cell r="T224">
            <v>227.5</v>
          </cell>
          <cell r="U224"/>
          <cell r="V224"/>
          <cell r="W224">
            <v>227.5</v>
          </cell>
          <cell r="X224"/>
          <cell r="Y224"/>
          <cell r="Z224">
            <v>227.5</v>
          </cell>
          <cell r="AA224"/>
          <cell r="AB224"/>
          <cell r="AC224">
            <v>227.5</v>
          </cell>
          <cell r="AD224"/>
          <cell r="AE224"/>
          <cell r="AF224">
            <v>227.5</v>
          </cell>
          <cell r="AG224"/>
          <cell r="AH224"/>
          <cell r="AI224">
            <v>227.5</v>
          </cell>
          <cell r="AJ224"/>
          <cell r="AK224"/>
          <cell r="AL224">
            <v>227.5</v>
          </cell>
          <cell r="AM224"/>
          <cell r="AN224"/>
          <cell r="AO224">
            <v>227.5</v>
          </cell>
        </row>
        <row r="225">
          <cell r="A225" t="str">
            <v>ServiceFrais postaux</v>
          </cell>
          <cell r="C225"/>
          <cell r="D225"/>
          <cell r="E225">
            <v>2051.2800000000002</v>
          </cell>
          <cell r="F225"/>
          <cell r="G225"/>
          <cell r="H225">
            <v>170.93999999999997</v>
          </cell>
          <cell r="I225"/>
          <cell r="J225"/>
          <cell r="K225">
            <v>170.93999999999997</v>
          </cell>
          <cell r="L225"/>
          <cell r="M225"/>
          <cell r="N225">
            <v>170.93999999999997</v>
          </cell>
          <cell r="O225"/>
          <cell r="P225"/>
          <cell r="Q225">
            <v>170.93999999999997</v>
          </cell>
          <cell r="R225"/>
          <cell r="S225"/>
          <cell r="T225">
            <v>170.93999999999997</v>
          </cell>
          <cell r="U225"/>
          <cell r="V225"/>
          <cell r="W225">
            <v>170.93999999999997</v>
          </cell>
          <cell r="X225"/>
          <cell r="Y225"/>
          <cell r="Z225">
            <v>170.93999999999997</v>
          </cell>
          <cell r="AA225"/>
          <cell r="AB225"/>
          <cell r="AC225">
            <v>170.93999999999997</v>
          </cell>
          <cell r="AD225"/>
          <cell r="AE225"/>
          <cell r="AF225">
            <v>170.93999999999997</v>
          </cell>
          <cell r="AG225"/>
          <cell r="AH225"/>
          <cell r="AI225">
            <v>170.93999999999997</v>
          </cell>
          <cell r="AJ225"/>
          <cell r="AK225"/>
          <cell r="AL225">
            <v>170.93999999999997</v>
          </cell>
          <cell r="AM225"/>
          <cell r="AN225"/>
          <cell r="AO225">
            <v>170.93999999999997</v>
          </cell>
        </row>
        <row r="226">
          <cell r="A226" t="str">
            <v>ServiceDivers</v>
          </cell>
          <cell r="C226"/>
          <cell r="D226"/>
          <cell r="E226">
            <v>1080</v>
          </cell>
          <cell r="F226"/>
          <cell r="G226"/>
          <cell r="H226">
            <v>90</v>
          </cell>
          <cell r="I226"/>
          <cell r="J226"/>
          <cell r="K226">
            <v>90</v>
          </cell>
          <cell r="L226"/>
          <cell r="M226"/>
          <cell r="N226">
            <v>90</v>
          </cell>
          <cell r="O226"/>
          <cell r="P226"/>
          <cell r="Q226">
            <v>90</v>
          </cell>
          <cell r="R226"/>
          <cell r="S226"/>
          <cell r="T226">
            <v>90</v>
          </cell>
          <cell r="U226"/>
          <cell r="V226"/>
          <cell r="W226">
            <v>90</v>
          </cell>
          <cell r="X226"/>
          <cell r="Y226"/>
          <cell r="Z226">
            <v>90</v>
          </cell>
          <cell r="AA226"/>
          <cell r="AB226"/>
          <cell r="AC226">
            <v>90</v>
          </cell>
          <cell r="AD226"/>
          <cell r="AE226"/>
          <cell r="AF226">
            <v>90</v>
          </cell>
          <cell r="AG226"/>
          <cell r="AH226"/>
          <cell r="AI226">
            <v>90</v>
          </cell>
          <cell r="AJ226"/>
          <cell r="AK226"/>
          <cell r="AL226">
            <v>90</v>
          </cell>
          <cell r="AM226"/>
          <cell r="AN226"/>
          <cell r="AO226">
            <v>90</v>
          </cell>
        </row>
        <row r="227">
          <cell r="A227" t="str">
            <v>ServiceFormation</v>
          </cell>
          <cell r="C227"/>
          <cell r="D227"/>
          <cell r="E227">
            <v>20000</v>
          </cell>
          <cell r="F227"/>
          <cell r="G227"/>
          <cell r="H227">
            <v>1666.6666666666667</v>
          </cell>
          <cell r="I227"/>
          <cell r="J227"/>
          <cell r="K227">
            <v>1666.6666666666667</v>
          </cell>
          <cell r="L227"/>
          <cell r="M227"/>
          <cell r="N227">
            <v>1666.6666666666667</v>
          </cell>
          <cell r="O227"/>
          <cell r="P227"/>
          <cell r="Q227">
            <v>1666.6666666666667</v>
          </cell>
          <cell r="R227"/>
          <cell r="S227"/>
          <cell r="T227">
            <v>1666.6666666666667</v>
          </cell>
          <cell r="U227"/>
          <cell r="V227"/>
          <cell r="W227">
            <v>1666.6666666666667</v>
          </cell>
          <cell r="X227"/>
          <cell r="Y227"/>
          <cell r="Z227">
            <v>1666.6666666666667</v>
          </cell>
          <cell r="AA227"/>
          <cell r="AB227"/>
          <cell r="AC227">
            <v>1666.6666666666667</v>
          </cell>
          <cell r="AD227"/>
          <cell r="AE227"/>
          <cell r="AF227">
            <v>1666.6666666666667</v>
          </cell>
          <cell r="AG227"/>
          <cell r="AH227"/>
          <cell r="AI227">
            <v>1666.6666666666667</v>
          </cell>
          <cell r="AJ227"/>
          <cell r="AK227"/>
          <cell r="AL227">
            <v>1666.6666666666667</v>
          </cell>
          <cell r="AM227"/>
          <cell r="AN227"/>
          <cell r="AO227">
            <v>1666.6666666666667</v>
          </cell>
        </row>
        <row r="228">
          <cell r="A228" t="str">
            <v>ServiceFrais bancaires</v>
          </cell>
          <cell r="C228"/>
          <cell r="D228"/>
          <cell r="E228">
            <v>23110.220270988437</v>
          </cell>
          <cell r="F228"/>
          <cell r="G228"/>
          <cell r="H228">
            <v>1479.5694461102762</v>
          </cell>
          <cell r="I228"/>
          <cell r="J228"/>
          <cell r="K228">
            <v>1497.2397994669952</v>
          </cell>
          <cell r="L228"/>
          <cell r="M228"/>
          <cell r="N228">
            <v>2042.7904372481134</v>
          </cell>
          <cell r="O228"/>
          <cell r="P228"/>
          <cell r="Q228">
            <v>2169.212670925579</v>
          </cell>
          <cell r="R228"/>
          <cell r="S228"/>
          <cell r="T228">
            <v>2309.1937084524639</v>
          </cell>
          <cell r="U228"/>
          <cell r="V228"/>
          <cell r="W228">
            <v>2086.7881799403885</v>
          </cell>
          <cell r="X228"/>
          <cell r="Y228"/>
          <cell r="Z228">
            <v>1978.57656844853</v>
          </cell>
          <cell r="AA228"/>
          <cell r="AB228"/>
          <cell r="AC228">
            <v>1918.1529458842833</v>
          </cell>
          <cell r="AD228"/>
          <cell r="AE228"/>
          <cell r="AF228">
            <v>2000.4377143817417</v>
          </cell>
          <cell r="AG228"/>
          <cell r="AH228"/>
          <cell r="AI228">
            <v>2005.3731008001917</v>
          </cell>
          <cell r="AJ228"/>
          <cell r="AK228"/>
          <cell r="AL228">
            <v>2072.8139480285754</v>
          </cell>
          <cell r="AM228"/>
          <cell r="AN228"/>
          <cell r="AO228">
            <v>1550.0717513012958</v>
          </cell>
        </row>
        <row r="229">
          <cell r="A229" t="str">
            <v>Service[...]</v>
          </cell>
          <cell r="C229"/>
          <cell r="D229"/>
          <cell r="E229">
            <v>0</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v>
          </cell>
          <cell r="C230"/>
          <cell r="D230"/>
          <cell r="E230">
            <v>0</v>
          </cell>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row>
        <row r="231">
          <cell r="A231" t="str">
            <v>Service[...]</v>
          </cell>
          <cell r="C231"/>
          <cell r="D231"/>
          <cell r="E231">
            <v>0</v>
          </cell>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SEMI-FIXES</v>
          </cell>
          <cell r="C232" t="str">
            <v>%brut</v>
          </cell>
          <cell r="D232">
            <v>0.23677813252019037</v>
          </cell>
          <cell r="E232">
            <v>721785.33137753967</v>
          </cell>
          <cell r="F232" t="str">
            <v>%brut</v>
          </cell>
          <cell r="G232">
            <v>0.3463933961818309</v>
          </cell>
          <cell r="H232">
            <v>66248.932871656201</v>
          </cell>
          <cell r="I232" t="str">
            <v>%brut</v>
          </cell>
          <cell r="J232">
            <v>0.27638885347460485</v>
          </cell>
          <cell r="K232">
            <v>51259.353225012921</v>
          </cell>
          <cell r="L232" t="str">
            <v>%brut</v>
          </cell>
          <cell r="M232">
            <v>0.24412219819646536</v>
          </cell>
          <cell r="N232">
            <v>55686.153862794039</v>
          </cell>
          <cell r="O232" t="str">
            <v>%brut</v>
          </cell>
          <cell r="P232">
            <v>0.2759737261277882</v>
          </cell>
          <cell r="Q232">
            <v>82415.076096471515</v>
          </cell>
          <cell r="R232" t="str">
            <v>%brut</v>
          </cell>
          <cell r="S232">
            <v>0.21079442560503425</v>
          </cell>
          <cell r="T232">
            <v>65160.057133998387</v>
          </cell>
          <cell r="U232" t="str">
            <v>%brut</v>
          </cell>
          <cell r="V232">
            <v>0.22606474153718892</v>
          </cell>
          <cell r="W232">
            <v>53707.651605486317</v>
          </cell>
          <cell r="X232" t="str">
            <v>%brut</v>
          </cell>
          <cell r="Y232">
            <v>0.22760082369421317</v>
          </cell>
          <cell r="Z232">
            <v>57254.439993994456</v>
          </cell>
          <cell r="AA232" t="str">
            <v>%brut</v>
          </cell>
          <cell r="AB232">
            <v>0.2022521872559972</v>
          </cell>
          <cell r="AC232">
            <v>50484.016371430211</v>
          </cell>
          <cell r="AD232" t="str">
            <v>%brut</v>
          </cell>
          <cell r="AE232">
            <v>0.1957454012966518</v>
          </cell>
          <cell r="AF232">
            <v>51258.801139927666</v>
          </cell>
          <cell r="AG232" t="str">
            <v>%brut</v>
          </cell>
          <cell r="AH232">
            <v>0.21559546112716291</v>
          </cell>
          <cell r="AI232">
            <v>60796.236526346118</v>
          </cell>
          <cell r="AJ232" t="str">
            <v>%brut</v>
          </cell>
          <cell r="AK232">
            <v>0.19654202415064612</v>
          </cell>
          <cell r="AL232">
            <v>67833.677373574508</v>
          </cell>
          <cell r="AM232" t="str">
            <v>%brut</v>
          </cell>
          <cell r="AN232">
            <v>0.28685271614701313</v>
          </cell>
          <cell r="AO232">
            <v>59680.935176847219</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ServiceTOTAL DES DÉPENSES</v>
          </cell>
          <cell r="C234" t="str">
            <v>% brut</v>
          </cell>
          <cell r="D234">
            <v>0.81795347566811283</v>
          </cell>
          <cell r="E234">
            <v>2493417.8431201885</v>
          </cell>
          <cell r="F234" t="str">
            <v>% brut</v>
          </cell>
          <cell r="G234">
            <v>0.97179326004175015</v>
          </cell>
          <cell r="H234">
            <v>185858.81589913153</v>
          </cell>
          <cell r="I234" t="str">
            <v>% brut</v>
          </cell>
          <cell r="J234">
            <v>0.90044889416776674</v>
          </cell>
          <cell r="K234">
            <v>166998.15259177511</v>
          </cell>
          <cell r="L234" t="str">
            <v>% brut</v>
          </cell>
          <cell r="M234">
            <v>0.88155569862336891</v>
          </cell>
          <cell r="N234">
            <v>201089.64541051962</v>
          </cell>
          <cell r="O234" t="str">
            <v>% brut</v>
          </cell>
          <cell r="P234">
            <v>0.83168684299077078</v>
          </cell>
          <cell r="Q234">
            <v>248369.78293281372</v>
          </cell>
          <cell r="R234" t="str">
            <v>% brut</v>
          </cell>
          <cell r="S234">
            <v>0.74363792699504272</v>
          </cell>
          <cell r="T234">
            <v>229870.83112338185</v>
          </cell>
          <cell r="U234" t="str">
            <v>% brut</v>
          </cell>
          <cell r="V234">
            <v>0.77851000135482562</v>
          </cell>
          <cell r="W234">
            <v>184955.61775728461</v>
          </cell>
          <cell r="X234" t="str">
            <v>% brut</v>
          </cell>
          <cell r="Y234">
            <v>0.83348309209262372</v>
          </cell>
          <cell r="Z234">
            <v>209667.99200313876</v>
          </cell>
          <cell r="AA234" t="str">
            <v>% brut</v>
          </cell>
          <cell r="AB234">
            <v>0.73594897843102236</v>
          </cell>
          <cell r="AC234">
            <v>183699.67108747491</v>
          </cell>
          <cell r="AD234" t="str">
            <v>% brut</v>
          </cell>
          <cell r="AE234">
            <v>0.70604449258021651</v>
          </cell>
          <cell r="AF234">
            <v>184888.09443989472</v>
          </cell>
          <cell r="AG234" t="str">
            <v>% brut</v>
          </cell>
          <cell r="AH234">
            <v>0.86580858912395908</v>
          </cell>
          <cell r="AI234">
            <v>244151.26132861979</v>
          </cell>
          <cell r="AJ234" t="str">
            <v>% brut</v>
          </cell>
          <cell r="AK234">
            <v>0.71714765540452385</v>
          </cell>
          <cell r="AL234">
            <v>247513.28829624213</v>
          </cell>
          <cell r="AM234" t="str">
            <v>% brut</v>
          </cell>
          <cell r="AN234">
            <v>0.9918310296656746</v>
          </cell>
          <cell r="AO234">
            <v>206354.69024991174</v>
          </cell>
        </row>
        <row r="235">
          <cell r="A235" t="str">
            <v>Service</v>
          </cell>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t="str">
            <v>ServicePROFIT DÉPARTEMENTAL</v>
          </cell>
          <cell r="C236"/>
          <cell r="D236">
            <v>0.12912491479910071</v>
          </cell>
          <cell r="E236">
            <v>554943.60687981173</v>
          </cell>
          <cell r="F236"/>
          <cell r="G236"/>
          <cell r="H236">
            <v>5394.6363949774823</v>
          </cell>
          <cell r="I236"/>
          <cell r="J236"/>
          <cell r="K236">
            <v>18462.847664238216</v>
          </cell>
          <cell r="L236"/>
          <cell r="M236"/>
          <cell r="N236">
            <v>27018.057511190011</v>
          </cell>
          <cell r="O236"/>
          <cell r="P236"/>
          <cell r="Q236">
            <v>50263.993741671758</v>
          </cell>
          <cell r="R236"/>
          <cell r="S236"/>
          <cell r="T236">
            <v>79245.77358270681</v>
          </cell>
          <cell r="U236"/>
          <cell r="V236"/>
          <cell r="W236">
            <v>52620.800574413122</v>
          </cell>
          <cell r="X236"/>
          <cell r="Y236"/>
          <cell r="Z236">
            <v>41888.391074442217</v>
          </cell>
          <cell r="AA236"/>
          <cell r="AB236"/>
          <cell r="AC236">
            <v>65909.576932824333</v>
          </cell>
          <cell r="AD236"/>
          <cell r="AE236"/>
          <cell r="AF236">
            <v>76976.556276701391</v>
          </cell>
          <cell r="AG236"/>
          <cell r="AH236"/>
          <cell r="AI236">
            <v>37840.930012028024</v>
          </cell>
          <cell r="AJ236"/>
          <cell r="AK236"/>
          <cell r="AL236">
            <v>97622.453877559572</v>
          </cell>
          <cell r="AM236"/>
          <cell r="AN236"/>
          <cell r="AO236">
            <v>1699.5892370585061</v>
          </cell>
        </row>
        <row r="237">
          <cell r="A237"/>
          <cell r="C237"/>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Carrosserie</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cell r="AD239"/>
          <cell r="AE239"/>
          <cell r="AF239"/>
          <cell r="AG239"/>
          <cell r="AH239"/>
          <cell r="AI239"/>
          <cell r="AJ239"/>
          <cell r="AK239"/>
          <cell r="AL239"/>
          <cell r="AM239"/>
          <cell r="AN239"/>
          <cell r="AO239"/>
        </row>
        <row r="240">
          <cell r="A240"/>
          <cell r="C240"/>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cell r="AD240"/>
          <cell r="AE240"/>
          <cell r="AF240"/>
          <cell r="AG240"/>
          <cell r="AH240"/>
          <cell r="AI240"/>
          <cell r="AJ240"/>
          <cell r="AK240"/>
          <cell r="AL240"/>
          <cell r="AM240"/>
          <cell r="AN240"/>
          <cell r="AO240"/>
        </row>
        <row r="241">
          <cell r="A241"/>
          <cell r="C241">
            <v>2021</v>
          </cell>
          <cell r="D241"/>
          <cell r="E241"/>
          <cell r="F241" t="str">
            <v>Janvier</v>
          </cell>
          <cell r="G241"/>
          <cell r="H241"/>
          <cell r="I241" t="str">
            <v>Février</v>
          </cell>
          <cell r="J241"/>
          <cell r="K241"/>
          <cell r="L241" t="str">
            <v>Mars</v>
          </cell>
          <cell r="M241"/>
          <cell r="N241"/>
          <cell r="O241" t="str">
            <v>Avril</v>
          </cell>
          <cell r="P241"/>
          <cell r="Q241"/>
          <cell r="R241" t="str">
            <v>Mai</v>
          </cell>
          <cell r="S241"/>
          <cell r="T241"/>
          <cell r="U241" t="str">
            <v>Juin</v>
          </cell>
          <cell r="V241"/>
          <cell r="W241"/>
          <cell r="X241" t="str">
            <v>Juillet</v>
          </cell>
          <cell r="Y241"/>
          <cell r="Z241"/>
          <cell r="AA241" t="str">
            <v>Août</v>
          </cell>
          <cell r="AB241"/>
          <cell r="AC241"/>
          <cell r="AD241" t="str">
            <v>Septembre</v>
          </cell>
          <cell r="AE241"/>
          <cell r="AF241"/>
          <cell r="AG241" t="str">
            <v>Octobre</v>
          </cell>
          <cell r="AH241"/>
          <cell r="AI241"/>
          <cell r="AJ241" t="str">
            <v>Novembre</v>
          </cell>
          <cell r="AK241"/>
          <cell r="AL241"/>
          <cell r="AM241" t="str">
            <v>Décembre</v>
          </cell>
          <cell r="AN241"/>
          <cell r="AO241"/>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cell r="C243"/>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cell r="AD243"/>
          <cell r="AE243"/>
          <cell r="AF243"/>
          <cell r="AG243"/>
          <cell r="AH243"/>
          <cell r="AI243"/>
          <cell r="AJ243"/>
          <cell r="AK243"/>
          <cell r="AL243"/>
          <cell r="AM243"/>
          <cell r="AN243"/>
          <cell r="AO243"/>
        </row>
        <row r="244">
          <cell r="A244" t="str">
            <v>CarrosserieM/O Sous-traitement</v>
          </cell>
          <cell r="C244">
            <v>0</v>
          </cell>
          <cell r="D244">
            <v>1080000</v>
          </cell>
          <cell r="E244">
            <v>172800</v>
          </cell>
          <cell r="F244"/>
          <cell r="G244">
            <v>43200</v>
          </cell>
          <cell r="H244">
            <v>6912</v>
          </cell>
          <cell r="I244"/>
          <cell r="J244">
            <v>75600</v>
          </cell>
          <cell r="K244">
            <v>12096</v>
          </cell>
          <cell r="L244"/>
          <cell r="M244">
            <v>108000</v>
          </cell>
          <cell r="N244">
            <v>17280</v>
          </cell>
          <cell r="O244"/>
          <cell r="P244">
            <v>108000</v>
          </cell>
          <cell r="Q244">
            <v>17280</v>
          </cell>
          <cell r="R244"/>
          <cell r="S244">
            <v>108000</v>
          </cell>
          <cell r="T244">
            <v>17280</v>
          </cell>
          <cell r="U244"/>
          <cell r="V244">
            <v>118800</v>
          </cell>
          <cell r="W244">
            <v>19008</v>
          </cell>
          <cell r="X244"/>
          <cell r="Y244">
            <v>86400</v>
          </cell>
          <cell r="Z244">
            <v>13824</v>
          </cell>
          <cell r="AA244"/>
          <cell r="AB244">
            <v>97200</v>
          </cell>
          <cell r="AC244">
            <v>15552</v>
          </cell>
          <cell r="AD244"/>
          <cell r="AE244">
            <v>97200</v>
          </cell>
          <cell r="AF244">
            <v>15552</v>
          </cell>
          <cell r="AG244"/>
          <cell r="AH244">
            <v>97200</v>
          </cell>
          <cell r="AI244">
            <v>15552</v>
          </cell>
          <cell r="AJ244"/>
          <cell r="AK244">
            <v>86400</v>
          </cell>
          <cell r="AL244">
            <v>13824</v>
          </cell>
          <cell r="AM244"/>
          <cell r="AN244">
            <v>54000</v>
          </cell>
          <cell r="AO244">
            <v>8640</v>
          </cell>
        </row>
        <row r="245">
          <cell r="A245" t="str">
            <v>Carrosserie% profit / ventes</v>
          </cell>
          <cell r="C245"/>
          <cell r="D245"/>
          <cell r="E245">
            <v>0.16</v>
          </cell>
          <cell r="F245"/>
          <cell r="G245"/>
          <cell r="H245">
            <v>0.16</v>
          </cell>
          <cell r="I245"/>
          <cell r="J245"/>
          <cell r="K245">
            <v>0.16</v>
          </cell>
          <cell r="L245"/>
          <cell r="M245"/>
          <cell r="N245">
            <v>0.16</v>
          </cell>
          <cell r="O245"/>
          <cell r="P245"/>
          <cell r="Q245">
            <v>0.16</v>
          </cell>
          <cell r="R245"/>
          <cell r="S245"/>
          <cell r="T245">
            <v>0.16</v>
          </cell>
          <cell r="U245"/>
          <cell r="V245"/>
          <cell r="W245">
            <v>0.16</v>
          </cell>
          <cell r="X245"/>
          <cell r="Y245"/>
          <cell r="Z245">
            <v>0.16</v>
          </cell>
          <cell r="AA245"/>
          <cell r="AB245"/>
          <cell r="AC245">
            <v>0.16</v>
          </cell>
          <cell r="AD245"/>
          <cell r="AE245"/>
          <cell r="AF245">
            <v>0.16</v>
          </cell>
          <cell r="AG245"/>
          <cell r="AH245"/>
          <cell r="AI245">
            <v>0.16</v>
          </cell>
          <cell r="AJ245"/>
          <cell r="AK245"/>
          <cell r="AL245">
            <v>0.16</v>
          </cell>
          <cell r="AM245"/>
          <cell r="AN245"/>
          <cell r="AO245">
            <v>0.16</v>
          </cell>
        </row>
        <row r="246">
          <cell r="A246" t="str">
            <v>Carrosserie</v>
          </cell>
          <cell r="C246"/>
          <cell r="D246"/>
          <cell r="E246"/>
          <cell r="F246"/>
          <cell r="G246"/>
          <cell r="H246"/>
          <cell r="I246"/>
          <cell r="J246"/>
          <cell r="K246"/>
          <cell r="L246"/>
          <cell r="M246"/>
          <cell r="N246"/>
          <cell r="O246"/>
          <cell r="P246"/>
          <cell r="Q246"/>
          <cell r="R246"/>
          <cell r="S246"/>
          <cell r="T246"/>
          <cell r="U246"/>
          <cell r="V246"/>
          <cell r="W246"/>
          <cell r="X246"/>
          <cell r="Y246"/>
          <cell r="Z246"/>
          <cell r="AA246"/>
          <cell r="AB246"/>
          <cell r="AC246"/>
          <cell r="AD246"/>
          <cell r="AE246"/>
          <cell r="AF246"/>
          <cell r="AG246"/>
          <cell r="AH246"/>
          <cell r="AI246"/>
          <cell r="AJ246"/>
          <cell r="AK246"/>
          <cell r="AL246"/>
          <cell r="AM246"/>
          <cell r="AN246"/>
          <cell r="AO246"/>
        </row>
        <row r="247">
          <cell r="A247" t="str">
            <v>CarrosserieM/O Carrosserie</v>
          </cell>
          <cell r="C247">
            <v>0</v>
          </cell>
          <cell r="D247">
            <v>0</v>
          </cell>
          <cell r="E247">
            <v>0</v>
          </cell>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row>
        <row r="248">
          <cell r="A248" t="str">
            <v>Carrosserie% profit / ventes</v>
          </cell>
          <cell r="C248"/>
          <cell r="D248"/>
          <cell r="E248">
            <v>0</v>
          </cell>
          <cell r="F248"/>
          <cell r="G248"/>
          <cell r="H248">
            <v>0</v>
          </cell>
          <cell r="I248"/>
          <cell r="J248"/>
          <cell r="K248">
            <v>0</v>
          </cell>
          <cell r="L248"/>
          <cell r="M248"/>
          <cell r="N248">
            <v>0</v>
          </cell>
          <cell r="O248"/>
          <cell r="P248"/>
          <cell r="Q248">
            <v>0</v>
          </cell>
          <cell r="R248"/>
          <cell r="S248"/>
          <cell r="T248">
            <v>0</v>
          </cell>
          <cell r="U248"/>
          <cell r="V248"/>
          <cell r="W248">
            <v>0</v>
          </cell>
          <cell r="X248"/>
          <cell r="Y248"/>
          <cell r="Z248">
            <v>0</v>
          </cell>
          <cell r="AA248"/>
          <cell r="AB248"/>
          <cell r="AC248">
            <v>0</v>
          </cell>
          <cell r="AD248"/>
          <cell r="AE248"/>
          <cell r="AF248">
            <v>0</v>
          </cell>
          <cell r="AG248"/>
          <cell r="AH248"/>
          <cell r="AI248">
            <v>0</v>
          </cell>
          <cell r="AJ248"/>
          <cell r="AK248"/>
          <cell r="AL248">
            <v>0</v>
          </cell>
          <cell r="AM248"/>
          <cell r="AN248"/>
          <cell r="AO248">
            <v>0</v>
          </cell>
        </row>
        <row r="249">
          <cell r="A249" t="str">
            <v>Carrosserie</v>
          </cell>
          <cell r="C249"/>
          <cell r="D249"/>
          <cell r="E249"/>
          <cell r="F249"/>
          <cell r="G249"/>
          <cell r="H249"/>
          <cell r="I249"/>
          <cell r="J249"/>
          <cell r="K249"/>
          <cell r="L249"/>
          <cell r="M249"/>
          <cell r="N249"/>
          <cell r="O249"/>
          <cell r="P249"/>
          <cell r="Q249"/>
          <cell r="R249"/>
          <cell r="S249"/>
          <cell r="T249"/>
          <cell r="U249"/>
          <cell r="V249"/>
          <cell r="W249"/>
          <cell r="X249"/>
          <cell r="Y249"/>
          <cell r="Z249"/>
          <cell r="AA249"/>
          <cell r="AB249"/>
          <cell r="AC249"/>
          <cell r="AD249"/>
          <cell r="AE249"/>
          <cell r="AF249"/>
          <cell r="AG249"/>
          <cell r="AH249"/>
          <cell r="AI249"/>
          <cell r="AJ249"/>
          <cell r="AK249"/>
          <cell r="AL249"/>
          <cell r="AM249"/>
          <cell r="AN249"/>
          <cell r="AO249"/>
        </row>
        <row r="250">
          <cell r="A250" t="str">
            <v>CarrosserieM/O Esthétique Carr.</v>
          </cell>
          <cell r="C250">
            <v>0</v>
          </cell>
          <cell r="D250">
            <v>0</v>
          </cell>
          <cell r="E250">
            <v>0</v>
          </cell>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row>
        <row r="251">
          <cell r="A251" t="str">
            <v>Carrosserie% profit / ventes</v>
          </cell>
          <cell r="C251"/>
          <cell r="D251"/>
          <cell r="E251">
            <v>0</v>
          </cell>
          <cell r="F251"/>
          <cell r="G251"/>
          <cell r="H251">
            <v>0</v>
          </cell>
          <cell r="I251"/>
          <cell r="J251"/>
          <cell r="K251">
            <v>0</v>
          </cell>
          <cell r="L251"/>
          <cell r="M251"/>
          <cell r="N251">
            <v>0</v>
          </cell>
          <cell r="O251"/>
          <cell r="P251"/>
          <cell r="Q251">
            <v>0</v>
          </cell>
          <cell r="R251"/>
          <cell r="S251"/>
          <cell r="T251">
            <v>0</v>
          </cell>
          <cell r="U251"/>
          <cell r="V251"/>
          <cell r="W251">
            <v>0</v>
          </cell>
          <cell r="X251"/>
          <cell r="Y251"/>
          <cell r="Z251">
            <v>0</v>
          </cell>
          <cell r="AA251"/>
          <cell r="AB251"/>
          <cell r="AC251">
            <v>0</v>
          </cell>
          <cell r="AD251"/>
          <cell r="AE251"/>
          <cell r="AF251">
            <v>0</v>
          </cell>
          <cell r="AG251"/>
          <cell r="AH251"/>
          <cell r="AI251">
            <v>0</v>
          </cell>
          <cell r="AJ251"/>
          <cell r="AK251"/>
          <cell r="AL251">
            <v>0</v>
          </cell>
          <cell r="AM251"/>
          <cell r="AN251"/>
          <cell r="AO251">
            <v>0</v>
          </cell>
        </row>
        <row r="252">
          <cell r="A252" t="str">
            <v>Carrosserie</v>
          </cell>
          <cell r="C252"/>
          <cell r="D252"/>
          <cell r="E252"/>
          <cell r="F252"/>
          <cell r="G252"/>
          <cell r="H252"/>
          <cell r="I252"/>
          <cell r="J252"/>
          <cell r="K252"/>
          <cell r="L252"/>
          <cell r="M252"/>
          <cell r="N252"/>
          <cell r="O252"/>
          <cell r="P252"/>
          <cell r="Q252"/>
          <cell r="R252"/>
          <cell r="S252"/>
          <cell r="T252"/>
          <cell r="U252"/>
          <cell r="V252"/>
          <cell r="W252"/>
          <cell r="X252"/>
          <cell r="Y252"/>
          <cell r="Z252"/>
          <cell r="AA252"/>
          <cell r="AB252"/>
          <cell r="AC252"/>
          <cell r="AD252"/>
          <cell r="AE252"/>
          <cell r="AF252"/>
          <cell r="AG252"/>
          <cell r="AH252"/>
          <cell r="AI252"/>
          <cell r="AJ252"/>
          <cell r="AK252"/>
          <cell r="AL252"/>
          <cell r="AM252"/>
          <cell r="AN252"/>
          <cell r="AO252"/>
        </row>
        <row r="253">
          <cell r="A253" t="str">
            <v>CarrosserieTotal Mécanique</v>
          </cell>
          <cell r="C253"/>
          <cell r="D253">
            <v>1080000</v>
          </cell>
          <cell r="E253">
            <v>172800</v>
          </cell>
          <cell r="F253"/>
          <cell r="G253">
            <v>43200</v>
          </cell>
          <cell r="H253">
            <v>6912</v>
          </cell>
          <cell r="I253"/>
          <cell r="J253">
            <v>75600</v>
          </cell>
          <cell r="K253">
            <v>12096</v>
          </cell>
          <cell r="L253"/>
          <cell r="M253">
            <v>108000</v>
          </cell>
          <cell r="N253">
            <v>17280</v>
          </cell>
          <cell r="O253"/>
          <cell r="P253">
            <v>108000</v>
          </cell>
          <cell r="Q253">
            <v>17280</v>
          </cell>
          <cell r="R253"/>
          <cell r="S253">
            <v>108000</v>
          </cell>
          <cell r="T253">
            <v>17280</v>
          </cell>
          <cell r="U253"/>
          <cell r="V253">
            <v>118800</v>
          </cell>
          <cell r="W253">
            <v>19008</v>
          </cell>
          <cell r="X253"/>
          <cell r="Y253">
            <v>86400</v>
          </cell>
          <cell r="Z253">
            <v>13824</v>
          </cell>
          <cell r="AA253"/>
          <cell r="AB253">
            <v>97200</v>
          </cell>
          <cell r="AC253">
            <v>15552</v>
          </cell>
          <cell r="AD253"/>
          <cell r="AE253">
            <v>97200</v>
          </cell>
          <cell r="AF253">
            <v>15552</v>
          </cell>
          <cell r="AG253"/>
          <cell r="AH253">
            <v>97200</v>
          </cell>
          <cell r="AI253">
            <v>15552</v>
          </cell>
          <cell r="AJ253"/>
          <cell r="AK253">
            <v>86400</v>
          </cell>
          <cell r="AL253">
            <v>13824</v>
          </cell>
          <cell r="AM253"/>
          <cell r="AN253">
            <v>54000</v>
          </cell>
          <cell r="AO253">
            <v>8640</v>
          </cell>
        </row>
        <row r="254">
          <cell r="A254" t="str">
            <v>Carrosserie</v>
          </cell>
          <cell r="C254"/>
          <cell r="D254"/>
          <cell r="E254">
            <v>0.16</v>
          </cell>
          <cell r="F254"/>
          <cell r="G254"/>
          <cell r="H254">
            <v>0.16</v>
          </cell>
          <cell r="I254"/>
          <cell r="J254"/>
          <cell r="K254">
            <v>0.16</v>
          </cell>
          <cell r="L254"/>
          <cell r="M254"/>
          <cell r="N254">
            <v>0.16</v>
          </cell>
          <cell r="O254"/>
          <cell r="P254"/>
          <cell r="Q254">
            <v>0.16</v>
          </cell>
          <cell r="R254"/>
          <cell r="S254"/>
          <cell r="T254">
            <v>0.16</v>
          </cell>
          <cell r="U254"/>
          <cell r="V254"/>
          <cell r="W254">
            <v>0.16</v>
          </cell>
          <cell r="X254"/>
          <cell r="Y254"/>
          <cell r="Z254">
            <v>0.16</v>
          </cell>
          <cell r="AA254"/>
          <cell r="AB254"/>
          <cell r="AC254">
            <v>0.16</v>
          </cell>
          <cell r="AD254"/>
          <cell r="AE254"/>
          <cell r="AF254">
            <v>0.16</v>
          </cell>
          <cell r="AG254"/>
          <cell r="AH254"/>
          <cell r="AI254">
            <v>0.16</v>
          </cell>
          <cell r="AJ254"/>
          <cell r="AK254"/>
          <cell r="AL254">
            <v>0.16</v>
          </cell>
          <cell r="AM254"/>
          <cell r="AN254"/>
          <cell r="AO254">
            <v>0.16</v>
          </cell>
        </row>
        <row r="255">
          <cell r="A255" t="str">
            <v>Carrosserie</v>
          </cell>
          <cell r="C255"/>
          <cell r="D255"/>
          <cell r="E255"/>
          <cell r="F255"/>
          <cell r="G255"/>
          <cell r="H255"/>
          <cell r="I255"/>
          <cell r="J255"/>
          <cell r="K255"/>
          <cell r="L255"/>
          <cell r="M255"/>
          <cell r="N255"/>
          <cell r="O255"/>
          <cell r="P255"/>
          <cell r="Q255"/>
          <cell r="R255"/>
          <cell r="S255"/>
          <cell r="T255"/>
          <cell r="U255"/>
          <cell r="V255"/>
          <cell r="W255"/>
          <cell r="X255"/>
          <cell r="Y255"/>
          <cell r="Z255"/>
          <cell r="AA255"/>
          <cell r="AB255"/>
          <cell r="AC255"/>
          <cell r="AD255"/>
          <cell r="AE255"/>
          <cell r="AF255"/>
          <cell r="AG255"/>
          <cell r="AH255"/>
          <cell r="AI255"/>
          <cell r="AJ255"/>
          <cell r="AK255"/>
          <cell r="AL255"/>
          <cell r="AM255"/>
          <cell r="AN255"/>
          <cell r="AO255"/>
        </row>
        <row r="256">
          <cell r="A256" t="str">
            <v>CarrosserieDEPENSES</v>
          </cell>
          <cell r="C256"/>
          <cell r="D256"/>
          <cell r="E256"/>
          <cell r="F256"/>
          <cell r="G256"/>
          <cell r="H256"/>
          <cell r="I256"/>
          <cell r="J256"/>
          <cell r="K256"/>
          <cell r="L256"/>
          <cell r="M256"/>
          <cell r="N256"/>
          <cell r="O256"/>
          <cell r="P256"/>
          <cell r="Q256"/>
          <cell r="R256"/>
          <cell r="S256"/>
          <cell r="T256"/>
          <cell r="U256"/>
          <cell r="V256"/>
          <cell r="W256"/>
          <cell r="X256"/>
          <cell r="Y256"/>
          <cell r="Z256"/>
          <cell r="AA256"/>
          <cell r="AB256"/>
          <cell r="AC256"/>
          <cell r="AD256"/>
          <cell r="AE256"/>
          <cell r="AF256"/>
          <cell r="AG256"/>
          <cell r="AH256"/>
          <cell r="AI256"/>
          <cell r="AJ256"/>
          <cell r="AK256"/>
          <cell r="AL256"/>
          <cell r="AM256"/>
          <cell r="AN256"/>
          <cell r="AO256"/>
        </row>
        <row r="257">
          <cell r="A257" t="str">
            <v>CarrosserieSalaires cadres</v>
          </cell>
          <cell r="C257"/>
          <cell r="D257"/>
          <cell r="E257">
            <v>322.10208333333338</v>
          </cell>
          <cell r="F257"/>
          <cell r="G257"/>
          <cell r="H257">
            <v>322.10208333333338</v>
          </cell>
          <cell r="I257"/>
          <cell r="J257"/>
          <cell r="K257">
            <v>0</v>
          </cell>
          <cell r="L257"/>
          <cell r="M257"/>
          <cell r="N257">
            <v>0</v>
          </cell>
          <cell r="O257"/>
          <cell r="P257"/>
          <cell r="Q257">
            <v>0</v>
          </cell>
          <cell r="R257"/>
          <cell r="S257"/>
          <cell r="T257">
            <v>0</v>
          </cell>
          <cell r="U257"/>
          <cell r="V257"/>
          <cell r="W257">
            <v>0</v>
          </cell>
          <cell r="X257"/>
          <cell r="Y257"/>
          <cell r="Z257">
            <v>0</v>
          </cell>
          <cell r="AA257"/>
          <cell r="AB257"/>
          <cell r="AC257">
            <v>0</v>
          </cell>
          <cell r="AD257"/>
          <cell r="AE257"/>
          <cell r="AF257">
            <v>0</v>
          </cell>
          <cell r="AG257"/>
          <cell r="AH257"/>
          <cell r="AI257">
            <v>0</v>
          </cell>
          <cell r="AJ257"/>
          <cell r="AK257"/>
          <cell r="AL257">
            <v>0</v>
          </cell>
          <cell r="AM257"/>
          <cell r="AN257"/>
          <cell r="AO257">
            <v>0</v>
          </cell>
        </row>
        <row r="258">
          <cell r="A258" t="str">
            <v>CarrosserieSalaires commis</v>
          </cell>
          <cell r="C258"/>
          <cell r="D258"/>
          <cell r="E258">
            <v>74260.777408373324</v>
          </cell>
          <cell r="F258"/>
          <cell r="G258"/>
          <cell r="H258">
            <v>5615.7540314133321</v>
          </cell>
          <cell r="I258"/>
          <cell r="J258"/>
          <cell r="K258">
            <v>5804.7936147466653</v>
          </cell>
          <cell r="L258"/>
          <cell r="M258"/>
          <cell r="N258">
            <v>5804.7936147466653</v>
          </cell>
          <cell r="O258"/>
          <cell r="P258"/>
          <cell r="Q258">
            <v>5804.7936147466653</v>
          </cell>
          <cell r="R258"/>
          <cell r="S258"/>
          <cell r="T258">
            <v>7002.8670184333323</v>
          </cell>
          <cell r="U258"/>
          <cell r="V258"/>
          <cell r="W258">
            <v>5804.7936147466653</v>
          </cell>
          <cell r="X258"/>
          <cell r="Y258"/>
          <cell r="Z258">
            <v>7002.8670184333323</v>
          </cell>
          <cell r="AA258"/>
          <cell r="AB258"/>
          <cell r="AC258">
            <v>5804.7936147466653</v>
          </cell>
          <cell r="AD258"/>
          <cell r="AE258"/>
          <cell r="AF258">
            <v>5804.7936147466653</v>
          </cell>
          <cell r="AG258"/>
          <cell r="AH258"/>
          <cell r="AI258">
            <v>7002.8670184333323</v>
          </cell>
          <cell r="AJ258"/>
          <cell r="AK258"/>
          <cell r="AL258">
            <v>5804.7936147466653</v>
          </cell>
          <cell r="AM258"/>
          <cell r="AN258"/>
          <cell r="AO258">
            <v>7002.8670184333323</v>
          </cell>
        </row>
        <row r="259">
          <cell r="A259" t="str">
            <v>CarrosserieSalaires autres</v>
          </cell>
          <cell r="C259"/>
          <cell r="D259"/>
          <cell r="E259">
            <v>18.991666666666667</v>
          </cell>
          <cell r="F259"/>
          <cell r="G259"/>
          <cell r="H259">
            <v>18.991666666666667</v>
          </cell>
          <cell r="I259"/>
          <cell r="J259"/>
          <cell r="K259">
            <v>0</v>
          </cell>
          <cell r="L259"/>
          <cell r="M259"/>
          <cell r="N259">
            <v>0</v>
          </cell>
          <cell r="O259"/>
          <cell r="P259"/>
          <cell r="Q259">
            <v>0</v>
          </cell>
          <cell r="R259"/>
          <cell r="S259"/>
          <cell r="T259">
            <v>0</v>
          </cell>
          <cell r="U259"/>
          <cell r="V259"/>
          <cell r="W259">
            <v>0</v>
          </cell>
          <cell r="X259"/>
          <cell r="Y259"/>
          <cell r="Z259">
            <v>0</v>
          </cell>
          <cell r="AA259"/>
          <cell r="AB259"/>
          <cell r="AC259">
            <v>0</v>
          </cell>
          <cell r="AD259"/>
          <cell r="AE259"/>
          <cell r="AF259">
            <v>0</v>
          </cell>
          <cell r="AG259"/>
          <cell r="AH259"/>
          <cell r="AI259">
            <v>0</v>
          </cell>
          <cell r="AJ259"/>
          <cell r="AK259"/>
          <cell r="AL259">
            <v>0</v>
          </cell>
          <cell r="AM259"/>
          <cell r="AN259"/>
          <cell r="AO259">
            <v>0</v>
          </cell>
        </row>
        <row r="260">
          <cell r="A260" t="str">
            <v>CarrosserieSalaires spécialistes</v>
          </cell>
          <cell r="C260"/>
          <cell r="D260"/>
          <cell r="E260">
            <v>0</v>
          </cell>
          <cell r="F260"/>
          <cell r="G260"/>
          <cell r="H260">
            <v>0</v>
          </cell>
          <cell r="I260"/>
          <cell r="J260"/>
          <cell r="K260">
            <v>0</v>
          </cell>
          <cell r="L260"/>
          <cell r="M260"/>
          <cell r="N260">
            <v>0</v>
          </cell>
          <cell r="O260"/>
          <cell r="P260"/>
          <cell r="Q260">
            <v>0</v>
          </cell>
          <cell r="R260"/>
          <cell r="S260"/>
          <cell r="T260">
            <v>0</v>
          </cell>
          <cell r="U260"/>
          <cell r="V260"/>
          <cell r="W260">
            <v>0</v>
          </cell>
          <cell r="X260"/>
          <cell r="Y260"/>
          <cell r="Z260">
            <v>0</v>
          </cell>
          <cell r="AA260"/>
          <cell r="AB260"/>
          <cell r="AC260">
            <v>0</v>
          </cell>
          <cell r="AD260"/>
          <cell r="AE260"/>
          <cell r="AF260">
            <v>0</v>
          </cell>
          <cell r="AG260"/>
          <cell r="AH260"/>
          <cell r="AI260">
            <v>0</v>
          </cell>
          <cell r="AJ260"/>
          <cell r="AK260"/>
          <cell r="AL260">
            <v>0</v>
          </cell>
          <cell r="AM260"/>
          <cell r="AN260"/>
          <cell r="AO260">
            <v>0</v>
          </cell>
        </row>
        <row r="261">
          <cell r="A261" t="str">
            <v>Carrosserie[...]</v>
          </cell>
          <cell r="C261"/>
          <cell r="D261"/>
          <cell r="E261">
            <v>0</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v>
          </cell>
          <cell r="C262"/>
          <cell r="D262"/>
          <cell r="E262">
            <v>0</v>
          </cell>
          <cell r="F262"/>
          <cell r="G262"/>
          <cell r="H262"/>
          <cell r="I262"/>
          <cell r="J262"/>
          <cell r="K262"/>
          <cell r="L262"/>
          <cell r="M262"/>
          <cell r="N262"/>
          <cell r="O262"/>
          <cell r="P262"/>
          <cell r="Q262"/>
          <cell r="R262"/>
          <cell r="S262"/>
          <cell r="T262"/>
          <cell r="U262"/>
          <cell r="V262"/>
          <cell r="W262"/>
          <cell r="X262"/>
          <cell r="Y262"/>
          <cell r="Z262"/>
          <cell r="AA262"/>
          <cell r="AB262"/>
          <cell r="AC262"/>
          <cell r="AD262"/>
          <cell r="AE262"/>
          <cell r="AF262"/>
          <cell r="AG262"/>
          <cell r="AH262"/>
          <cell r="AI262"/>
          <cell r="AJ262"/>
          <cell r="AK262"/>
          <cell r="AL262"/>
          <cell r="AM262"/>
          <cell r="AN262"/>
          <cell r="AO262"/>
        </row>
        <row r="263">
          <cell r="A263" t="str">
            <v>Carrosserie[...]</v>
          </cell>
          <cell r="C263"/>
          <cell r="D263"/>
          <cell r="E263">
            <v>0</v>
          </cell>
          <cell r="F263"/>
          <cell r="G263"/>
          <cell r="H263"/>
          <cell r="I263"/>
          <cell r="J263"/>
          <cell r="K263"/>
          <cell r="L263"/>
          <cell r="M263"/>
          <cell r="N263"/>
          <cell r="O263"/>
          <cell r="P263"/>
          <cell r="Q263"/>
          <cell r="R263"/>
          <cell r="S263"/>
          <cell r="T263"/>
          <cell r="U263"/>
          <cell r="V263"/>
          <cell r="W263"/>
          <cell r="X263"/>
          <cell r="Y263"/>
          <cell r="Z263"/>
          <cell r="AA263"/>
          <cell r="AB263"/>
          <cell r="AC263"/>
          <cell r="AD263"/>
          <cell r="AE263"/>
          <cell r="AF263"/>
          <cell r="AG263"/>
          <cell r="AH263"/>
          <cell r="AI263"/>
          <cell r="AJ263"/>
          <cell r="AK263"/>
          <cell r="AL263"/>
          <cell r="AM263"/>
          <cell r="AN263"/>
          <cell r="AO263"/>
        </row>
        <row r="264">
          <cell r="A264" t="str">
            <v>CarrosserieSalaires en absences</v>
          </cell>
          <cell r="C264"/>
          <cell r="D264"/>
          <cell r="E264">
            <v>8948.814249350371</v>
          </cell>
          <cell r="F264"/>
          <cell r="G264"/>
          <cell r="H264">
            <v>713.1408287961824</v>
          </cell>
          <cell r="I264"/>
          <cell r="J264"/>
          <cell r="K264">
            <v>695.88268087951576</v>
          </cell>
          <cell r="L264"/>
          <cell r="M264"/>
          <cell r="N264">
            <v>695.88268087951576</v>
          </cell>
          <cell r="O264"/>
          <cell r="P264"/>
          <cell r="Q264">
            <v>695.88268087951576</v>
          </cell>
          <cell r="R264"/>
          <cell r="S264"/>
          <cell r="T264">
            <v>841.12366359939483</v>
          </cell>
          <cell r="U264"/>
          <cell r="V264"/>
          <cell r="W264">
            <v>695.88268087951576</v>
          </cell>
          <cell r="X264"/>
          <cell r="Y264"/>
          <cell r="Z264">
            <v>841.12366359939483</v>
          </cell>
          <cell r="AA264"/>
          <cell r="AB264"/>
          <cell r="AC264">
            <v>695.88268087951576</v>
          </cell>
          <cell r="AD264"/>
          <cell r="AE264"/>
          <cell r="AF264">
            <v>695.88268087951576</v>
          </cell>
          <cell r="AG264"/>
          <cell r="AH264"/>
          <cell r="AI264">
            <v>841.12366359939483</v>
          </cell>
          <cell r="AJ264"/>
          <cell r="AK264"/>
          <cell r="AL264">
            <v>695.88268087951576</v>
          </cell>
          <cell r="AM264"/>
          <cell r="AN264"/>
          <cell r="AO264">
            <v>841.12366359939483</v>
          </cell>
        </row>
        <row r="265">
          <cell r="A265" t="str">
            <v>CarrosserieDéduction à la source</v>
          </cell>
          <cell r="C265"/>
          <cell r="D265"/>
          <cell r="E265">
            <v>10880.496620355521</v>
          </cell>
          <cell r="F265"/>
          <cell r="G265"/>
          <cell r="H265">
            <v>867.07871695042445</v>
          </cell>
          <cell r="I265"/>
          <cell r="J265"/>
          <cell r="K265">
            <v>846.09524195042445</v>
          </cell>
          <cell r="L265"/>
          <cell r="M265"/>
          <cell r="N265">
            <v>846.09524195042445</v>
          </cell>
          <cell r="O265"/>
          <cell r="P265"/>
          <cell r="Q265">
            <v>846.09524195042445</v>
          </cell>
          <cell r="R265"/>
          <cell r="S265"/>
          <cell r="T265">
            <v>1022.6878024380308</v>
          </cell>
          <cell r="U265"/>
          <cell r="V265"/>
          <cell r="W265">
            <v>846.09524195042445</v>
          </cell>
          <cell r="X265"/>
          <cell r="Y265"/>
          <cell r="Z265">
            <v>1022.6878024380308</v>
          </cell>
          <cell r="AA265"/>
          <cell r="AB265"/>
          <cell r="AC265">
            <v>846.09524195042445</v>
          </cell>
          <cell r="AD265"/>
          <cell r="AE265"/>
          <cell r="AF265">
            <v>846.09524195042445</v>
          </cell>
          <cell r="AG265"/>
          <cell r="AH265"/>
          <cell r="AI265">
            <v>1022.6878024380308</v>
          </cell>
          <cell r="AJ265"/>
          <cell r="AK265"/>
          <cell r="AL265">
            <v>846.09524195042445</v>
          </cell>
          <cell r="AM265"/>
          <cell r="AN265"/>
          <cell r="AO265">
            <v>1022.6878024380308</v>
          </cell>
        </row>
        <row r="266">
          <cell r="A266" t="str">
            <v>CarrosserieBénéfices marginaux</v>
          </cell>
          <cell r="C266"/>
          <cell r="D266"/>
          <cell r="E266">
            <v>5605.8210848353428</v>
          </cell>
          <cell r="F266"/>
          <cell r="G266"/>
          <cell r="H266">
            <v>446.73403460271862</v>
          </cell>
          <cell r="I266"/>
          <cell r="J266"/>
          <cell r="K266">
            <v>435.92298335271863</v>
          </cell>
          <cell r="L266"/>
          <cell r="M266"/>
          <cell r="N266">
            <v>435.92298335271863</v>
          </cell>
          <cell r="O266"/>
          <cell r="P266"/>
          <cell r="Q266">
            <v>435.92298335271863</v>
          </cell>
          <cell r="R266"/>
          <cell r="S266"/>
          <cell r="T266">
            <v>526.90654169089839</v>
          </cell>
          <cell r="U266"/>
          <cell r="V266"/>
          <cell r="W266">
            <v>435.92298335271863</v>
          </cell>
          <cell r="X266"/>
          <cell r="Y266"/>
          <cell r="Z266">
            <v>526.90654169089839</v>
          </cell>
          <cell r="AA266"/>
          <cell r="AB266"/>
          <cell r="AC266">
            <v>435.92298335271863</v>
          </cell>
          <cell r="AD266"/>
          <cell r="AE266"/>
          <cell r="AF266">
            <v>435.92298335271863</v>
          </cell>
          <cell r="AG266"/>
          <cell r="AH266"/>
          <cell r="AI266">
            <v>526.90654169089839</v>
          </cell>
          <cell r="AJ266"/>
          <cell r="AK266"/>
          <cell r="AL266">
            <v>435.92298335271863</v>
          </cell>
          <cell r="AM266"/>
          <cell r="AN266"/>
          <cell r="AO266">
            <v>526.90654169089839</v>
          </cell>
        </row>
        <row r="267">
          <cell r="A267" t="str">
            <v>CarrosserieCsst</v>
          </cell>
          <cell r="C267"/>
          <cell r="D267"/>
          <cell r="E267">
            <v>2444.169530659573</v>
          </cell>
          <cell r="F267"/>
          <cell r="G267"/>
          <cell r="H267">
            <v>194.77855235842867</v>
          </cell>
          <cell r="I267"/>
          <cell r="J267"/>
          <cell r="K267">
            <v>190.06487319176199</v>
          </cell>
          <cell r="L267"/>
          <cell r="M267"/>
          <cell r="N267">
            <v>190.06487319176199</v>
          </cell>
          <cell r="O267"/>
          <cell r="P267"/>
          <cell r="Q267">
            <v>190.06487319176199</v>
          </cell>
          <cell r="R267"/>
          <cell r="S267"/>
          <cell r="T267">
            <v>229.73421648970253</v>
          </cell>
          <cell r="U267"/>
          <cell r="V267"/>
          <cell r="W267">
            <v>190.06487319176199</v>
          </cell>
          <cell r="X267"/>
          <cell r="Y267"/>
          <cell r="Z267">
            <v>229.73421648970253</v>
          </cell>
          <cell r="AA267"/>
          <cell r="AB267"/>
          <cell r="AC267">
            <v>190.06487319176199</v>
          </cell>
          <cell r="AD267"/>
          <cell r="AE267"/>
          <cell r="AF267">
            <v>190.06487319176199</v>
          </cell>
          <cell r="AG267"/>
          <cell r="AH267"/>
          <cell r="AI267">
            <v>229.73421648970253</v>
          </cell>
          <cell r="AJ267"/>
          <cell r="AK267"/>
          <cell r="AL267">
            <v>190.06487319176199</v>
          </cell>
          <cell r="AM267"/>
          <cell r="AN267"/>
          <cell r="AO267">
            <v>229.73421648970253</v>
          </cell>
        </row>
        <row r="268">
          <cell r="A268" t="str">
            <v>Carrosserie[...]</v>
          </cell>
          <cell r="C268"/>
          <cell r="D268"/>
          <cell r="E268">
            <v>0</v>
          </cell>
          <cell r="F268"/>
          <cell r="G268"/>
          <cell r="H268"/>
          <cell r="I268"/>
          <cell r="J268"/>
          <cell r="K268"/>
          <cell r="L268"/>
          <cell r="M268"/>
          <cell r="N268"/>
          <cell r="O268"/>
          <cell r="P268"/>
          <cell r="Q268"/>
          <cell r="R268"/>
          <cell r="S268"/>
          <cell r="T268"/>
          <cell r="U268"/>
          <cell r="V268"/>
          <cell r="W268"/>
          <cell r="X268"/>
          <cell r="Y268"/>
          <cell r="Z268"/>
          <cell r="AA268"/>
          <cell r="AB268"/>
          <cell r="AC268"/>
          <cell r="AD268"/>
          <cell r="AE268"/>
          <cell r="AF268"/>
          <cell r="AG268"/>
          <cell r="AH268"/>
          <cell r="AI268"/>
          <cell r="AJ268"/>
          <cell r="AK268"/>
          <cell r="AL268"/>
          <cell r="AM268"/>
          <cell r="AN268"/>
          <cell r="AO268"/>
        </row>
        <row r="269">
          <cell r="A269" t="str">
            <v>CarrosserieTOTAL PERSONNEL</v>
          </cell>
          <cell r="C269" t="str">
            <v>% brut</v>
          </cell>
          <cell r="D269">
            <v>0.59306234168735039</v>
          </cell>
          <cell r="E269">
            <v>102481.17264357414</v>
          </cell>
          <cell r="F269" t="str">
            <v>% brut</v>
          </cell>
          <cell r="G269">
            <v>0</v>
          </cell>
          <cell r="H269">
            <v>8178.5799141210864</v>
          </cell>
          <cell r="I269" t="str">
            <v>% brut</v>
          </cell>
          <cell r="J269">
            <v>0</v>
          </cell>
          <cell r="K269">
            <v>7972.7593941210862</v>
          </cell>
          <cell r="L269" t="str">
            <v>% brut</v>
          </cell>
          <cell r="M269">
            <v>0</v>
          </cell>
          <cell r="N269">
            <v>7972.7593941210862</v>
          </cell>
          <cell r="O269" t="str">
            <v>% brut</v>
          </cell>
          <cell r="P269">
            <v>0</v>
          </cell>
          <cell r="Q269">
            <v>7972.7593941210862</v>
          </cell>
          <cell r="R269" t="str">
            <v>% brut</v>
          </cell>
          <cell r="S269">
            <v>0</v>
          </cell>
          <cell r="T269">
            <v>9623.3192426513579</v>
          </cell>
          <cell r="U269" t="str">
            <v>% brut</v>
          </cell>
          <cell r="V269">
            <v>0</v>
          </cell>
          <cell r="W269">
            <v>7972.7593941210862</v>
          </cell>
          <cell r="X269" t="str">
            <v>% brut</v>
          </cell>
          <cell r="Y269">
            <v>0</v>
          </cell>
          <cell r="Z269">
            <v>9623.3192426513579</v>
          </cell>
          <cell r="AA269" t="str">
            <v>% brut</v>
          </cell>
          <cell r="AB269">
            <v>0</v>
          </cell>
          <cell r="AC269">
            <v>7972.7593941210862</v>
          </cell>
          <cell r="AD269" t="str">
            <v>% brut</v>
          </cell>
          <cell r="AE269">
            <v>0</v>
          </cell>
          <cell r="AF269">
            <v>7972.7593941210862</v>
          </cell>
          <cell r="AG269" t="str">
            <v>% brut</v>
          </cell>
          <cell r="AH269">
            <v>0</v>
          </cell>
          <cell r="AI269">
            <v>9623.3192426513579</v>
          </cell>
          <cell r="AJ269" t="str">
            <v>% brut</v>
          </cell>
          <cell r="AK269">
            <v>0</v>
          </cell>
          <cell r="AL269">
            <v>7972.7593941210862</v>
          </cell>
          <cell r="AM269" t="str">
            <v>% brut</v>
          </cell>
          <cell r="AN269">
            <v>0</v>
          </cell>
          <cell r="AO269">
            <v>9623.3192426513579</v>
          </cell>
        </row>
        <row r="270">
          <cell r="A270" t="str">
            <v>CarrosseriePublicité 2</v>
          </cell>
          <cell r="C270"/>
          <cell r="D270"/>
          <cell r="E270">
            <v>0</v>
          </cell>
          <cell r="F270"/>
          <cell r="G270"/>
          <cell r="H270">
            <v>0</v>
          </cell>
          <cell r="I270"/>
          <cell r="J270"/>
          <cell r="K270">
            <v>0</v>
          </cell>
          <cell r="L270"/>
          <cell r="M270"/>
          <cell r="N270">
            <v>0</v>
          </cell>
          <cell r="O270"/>
          <cell r="P270"/>
          <cell r="Q270">
            <v>0</v>
          </cell>
          <cell r="R270"/>
          <cell r="S270"/>
          <cell r="T270">
            <v>0</v>
          </cell>
          <cell r="U270"/>
          <cell r="V270"/>
          <cell r="W270">
            <v>0</v>
          </cell>
          <cell r="X270"/>
          <cell r="Y270"/>
          <cell r="Z270">
            <v>0</v>
          </cell>
          <cell r="AA270"/>
          <cell r="AB270"/>
          <cell r="AC270">
            <v>0</v>
          </cell>
          <cell r="AD270"/>
          <cell r="AE270"/>
          <cell r="AF270">
            <v>0</v>
          </cell>
          <cell r="AG270"/>
          <cell r="AH270"/>
          <cell r="AI270">
            <v>0</v>
          </cell>
          <cell r="AJ270"/>
          <cell r="AK270"/>
          <cell r="AL270">
            <v>0</v>
          </cell>
          <cell r="AM270"/>
          <cell r="AN270"/>
          <cell r="AO270">
            <v>0</v>
          </cell>
        </row>
        <row r="271">
          <cell r="A271" t="str">
            <v>CarrosserieService gratuit 2</v>
          </cell>
          <cell r="C271"/>
          <cell r="D271"/>
          <cell r="E271">
            <v>6740.1357753668517</v>
          </cell>
          <cell r="F271"/>
          <cell r="G271"/>
          <cell r="H271">
            <v>561.67798128057109</v>
          </cell>
          <cell r="I271"/>
          <cell r="J271"/>
          <cell r="K271">
            <v>561.67798128057109</v>
          </cell>
          <cell r="L271"/>
          <cell r="M271"/>
          <cell r="N271">
            <v>561.67798128057109</v>
          </cell>
          <cell r="O271"/>
          <cell r="P271"/>
          <cell r="Q271">
            <v>561.67798128057109</v>
          </cell>
          <cell r="R271"/>
          <cell r="S271"/>
          <cell r="T271">
            <v>561.67798128057109</v>
          </cell>
          <cell r="U271"/>
          <cell r="V271"/>
          <cell r="W271">
            <v>561.67798128057109</v>
          </cell>
          <cell r="X271"/>
          <cell r="Y271"/>
          <cell r="Z271">
            <v>561.67798128057109</v>
          </cell>
          <cell r="AA271"/>
          <cell r="AB271"/>
          <cell r="AC271">
            <v>561.67798128057109</v>
          </cell>
          <cell r="AD271"/>
          <cell r="AE271"/>
          <cell r="AF271">
            <v>561.67798128057109</v>
          </cell>
          <cell r="AG271"/>
          <cell r="AH271"/>
          <cell r="AI271">
            <v>561.67798128057109</v>
          </cell>
          <cell r="AJ271"/>
          <cell r="AK271"/>
          <cell r="AL271">
            <v>561.67798128057109</v>
          </cell>
          <cell r="AM271"/>
          <cell r="AN271"/>
          <cell r="AO271">
            <v>561.67798128057109</v>
          </cell>
        </row>
        <row r="272">
          <cell r="A272" t="str">
            <v>CarrosserieFrais véhicules de cie</v>
          </cell>
          <cell r="C272"/>
          <cell r="D272"/>
          <cell r="E272">
            <v>1494.0432000000001</v>
          </cell>
          <cell r="F272"/>
          <cell r="G272"/>
          <cell r="H272">
            <v>124.50360000000001</v>
          </cell>
          <cell r="I272"/>
          <cell r="J272"/>
          <cell r="K272">
            <v>124.50360000000001</v>
          </cell>
          <cell r="L272"/>
          <cell r="M272"/>
          <cell r="N272">
            <v>124.50360000000001</v>
          </cell>
          <cell r="O272"/>
          <cell r="P272"/>
          <cell r="Q272">
            <v>124.50360000000001</v>
          </cell>
          <cell r="R272"/>
          <cell r="S272"/>
          <cell r="T272">
            <v>124.50360000000001</v>
          </cell>
          <cell r="U272"/>
          <cell r="V272"/>
          <cell r="W272">
            <v>124.50360000000001</v>
          </cell>
          <cell r="X272"/>
          <cell r="Y272"/>
          <cell r="Z272">
            <v>124.50360000000001</v>
          </cell>
          <cell r="AA272"/>
          <cell r="AB272"/>
          <cell r="AC272">
            <v>124.50360000000001</v>
          </cell>
          <cell r="AD272"/>
          <cell r="AE272"/>
          <cell r="AF272">
            <v>124.50360000000001</v>
          </cell>
          <cell r="AG272"/>
          <cell r="AH272"/>
          <cell r="AI272">
            <v>124.50360000000001</v>
          </cell>
          <cell r="AJ272"/>
          <cell r="AK272"/>
          <cell r="AL272">
            <v>124.50360000000001</v>
          </cell>
          <cell r="AM272"/>
          <cell r="AN272"/>
          <cell r="AO272">
            <v>124.50360000000001</v>
          </cell>
        </row>
        <row r="273">
          <cell r="A273" t="str">
            <v>CarrosserieInformatique</v>
          </cell>
          <cell r="C273"/>
          <cell r="D273"/>
          <cell r="E273">
            <v>21046.5</v>
          </cell>
          <cell r="F273"/>
          <cell r="G273"/>
          <cell r="H273">
            <v>2456.5</v>
          </cell>
          <cell r="I273"/>
          <cell r="J273"/>
          <cell r="K273">
            <v>1690</v>
          </cell>
          <cell r="L273"/>
          <cell r="M273"/>
          <cell r="N273">
            <v>1690</v>
          </cell>
          <cell r="O273"/>
          <cell r="P273"/>
          <cell r="Q273">
            <v>1690</v>
          </cell>
          <cell r="R273"/>
          <cell r="S273"/>
          <cell r="T273">
            <v>1690</v>
          </cell>
          <cell r="U273"/>
          <cell r="V273"/>
          <cell r="W273">
            <v>1690</v>
          </cell>
          <cell r="X273"/>
          <cell r="Y273"/>
          <cell r="Z273">
            <v>1690</v>
          </cell>
          <cell r="AA273"/>
          <cell r="AB273"/>
          <cell r="AC273">
            <v>1690</v>
          </cell>
          <cell r="AD273"/>
          <cell r="AE273"/>
          <cell r="AF273">
            <v>1690</v>
          </cell>
          <cell r="AG273"/>
          <cell r="AH273"/>
          <cell r="AI273">
            <v>1690</v>
          </cell>
          <cell r="AJ273"/>
          <cell r="AK273"/>
          <cell r="AL273">
            <v>1690</v>
          </cell>
          <cell r="AM273"/>
          <cell r="AN273"/>
          <cell r="AO273">
            <v>1690</v>
          </cell>
        </row>
        <row r="274">
          <cell r="A274" t="str">
            <v>CarrosserieFrais de déplacement</v>
          </cell>
          <cell r="C274"/>
          <cell r="D274"/>
          <cell r="E274">
            <v>3000</v>
          </cell>
          <cell r="F274"/>
          <cell r="G274"/>
          <cell r="H274">
            <v>250</v>
          </cell>
          <cell r="I274"/>
          <cell r="J274"/>
          <cell r="K274">
            <v>250</v>
          </cell>
          <cell r="L274"/>
          <cell r="M274"/>
          <cell r="N274">
            <v>250</v>
          </cell>
          <cell r="O274"/>
          <cell r="P274"/>
          <cell r="Q274">
            <v>250</v>
          </cell>
          <cell r="R274"/>
          <cell r="S274"/>
          <cell r="T274">
            <v>250</v>
          </cell>
          <cell r="U274"/>
          <cell r="V274"/>
          <cell r="W274">
            <v>250</v>
          </cell>
          <cell r="X274"/>
          <cell r="Y274"/>
          <cell r="Z274">
            <v>250</v>
          </cell>
          <cell r="AA274"/>
          <cell r="AB274"/>
          <cell r="AC274">
            <v>250</v>
          </cell>
          <cell r="AD274"/>
          <cell r="AE274"/>
          <cell r="AF274">
            <v>250</v>
          </cell>
          <cell r="AG274"/>
          <cell r="AH274"/>
          <cell r="AI274">
            <v>250</v>
          </cell>
          <cell r="AJ274"/>
          <cell r="AK274"/>
          <cell r="AL274">
            <v>250</v>
          </cell>
          <cell r="AM274"/>
          <cell r="AN274"/>
          <cell r="AO274">
            <v>250</v>
          </cell>
        </row>
        <row r="275">
          <cell r="A275" t="str">
            <v>CarrosserieServices extérieurs</v>
          </cell>
          <cell r="C275"/>
          <cell r="D275"/>
          <cell r="E275">
            <v>12116.440000000002</v>
          </cell>
          <cell r="F275"/>
          <cell r="G275"/>
          <cell r="H275">
            <v>1213.8700000000001</v>
          </cell>
          <cell r="I275"/>
          <cell r="J275"/>
          <cell r="K275">
            <v>898.87000000000012</v>
          </cell>
          <cell r="L275"/>
          <cell r="M275"/>
          <cell r="N275">
            <v>793.87000000000012</v>
          </cell>
          <cell r="O275"/>
          <cell r="P275"/>
          <cell r="Q275">
            <v>793.87000000000012</v>
          </cell>
          <cell r="R275"/>
          <cell r="S275"/>
          <cell r="T275">
            <v>793.87000000000012</v>
          </cell>
          <cell r="U275"/>
          <cell r="V275"/>
          <cell r="W275">
            <v>1073.8700000000001</v>
          </cell>
          <cell r="X275"/>
          <cell r="Y275"/>
          <cell r="Z275">
            <v>793.87000000000012</v>
          </cell>
          <cell r="AA275"/>
          <cell r="AB275"/>
          <cell r="AC275">
            <v>793.87000000000012</v>
          </cell>
          <cell r="AD275"/>
          <cell r="AE275"/>
          <cell r="AF275">
            <v>793.87000000000012</v>
          </cell>
          <cell r="AG275"/>
          <cell r="AH275"/>
          <cell r="AI275">
            <v>1003.8700000000001</v>
          </cell>
          <cell r="AJ275"/>
          <cell r="AK275"/>
          <cell r="AL275">
            <v>1213.8700000000001</v>
          </cell>
          <cell r="AM275"/>
          <cell r="AN275"/>
          <cell r="AO275">
            <v>1948.8700000000001</v>
          </cell>
        </row>
        <row r="276">
          <cell r="A276" t="str">
            <v>CarrosserieFournitures d'atelier</v>
          </cell>
          <cell r="C276"/>
          <cell r="D276"/>
          <cell r="E276"/>
          <cell r="F276"/>
          <cell r="G276"/>
          <cell r="H276"/>
          <cell r="I276"/>
          <cell r="J276"/>
          <cell r="K276"/>
          <cell r="L276"/>
          <cell r="M276"/>
          <cell r="N276"/>
          <cell r="O276"/>
          <cell r="P276"/>
          <cell r="Q276"/>
          <cell r="R276"/>
          <cell r="S276"/>
          <cell r="T276"/>
          <cell r="U276"/>
          <cell r="V276"/>
          <cell r="W276"/>
          <cell r="X276"/>
          <cell r="Y276"/>
          <cell r="Z276"/>
          <cell r="AA276"/>
          <cell r="AB276"/>
          <cell r="AC276"/>
          <cell r="AD276"/>
          <cell r="AE276"/>
          <cell r="AF276"/>
          <cell r="AG276"/>
          <cell r="AH276"/>
          <cell r="AI276"/>
          <cell r="AJ276"/>
          <cell r="AK276"/>
          <cell r="AL276"/>
          <cell r="AM276"/>
          <cell r="AN276"/>
          <cell r="AO276"/>
        </row>
        <row r="277">
          <cell r="A277" t="str">
            <v>CarrosserieFournitures autres</v>
          </cell>
          <cell r="C277"/>
          <cell r="D277"/>
          <cell r="E277">
            <v>0</v>
          </cell>
          <cell r="F277"/>
          <cell r="G277"/>
          <cell r="H277">
            <v>0</v>
          </cell>
          <cell r="I277"/>
          <cell r="J277"/>
          <cell r="K277">
            <v>0</v>
          </cell>
          <cell r="L277"/>
          <cell r="M277"/>
          <cell r="N277">
            <v>0</v>
          </cell>
          <cell r="O277"/>
          <cell r="P277"/>
          <cell r="Q277">
            <v>0</v>
          </cell>
          <cell r="R277"/>
          <cell r="S277"/>
          <cell r="T277">
            <v>0</v>
          </cell>
          <cell r="U277"/>
          <cell r="V277"/>
          <cell r="W277">
            <v>0</v>
          </cell>
          <cell r="X277"/>
          <cell r="Y277"/>
          <cell r="Z277">
            <v>0</v>
          </cell>
          <cell r="AA277"/>
          <cell r="AB277"/>
          <cell r="AC277">
            <v>0</v>
          </cell>
          <cell r="AD277"/>
          <cell r="AE277"/>
          <cell r="AF277">
            <v>0</v>
          </cell>
          <cell r="AG277"/>
          <cell r="AH277"/>
          <cell r="AI277">
            <v>0</v>
          </cell>
          <cell r="AJ277"/>
          <cell r="AK277"/>
          <cell r="AL277">
            <v>0</v>
          </cell>
          <cell r="AM277"/>
          <cell r="AN277"/>
          <cell r="AO277">
            <v>0</v>
          </cell>
        </row>
        <row r="278">
          <cell r="A278" t="str">
            <v>CarrosserieUniformes</v>
          </cell>
          <cell r="C278"/>
          <cell r="D278"/>
          <cell r="E278">
            <v>0</v>
          </cell>
          <cell r="F278"/>
          <cell r="G278"/>
          <cell r="H278">
            <v>0</v>
          </cell>
          <cell r="I278"/>
          <cell r="J278"/>
          <cell r="K278">
            <v>0</v>
          </cell>
          <cell r="L278"/>
          <cell r="M278"/>
          <cell r="N278">
            <v>0</v>
          </cell>
          <cell r="O278"/>
          <cell r="P278"/>
          <cell r="Q278">
            <v>0</v>
          </cell>
          <cell r="R278"/>
          <cell r="S278"/>
          <cell r="T278">
            <v>0</v>
          </cell>
          <cell r="U278"/>
          <cell r="V278"/>
          <cell r="W278">
            <v>0</v>
          </cell>
          <cell r="X278"/>
          <cell r="Y278"/>
          <cell r="Z278">
            <v>0</v>
          </cell>
          <cell r="AA278"/>
          <cell r="AB278"/>
          <cell r="AC278">
            <v>0</v>
          </cell>
          <cell r="AD278"/>
          <cell r="AE278"/>
          <cell r="AF278">
            <v>0</v>
          </cell>
          <cell r="AG278"/>
          <cell r="AH278"/>
          <cell r="AI278">
            <v>0</v>
          </cell>
          <cell r="AJ278"/>
          <cell r="AK278"/>
          <cell r="AL278">
            <v>0</v>
          </cell>
          <cell r="AM278"/>
          <cell r="AN278"/>
          <cell r="AO278">
            <v>0</v>
          </cell>
        </row>
        <row r="279">
          <cell r="A279" t="str">
            <v>CarrosseriePapeterie</v>
          </cell>
          <cell r="C279"/>
          <cell r="D279"/>
          <cell r="E279">
            <v>1428</v>
          </cell>
          <cell r="F279"/>
          <cell r="G279"/>
          <cell r="H279">
            <v>119</v>
          </cell>
          <cell r="I279"/>
          <cell r="J279"/>
          <cell r="K279">
            <v>119</v>
          </cell>
          <cell r="L279"/>
          <cell r="M279"/>
          <cell r="N279">
            <v>119</v>
          </cell>
          <cell r="O279"/>
          <cell r="P279"/>
          <cell r="Q279">
            <v>119</v>
          </cell>
          <cell r="R279"/>
          <cell r="S279"/>
          <cell r="T279">
            <v>119</v>
          </cell>
          <cell r="U279"/>
          <cell r="V279"/>
          <cell r="W279">
            <v>119</v>
          </cell>
          <cell r="X279"/>
          <cell r="Y279"/>
          <cell r="Z279">
            <v>119</v>
          </cell>
          <cell r="AA279"/>
          <cell r="AB279"/>
          <cell r="AC279">
            <v>119</v>
          </cell>
          <cell r="AD279"/>
          <cell r="AE279"/>
          <cell r="AF279">
            <v>119</v>
          </cell>
          <cell r="AG279"/>
          <cell r="AH279"/>
          <cell r="AI279">
            <v>119</v>
          </cell>
          <cell r="AJ279"/>
          <cell r="AK279"/>
          <cell r="AL279">
            <v>119</v>
          </cell>
          <cell r="AM279"/>
          <cell r="AN279"/>
          <cell r="AO279">
            <v>119</v>
          </cell>
        </row>
        <row r="280">
          <cell r="A280" t="str">
            <v>CarrosserieTéléphone</v>
          </cell>
          <cell r="C280"/>
          <cell r="D280"/>
          <cell r="E280">
            <v>367.5</v>
          </cell>
          <cell r="F280"/>
          <cell r="G280"/>
          <cell r="H280">
            <v>30.625</v>
          </cell>
          <cell r="I280"/>
          <cell r="J280"/>
          <cell r="K280">
            <v>30.625</v>
          </cell>
          <cell r="L280"/>
          <cell r="M280"/>
          <cell r="N280">
            <v>30.625</v>
          </cell>
          <cell r="O280"/>
          <cell r="P280"/>
          <cell r="Q280">
            <v>30.625</v>
          </cell>
          <cell r="R280"/>
          <cell r="S280"/>
          <cell r="T280">
            <v>30.625</v>
          </cell>
          <cell r="U280"/>
          <cell r="V280"/>
          <cell r="W280">
            <v>30.625</v>
          </cell>
          <cell r="X280"/>
          <cell r="Y280"/>
          <cell r="Z280">
            <v>30.625</v>
          </cell>
          <cell r="AA280"/>
          <cell r="AB280"/>
          <cell r="AC280">
            <v>30.625</v>
          </cell>
          <cell r="AD280"/>
          <cell r="AE280"/>
          <cell r="AF280">
            <v>30.625</v>
          </cell>
          <cell r="AG280"/>
          <cell r="AH280"/>
          <cell r="AI280">
            <v>30.625</v>
          </cell>
          <cell r="AJ280"/>
          <cell r="AK280"/>
          <cell r="AL280">
            <v>30.625</v>
          </cell>
          <cell r="AM280"/>
          <cell r="AN280"/>
          <cell r="AO280">
            <v>30.625</v>
          </cell>
        </row>
        <row r="281">
          <cell r="A281" t="str">
            <v>CarrosserieFrais postaux</v>
          </cell>
          <cell r="C281"/>
          <cell r="D281"/>
          <cell r="E281">
            <v>598.29000000000008</v>
          </cell>
          <cell r="F281"/>
          <cell r="G281"/>
          <cell r="H281">
            <v>49.857500000000009</v>
          </cell>
          <cell r="I281"/>
          <cell r="J281"/>
          <cell r="K281">
            <v>49.857500000000009</v>
          </cell>
          <cell r="L281"/>
          <cell r="M281"/>
          <cell r="N281">
            <v>49.857500000000009</v>
          </cell>
          <cell r="O281"/>
          <cell r="P281"/>
          <cell r="Q281">
            <v>49.857500000000009</v>
          </cell>
          <cell r="R281"/>
          <cell r="S281"/>
          <cell r="T281">
            <v>49.857500000000009</v>
          </cell>
          <cell r="U281"/>
          <cell r="V281"/>
          <cell r="W281">
            <v>49.857500000000009</v>
          </cell>
          <cell r="X281"/>
          <cell r="Y281"/>
          <cell r="Z281">
            <v>49.857500000000009</v>
          </cell>
          <cell r="AA281"/>
          <cell r="AB281"/>
          <cell r="AC281">
            <v>49.857500000000009</v>
          </cell>
          <cell r="AD281"/>
          <cell r="AE281"/>
          <cell r="AF281">
            <v>49.857500000000009</v>
          </cell>
          <cell r="AG281"/>
          <cell r="AH281"/>
          <cell r="AI281">
            <v>49.857500000000009</v>
          </cell>
          <cell r="AJ281"/>
          <cell r="AK281"/>
          <cell r="AL281">
            <v>49.857500000000009</v>
          </cell>
          <cell r="AM281"/>
          <cell r="AN281"/>
          <cell r="AO281">
            <v>49.857500000000009</v>
          </cell>
        </row>
        <row r="282">
          <cell r="A282" t="str">
            <v>CarrosserieDivers</v>
          </cell>
          <cell r="C282"/>
          <cell r="D282"/>
          <cell r="E282">
            <v>315.00000000000006</v>
          </cell>
          <cell r="F282"/>
          <cell r="G282"/>
          <cell r="H282">
            <v>26.250000000000004</v>
          </cell>
          <cell r="I282"/>
          <cell r="J282"/>
          <cell r="K282">
            <v>26.250000000000004</v>
          </cell>
          <cell r="L282"/>
          <cell r="M282"/>
          <cell r="N282">
            <v>26.250000000000004</v>
          </cell>
          <cell r="O282"/>
          <cell r="P282"/>
          <cell r="Q282">
            <v>26.250000000000004</v>
          </cell>
          <cell r="R282"/>
          <cell r="S282"/>
          <cell r="T282">
            <v>26.250000000000004</v>
          </cell>
          <cell r="U282"/>
          <cell r="V282"/>
          <cell r="W282">
            <v>26.250000000000004</v>
          </cell>
          <cell r="X282"/>
          <cell r="Y282"/>
          <cell r="Z282">
            <v>26.250000000000004</v>
          </cell>
          <cell r="AA282"/>
          <cell r="AB282"/>
          <cell r="AC282">
            <v>26.250000000000004</v>
          </cell>
          <cell r="AD282"/>
          <cell r="AE282"/>
          <cell r="AF282">
            <v>26.250000000000004</v>
          </cell>
          <cell r="AG282"/>
          <cell r="AH282"/>
          <cell r="AI282">
            <v>26.250000000000004</v>
          </cell>
          <cell r="AJ282"/>
          <cell r="AK282"/>
          <cell r="AL282">
            <v>26.250000000000004</v>
          </cell>
          <cell r="AM282"/>
          <cell r="AN282"/>
          <cell r="AO282">
            <v>26.250000000000004</v>
          </cell>
        </row>
        <row r="283">
          <cell r="A283" t="str">
            <v>CarrosserieFormation</v>
          </cell>
          <cell r="C283"/>
          <cell r="D283"/>
          <cell r="E283">
            <v>2000.0000000000002</v>
          </cell>
          <cell r="F283"/>
          <cell r="G283"/>
          <cell r="H283">
            <v>166.66666666666666</v>
          </cell>
          <cell r="I283"/>
          <cell r="J283"/>
          <cell r="K283">
            <v>166.66666666666666</v>
          </cell>
          <cell r="L283"/>
          <cell r="M283"/>
          <cell r="N283">
            <v>166.66666666666666</v>
          </cell>
          <cell r="O283"/>
          <cell r="P283"/>
          <cell r="Q283">
            <v>166.66666666666666</v>
          </cell>
          <cell r="R283"/>
          <cell r="S283"/>
          <cell r="T283">
            <v>166.66666666666666</v>
          </cell>
          <cell r="U283"/>
          <cell r="V283"/>
          <cell r="W283">
            <v>166.66666666666666</v>
          </cell>
          <cell r="X283"/>
          <cell r="Y283"/>
          <cell r="Z283">
            <v>166.66666666666666</v>
          </cell>
          <cell r="AA283"/>
          <cell r="AB283"/>
          <cell r="AC283">
            <v>166.66666666666666</v>
          </cell>
          <cell r="AD283"/>
          <cell r="AE283"/>
          <cell r="AF283">
            <v>166.66666666666666</v>
          </cell>
          <cell r="AG283"/>
          <cell r="AH283"/>
          <cell r="AI283">
            <v>166.66666666666666</v>
          </cell>
          <cell r="AJ283"/>
          <cell r="AK283"/>
          <cell r="AL283">
            <v>166.66666666666666</v>
          </cell>
          <cell r="AM283"/>
          <cell r="AN283"/>
          <cell r="AO283">
            <v>166.66666666666666</v>
          </cell>
        </row>
        <row r="284">
          <cell r="A284" t="str">
            <v>CarrosserieFrais bancaires</v>
          </cell>
          <cell r="C284"/>
          <cell r="D284"/>
          <cell r="E284">
            <v>2520.0904631579028</v>
          </cell>
          <cell r="F284"/>
          <cell r="G284"/>
          <cell r="H284">
            <v>161.34198666220036</v>
          </cell>
          <cell r="I284"/>
          <cell r="J284"/>
          <cell r="K284">
            <v>163.26887824751336</v>
          </cell>
          <cell r="L284"/>
          <cell r="M284"/>
          <cell r="N284">
            <v>222.75930903184553</v>
          </cell>
          <cell r="O284"/>
          <cell r="P284"/>
          <cell r="Q284">
            <v>236.5452211385186</v>
          </cell>
          <cell r="R284"/>
          <cell r="S284"/>
          <cell r="T284">
            <v>251.80967442186946</v>
          </cell>
          <cell r="U284"/>
          <cell r="V284"/>
          <cell r="W284">
            <v>227.5571123612439</v>
          </cell>
          <cell r="X284"/>
          <cell r="Y284"/>
          <cell r="Z284">
            <v>215.75700630747684</v>
          </cell>
          <cell r="AA284"/>
          <cell r="AB284"/>
          <cell r="AC284">
            <v>209.16801696907714</v>
          </cell>
          <cell r="AD284"/>
          <cell r="AE284"/>
          <cell r="AF284">
            <v>218.14088948703917</v>
          </cell>
          <cell r="AG284"/>
          <cell r="AH284"/>
          <cell r="AI284">
            <v>218.67907649258444</v>
          </cell>
          <cell r="AJ284"/>
          <cell r="AK284"/>
          <cell r="AL284">
            <v>226.03327017549344</v>
          </cell>
          <cell r="AM284"/>
          <cell r="AN284"/>
          <cell r="AO284">
            <v>169.03002186304082</v>
          </cell>
        </row>
        <row r="285">
          <cell r="A285" t="str">
            <v>Carrosserie[...]</v>
          </cell>
          <cell r="C285"/>
          <cell r="D285"/>
          <cell r="E285">
            <v>0</v>
          </cell>
          <cell r="F285"/>
          <cell r="G285"/>
          <cell r="H285"/>
          <cell r="I285"/>
          <cell r="J285"/>
          <cell r="K285"/>
          <cell r="L285"/>
          <cell r="M285"/>
          <cell r="N285"/>
          <cell r="O285"/>
          <cell r="P285"/>
          <cell r="Q285"/>
          <cell r="R285"/>
          <cell r="S285"/>
          <cell r="T285"/>
          <cell r="U285"/>
          <cell r="V285"/>
          <cell r="W285"/>
          <cell r="X285"/>
          <cell r="Y285"/>
          <cell r="Z285"/>
          <cell r="AA285"/>
          <cell r="AB285"/>
          <cell r="AC285"/>
          <cell r="AD285"/>
          <cell r="AE285"/>
          <cell r="AF285"/>
          <cell r="AG285"/>
          <cell r="AH285"/>
          <cell r="AI285"/>
          <cell r="AJ285"/>
          <cell r="AK285"/>
          <cell r="AL285"/>
          <cell r="AM285"/>
          <cell r="AN285"/>
          <cell r="AO285"/>
        </row>
        <row r="286">
          <cell r="A286" t="str">
            <v>Carrosserie[...]</v>
          </cell>
          <cell r="C286"/>
          <cell r="D286"/>
          <cell r="E286">
            <v>0</v>
          </cell>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v>
          </cell>
          <cell r="C287"/>
          <cell r="D287"/>
          <cell r="E287">
            <v>0</v>
          </cell>
          <cell r="F287"/>
          <cell r="G287"/>
          <cell r="H287"/>
          <cell r="I287"/>
          <cell r="J287"/>
          <cell r="K287"/>
          <cell r="L287"/>
          <cell r="M287"/>
          <cell r="N287"/>
          <cell r="O287"/>
          <cell r="P287"/>
          <cell r="Q287"/>
          <cell r="R287"/>
          <cell r="S287"/>
          <cell r="T287"/>
          <cell r="U287"/>
          <cell r="V287"/>
          <cell r="W287"/>
          <cell r="X287"/>
          <cell r="Y287"/>
          <cell r="Z287"/>
          <cell r="AA287"/>
          <cell r="AB287"/>
          <cell r="AC287"/>
          <cell r="AD287"/>
          <cell r="AE287"/>
          <cell r="AF287"/>
          <cell r="AG287"/>
          <cell r="AH287"/>
          <cell r="AI287"/>
          <cell r="AJ287"/>
          <cell r="AK287"/>
          <cell r="AL287"/>
          <cell r="AM287"/>
          <cell r="AN287"/>
          <cell r="AO287"/>
        </row>
        <row r="288">
          <cell r="A288" t="str">
            <v>CarrosserieTOTAL SEMI-FIXES</v>
          </cell>
          <cell r="C288" t="str">
            <v>% brut</v>
          </cell>
          <cell r="D288">
            <v>0</v>
          </cell>
          <cell r="E288">
            <v>51625.999438524763</v>
          </cell>
          <cell r="F288" t="str">
            <v>% brut</v>
          </cell>
          <cell r="G288">
            <v>0</v>
          </cell>
          <cell r="H288">
            <v>5160.2927346094393</v>
          </cell>
          <cell r="I288" t="str">
            <v>% brut</v>
          </cell>
          <cell r="J288">
            <v>0</v>
          </cell>
          <cell r="K288">
            <v>4080.7196261947515</v>
          </cell>
          <cell r="L288" t="str">
            <v>% brut</v>
          </cell>
          <cell r="M288">
            <v>0</v>
          </cell>
          <cell r="N288">
            <v>4035.2100569790837</v>
          </cell>
          <cell r="O288" t="str">
            <v>% brut</v>
          </cell>
          <cell r="P288">
            <v>0</v>
          </cell>
          <cell r="Q288">
            <v>4048.9959690857568</v>
          </cell>
          <cell r="R288" t="str">
            <v>% brut</v>
          </cell>
          <cell r="S288">
            <v>0</v>
          </cell>
          <cell r="T288">
            <v>4064.2604223691078</v>
          </cell>
          <cell r="U288" t="str">
            <v>% brut</v>
          </cell>
          <cell r="V288">
            <v>0</v>
          </cell>
          <cell r="W288">
            <v>4320.0078603084821</v>
          </cell>
          <cell r="X288" t="str">
            <v>% brut</v>
          </cell>
          <cell r="Y288">
            <v>0</v>
          </cell>
          <cell r="Z288">
            <v>4028.2077542547149</v>
          </cell>
          <cell r="AA288" t="str">
            <v>% brut</v>
          </cell>
          <cell r="AB288">
            <v>0</v>
          </cell>
          <cell r="AC288">
            <v>4021.6187649163153</v>
          </cell>
          <cell r="AD288" t="str">
            <v>% brut</v>
          </cell>
          <cell r="AE288">
            <v>0</v>
          </cell>
          <cell r="AF288">
            <v>4030.5916374342773</v>
          </cell>
          <cell r="AG288" t="str">
            <v>% brut</v>
          </cell>
          <cell r="AH288">
            <v>0</v>
          </cell>
          <cell r="AI288">
            <v>4241.1298244398222</v>
          </cell>
          <cell r="AJ288" t="str">
            <v>% brut</v>
          </cell>
          <cell r="AK288">
            <v>0</v>
          </cell>
          <cell r="AL288">
            <v>4458.4840181227319</v>
          </cell>
          <cell r="AM288" t="str">
            <v>% brut</v>
          </cell>
          <cell r="AN288">
            <v>0</v>
          </cell>
          <cell r="AO288">
            <v>5136.4807698102795</v>
          </cell>
        </row>
        <row r="289">
          <cell r="A289" t="str">
            <v>Carrosserie</v>
          </cell>
          <cell r="C289"/>
          <cell r="D289"/>
          <cell r="E289"/>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row>
        <row r="290">
          <cell r="A290" t="str">
            <v>CarrosserieTOTAL DES DÉPENSES</v>
          </cell>
          <cell r="C290" t="str">
            <v>% brut</v>
          </cell>
          <cell r="D290">
            <v>0</v>
          </cell>
          <cell r="E290">
            <v>154107.1720820989</v>
          </cell>
          <cell r="F290" t="str">
            <v>% brut</v>
          </cell>
          <cell r="G290">
            <v>0</v>
          </cell>
          <cell r="H290">
            <v>13338.872648730525</v>
          </cell>
          <cell r="I290" t="str">
            <v>% brut</v>
          </cell>
          <cell r="J290">
            <v>0</v>
          </cell>
          <cell r="K290">
            <v>12053.479020315837</v>
          </cell>
          <cell r="L290" t="str">
            <v>% brut</v>
          </cell>
          <cell r="M290">
            <v>0</v>
          </cell>
          <cell r="N290">
            <v>12007.969451100169</v>
          </cell>
          <cell r="O290" t="str">
            <v>% brut</v>
          </cell>
          <cell r="P290">
            <v>0</v>
          </cell>
          <cell r="Q290">
            <v>12021.755363206843</v>
          </cell>
          <cell r="R290" t="str">
            <v>% brut</v>
          </cell>
          <cell r="S290">
            <v>0</v>
          </cell>
          <cell r="T290">
            <v>13687.579665020465</v>
          </cell>
          <cell r="U290" t="str">
            <v>% brut</v>
          </cell>
          <cell r="V290">
            <v>0</v>
          </cell>
          <cell r="W290">
            <v>12292.767254429567</v>
          </cell>
          <cell r="X290" t="str">
            <v>% brut</v>
          </cell>
          <cell r="Y290">
            <v>0</v>
          </cell>
          <cell r="Z290">
            <v>13651.526996906072</v>
          </cell>
          <cell r="AA290" t="str">
            <v>% brut</v>
          </cell>
          <cell r="AB290">
            <v>0</v>
          </cell>
          <cell r="AC290">
            <v>11994.378159037402</v>
          </cell>
          <cell r="AD290" t="str">
            <v>% brut</v>
          </cell>
          <cell r="AE290">
            <v>0</v>
          </cell>
          <cell r="AF290">
            <v>12003.351031555363</v>
          </cell>
          <cell r="AG290" t="str">
            <v>% brut</v>
          </cell>
          <cell r="AH290">
            <v>0</v>
          </cell>
          <cell r="AI290">
            <v>13864.44906709118</v>
          </cell>
          <cell r="AJ290" t="str">
            <v>% brut</v>
          </cell>
          <cell r="AK290">
            <v>0</v>
          </cell>
          <cell r="AL290">
            <v>12431.243412243817</v>
          </cell>
          <cell r="AM290" t="str">
            <v>% brut</v>
          </cell>
          <cell r="AN290">
            <v>0</v>
          </cell>
          <cell r="AO290">
            <v>14759.800012461637</v>
          </cell>
        </row>
        <row r="291">
          <cell r="A291" t="str">
            <v>Carrosserie</v>
          </cell>
          <cell r="C291"/>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t="str">
            <v>CarrosseriePROFIT DÉPARTEMENTAL</v>
          </cell>
          <cell r="C292"/>
          <cell r="D292"/>
          <cell r="E292">
            <v>18692.827917901101</v>
          </cell>
          <cell r="F292"/>
          <cell r="G292"/>
          <cell r="H292">
            <v>-6426.8726487305248</v>
          </cell>
          <cell r="I292"/>
          <cell r="J292"/>
          <cell r="K292">
            <v>42.520979684162739</v>
          </cell>
          <cell r="L292"/>
          <cell r="M292"/>
          <cell r="N292">
            <v>5272.030548899831</v>
          </cell>
          <cell r="O292"/>
          <cell r="P292"/>
          <cell r="Q292">
            <v>5258.244636793157</v>
          </cell>
          <cell r="R292"/>
          <cell r="S292"/>
          <cell r="T292">
            <v>3592.4203349795353</v>
          </cell>
          <cell r="U292"/>
          <cell r="V292"/>
          <cell r="W292">
            <v>6715.2327455704326</v>
          </cell>
          <cell r="X292"/>
          <cell r="Y292"/>
          <cell r="Z292">
            <v>172.47300309392813</v>
          </cell>
          <cell r="AA292"/>
          <cell r="AB292"/>
          <cell r="AC292">
            <v>3557.6218409625981</v>
          </cell>
          <cell r="AD292"/>
          <cell r="AE292"/>
          <cell r="AF292">
            <v>3548.6489684446369</v>
          </cell>
          <cell r="AG292"/>
          <cell r="AH292"/>
          <cell r="AI292">
            <v>1687.55093290882</v>
          </cell>
          <cell r="AJ292"/>
          <cell r="AK292"/>
          <cell r="AL292">
            <v>1392.7565877561829</v>
          </cell>
          <cell r="AM292"/>
          <cell r="AN292"/>
          <cell r="AO292">
            <v>-6119.8000124616374</v>
          </cell>
        </row>
        <row r="293">
          <cell r="A293"/>
          <cell r="C293"/>
          <cell r="D293"/>
          <cell r="E293"/>
          <cell r="F293"/>
          <cell r="G293"/>
          <cell r="H293"/>
          <cell r="I293"/>
          <cell r="J293"/>
          <cell r="K293"/>
          <cell r="L293"/>
          <cell r="M293"/>
          <cell r="N293"/>
          <cell r="O293"/>
          <cell r="P293"/>
          <cell r="Q293"/>
          <cell r="R293"/>
          <cell r="S293"/>
          <cell r="T293"/>
          <cell r="U293"/>
          <cell r="V293"/>
          <cell r="W293"/>
          <cell r="X293"/>
          <cell r="Y293"/>
          <cell r="Z293"/>
          <cell r="AA293"/>
          <cell r="AB293"/>
          <cell r="AC293"/>
          <cell r="AD293"/>
          <cell r="AE293"/>
          <cell r="AF293"/>
          <cell r="AG293"/>
          <cell r="AH293"/>
          <cell r="AI293"/>
          <cell r="AJ293"/>
          <cell r="AK293"/>
          <cell r="AL293"/>
          <cell r="AM293"/>
          <cell r="AN293"/>
          <cell r="AO293"/>
        </row>
        <row r="294">
          <cell r="A294"/>
          <cell r="C294" t="str">
            <v>Pièces</v>
          </cell>
          <cell r="D294"/>
          <cell r="E294"/>
          <cell r="F294"/>
          <cell r="G294"/>
          <cell r="H294"/>
          <cell r="I294"/>
          <cell r="J294"/>
          <cell r="K294"/>
          <cell r="L294"/>
          <cell r="M294"/>
          <cell r="N294"/>
          <cell r="O294"/>
          <cell r="P294"/>
          <cell r="Q294"/>
          <cell r="R294"/>
          <cell r="S294"/>
          <cell r="T294"/>
          <cell r="U294"/>
          <cell r="V294"/>
          <cell r="W294"/>
          <cell r="X294"/>
          <cell r="Y294"/>
          <cell r="Z294"/>
          <cell r="AA294"/>
          <cell r="AB294"/>
          <cell r="AC294"/>
          <cell r="AD294"/>
          <cell r="AE294"/>
          <cell r="AF294"/>
          <cell r="AG294"/>
          <cell r="AH294"/>
          <cell r="AI294"/>
          <cell r="AJ294"/>
          <cell r="AK294"/>
          <cell r="AL294"/>
          <cell r="AM294"/>
          <cell r="AN294"/>
          <cell r="AO294"/>
        </row>
        <row r="295">
          <cell r="A295"/>
          <cell r="C295"/>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cell r="AD295"/>
          <cell r="AE295"/>
          <cell r="AF295"/>
          <cell r="AG295"/>
          <cell r="AH295"/>
          <cell r="AI295"/>
          <cell r="AJ295"/>
          <cell r="AK295"/>
          <cell r="AL295"/>
          <cell r="AM295"/>
          <cell r="AN295"/>
          <cell r="AO295"/>
        </row>
        <row r="296">
          <cell r="A296"/>
          <cell r="C296">
            <v>2022</v>
          </cell>
          <cell r="D296"/>
          <cell r="E296"/>
          <cell r="F296" t="str">
            <v>Janvier</v>
          </cell>
          <cell r="G296"/>
          <cell r="H296"/>
          <cell r="I296" t="str">
            <v>Février</v>
          </cell>
          <cell r="J296"/>
          <cell r="K296"/>
          <cell r="L296" t="str">
            <v>Mars</v>
          </cell>
          <cell r="M296"/>
          <cell r="N296"/>
          <cell r="O296" t="str">
            <v>Avril</v>
          </cell>
          <cell r="P296"/>
          <cell r="Q296"/>
          <cell r="R296" t="str">
            <v>Mai</v>
          </cell>
          <cell r="S296"/>
          <cell r="T296"/>
          <cell r="U296" t="str">
            <v>Juin</v>
          </cell>
          <cell r="V296"/>
          <cell r="W296"/>
          <cell r="X296" t="str">
            <v>Juillet</v>
          </cell>
          <cell r="Y296"/>
          <cell r="Z296"/>
          <cell r="AA296" t="str">
            <v>Août</v>
          </cell>
          <cell r="AB296"/>
          <cell r="AC296"/>
          <cell r="AD296" t="str">
            <v>Septembre</v>
          </cell>
          <cell r="AE296"/>
          <cell r="AF296"/>
          <cell r="AG296" t="str">
            <v>Octobre</v>
          </cell>
          <cell r="AH296"/>
          <cell r="AI296"/>
          <cell r="AJ296" t="str">
            <v>Novembre</v>
          </cell>
          <cell r="AK296"/>
          <cell r="AL296"/>
          <cell r="AM296" t="str">
            <v>Décembre</v>
          </cell>
          <cell r="AN296"/>
          <cell r="AO296"/>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1190955.4873859996</v>
          </cell>
          <cell r="D298">
            <v>0.35000000000000003</v>
          </cell>
          <cell r="E298">
            <v>416834.4205850999</v>
          </cell>
          <cell r="F298">
            <v>74011.26653147045</v>
          </cell>
          <cell r="G298">
            <v>0.35</v>
          </cell>
          <cell r="H298">
            <v>25903.943286014655</v>
          </cell>
          <cell r="I298">
            <v>66847.808400036345</v>
          </cell>
          <cell r="J298">
            <v>0.35</v>
          </cell>
          <cell r="K298">
            <v>23396.73294001272</v>
          </cell>
          <cell r="L298">
            <v>84563.812897634314</v>
          </cell>
          <cell r="M298">
            <v>0.35</v>
          </cell>
          <cell r="N298">
            <v>29597.334514172009</v>
          </cell>
          <cell r="O298">
            <v>87853.013702772441</v>
          </cell>
          <cell r="P298">
            <v>0.35</v>
          </cell>
          <cell r="Q298">
            <v>30748.554795970351</v>
          </cell>
          <cell r="R298">
            <v>130234.83516829726</v>
          </cell>
          <cell r="S298">
            <v>0.35</v>
          </cell>
          <cell r="T298">
            <v>45582.192308904036</v>
          </cell>
          <cell r="U298">
            <v>95130.384553569646</v>
          </cell>
          <cell r="V298">
            <v>0.35</v>
          </cell>
          <cell r="W298">
            <v>33295.634593749375</v>
          </cell>
          <cell r="X298">
            <v>96068.004417132979</v>
          </cell>
          <cell r="Y298">
            <v>0.35</v>
          </cell>
          <cell r="Z298">
            <v>33623.801545996539</v>
          </cell>
          <cell r="AA298">
            <v>95776.17686930018</v>
          </cell>
          <cell r="AB298">
            <v>0.35</v>
          </cell>
          <cell r="AC298">
            <v>33521.661904255059</v>
          </cell>
          <cell r="AD298">
            <v>95204.295954741217</v>
          </cell>
          <cell r="AE298">
            <v>0.35</v>
          </cell>
          <cell r="AF298">
            <v>33321.503584159422</v>
          </cell>
          <cell r="AG298">
            <v>125494.22101647407</v>
          </cell>
          <cell r="AH298">
            <v>0.35</v>
          </cell>
          <cell r="AI298">
            <v>43922.977355765921</v>
          </cell>
          <cell r="AJ298">
            <v>143887.75404804241</v>
          </cell>
          <cell r="AK298">
            <v>0.35</v>
          </cell>
          <cell r="AL298">
            <v>50360.713916814842</v>
          </cell>
          <cell r="AM298">
            <v>95883.913826528486</v>
          </cell>
          <cell r="AN298">
            <v>0.35</v>
          </cell>
          <cell r="AO298">
            <v>33559.369839284969</v>
          </cell>
        </row>
        <row r="299">
          <cell r="A299" t="str">
            <v>PiècesPièces Ro Carrosserie</v>
          </cell>
          <cell r="C299">
            <v>600000</v>
          </cell>
          <cell r="D299">
            <v>0.23400000000000001</v>
          </cell>
          <cell r="E299">
            <v>140400</v>
          </cell>
          <cell r="F299">
            <v>24000</v>
          </cell>
          <cell r="G299">
            <v>0.23400000000000001</v>
          </cell>
          <cell r="H299">
            <v>5616</v>
          </cell>
          <cell r="I299">
            <v>42000.000000000007</v>
          </cell>
          <cell r="J299">
            <v>0.23400000000000001</v>
          </cell>
          <cell r="K299">
            <v>9828.0000000000018</v>
          </cell>
          <cell r="L299">
            <v>60000</v>
          </cell>
          <cell r="M299">
            <v>0.23400000000000001</v>
          </cell>
          <cell r="N299">
            <v>14040</v>
          </cell>
          <cell r="O299">
            <v>60000</v>
          </cell>
          <cell r="P299">
            <v>0.23400000000000001</v>
          </cell>
          <cell r="Q299">
            <v>14040</v>
          </cell>
          <cell r="R299">
            <v>60000</v>
          </cell>
          <cell r="S299">
            <v>0.23400000000000001</v>
          </cell>
          <cell r="T299">
            <v>14040</v>
          </cell>
          <cell r="U299">
            <v>66000</v>
          </cell>
          <cell r="V299">
            <v>0.23400000000000001</v>
          </cell>
          <cell r="W299">
            <v>15444</v>
          </cell>
          <cell r="X299">
            <v>48000</v>
          </cell>
          <cell r="Y299">
            <v>0.23400000000000001</v>
          </cell>
          <cell r="Z299">
            <v>11232</v>
          </cell>
          <cell r="AA299">
            <v>54000</v>
          </cell>
          <cell r="AB299">
            <v>0.23400000000000001</v>
          </cell>
          <cell r="AC299">
            <v>12636</v>
          </cell>
          <cell r="AD299">
            <v>54000</v>
          </cell>
          <cell r="AE299">
            <v>0.23400000000000001</v>
          </cell>
          <cell r="AF299">
            <v>12636</v>
          </cell>
          <cell r="AG299">
            <v>54000</v>
          </cell>
          <cell r="AH299">
            <v>0.23400000000000001</v>
          </cell>
          <cell r="AI299">
            <v>12636</v>
          </cell>
          <cell r="AJ299">
            <v>48000</v>
          </cell>
          <cell r="AK299">
            <v>0.23400000000000001</v>
          </cell>
          <cell r="AL299">
            <v>11232</v>
          </cell>
          <cell r="AM299">
            <v>30000</v>
          </cell>
          <cell r="AN299">
            <v>0.23400000000000001</v>
          </cell>
          <cell r="AO299">
            <v>7020</v>
          </cell>
        </row>
        <row r="300">
          <cell r="A300" t="str">
            <v>PiècesP/A Garantie</v>
          </cell>
          <cell r="C300">
            <v>699999.99999999988</v>
          </cell>
          <cell r="D300">
            <v>0.23299999999999998</v>
          </cell>
          <cell r="E300">
            <v>163099.99999999997</v>
          </cell>
          <cell r="F300">
            <v>68024.574376139877</v>
          </cell>
          <cell r="G300">
            <v>0.23300000000000001</v>
          </cell>
          <cell r="H300">
            <v>15849.725829640593</v>
          </cell>
          <cell r="I300">
            <v>59281.819703000736</v>
          </cell>
          <cell r="J300">
            <v>0.23300000000000001</v>
          </cell>
          <cell r="K300">
            <v>13812.663990799172</v>
          </cell>
          <cell r="L300">
            <v>99102.372013531742</v>
          </cell>
          <cell r="M300">
            <v>0.23300000000000001</v>
          </cell>
          <cell r="N300">
            <v>23090.852679152897</v>
          </cell>
          <cell r="O300">
            <v>35970.34032981941</v>
          </cell>
          <cell r="P300">
            <v>0.23300000000000004</v>
          </cell>
          <cell r="Q300">
            <v>8381.0892968479238</v>
          </cell>
          <cell r="R300">
            <v>62454.094134900406</v>
          </cell>
          <cell r="S300">
            <v>0.23300000000000001</v>
          </cell>
          <cell r="T300">
            <v>14551.803933431795</v>
          </cell>
          <cell r="U300">
            <v>53728.038902494198</v>
          </cell>
          <cell r="V300">
            <v>0.23300000000000001</v>
          </cell>
          <cell r="W300">
            <v>12518.633064281148</v>
          </cell>
          <cell r="X300">
            <v>69585.891939010864</v>
          </cell>
          <cell r="Y300">
            <v>0.23300000000000001</v>
          </cell>
          <cell r="Z300">
            <v>16213.512821789533</v>
          </cell>
          <cell r="AA300">
            <v>74077.451332687619</v>
          </cell>
          <cell r="AB300">
            <v>0.23300000000000001</v>
          </cell>
          <cell r="AC300">
            <v>17260.046160516216</v>
          </cell>
          <cell r="AD300">
            <v>71141.76688310894</v>
          </cell>
          <cell r="AE300">
            <v>0.23300000000000001</v>
          </cell>
          <cell r="AF300">
            <v>16576.031683764384</v>
          </cell>
          <cell r="AG300">
            <v>69658.074032964229</v>
          </cell>
          <cell r="AH300">
            <v>0.23300000000000001</v>
          </cell>
          <cell r="AI300">
            <v>16230.331249680667</v>
          </cell>
          <cell r="AJ300">
            <v>12978.714991618726</v>
          </cell>
          <cell r="AK300">
            <v>0.23300000000000001</v>
          </cell>
          <cell r="AL300">
            <v>3024.0405930471634</v>
          </cell>
          <cell r="AM300">
            <v>23996.861360723124</v>
          </cell>
          <cell r="AN300">
            <v>0.23300000000000001</v>
          </cell>
          <cell r="AO300">
            <v>5591.2686970484883</v>
          </cell>
        </row>
        <row r="301">
          <cell r="A301" t="str">
            <v>PiècesVentes Internes</v>
          </cell>
          <cell r="C301">
            <v>847898.83640000003</v>
          </cell>
          <cell r="D301">
            <v>0.28499999999999998</v>
          </cell>
          <cell r="E301">
            <v>241651.168374</v>
          </cell>
          <cell r="F301">
            <v>89507.055367521229</v>
          </cell>
          <cell r="G301">
            <v>0.28499999999999998</v>
          </cell>
          <cell r="H301">
            <v>25509.510779743548</v>
          </cell>
          <cell r="I301">
            <v>70653.654628670047</v>
          </cell>
          <cell r="J301">
            <v>0.28499999999999998</v>
          </cell>
          <cell r="K301">
            <v>20136.29156917096</v>
          </cell>
          <cell r="L301">
            <v>52781.755248144254</v>
          </cell>
          <cell r="M301">
            <v>0.28499999999999998</v>
          </cell>
          <cell r="N301">
            <v>15042.800245721111</v>
          </cell>
          <cell r="O301">
            <v>57527.126877117953</v>
          </cell>
          <cell r="P301">
            <v>0.28499999999999998</v>
          </cell>
          <cell r="Q301">
            <v>16395.231159978615</v>
          </cell>
          <cell r="R301">
            <v>63246.978569541316</v>
          </cell>
          <cell r="S301">
            <v>0.28499999999999998</v>
          </cell>
          <cell r="T301">
            <v>18025.388892319272</v>
          </cell>
          <cell r="U301">
            <v>73710.71083941168</v>
          </cell>
          <cell r="V301">
            <v>0.28499999999999998</v>
          </cell>
          <cell r="W301">
            <v>21007.552589232328</v>
          </cell>
          <cell r="X301">
            <v>81982.141147775255</v>
          </cell>
          <cell r="Y301">
            <v>0.28499999999999998</v>
          </cell>
          <cell r="Z301">
            <v>23364.910227115946</v>
          </cell>
          <cell r="AA301">
            <v>78463.348562765474</v>
          </cell>
          <cell r="AB301">
            <v>0.28499999999999998</v>
          </cell>
          <cell r="AC301">
            <v>22362.054340388157</v>
          </cell>
          <cell r="AD301">
            <v>91249.58274872406</v>
          </cell>
          <cell r="AE301">
            <v>0.28499999999999998</v>
          </cell>
          <cell r="AF301">
            <v>26006.131083386354</v>
          </cell>
          <cell r="AG301">
            <v>53153.750349555434</v>
          </cell>
          <cell r="AH301">
            <v>0.28499999999999998</v>
          </cell>
          <cell r="AI301">
            <v>15148.818849623298</v>
          </cell>
          <cell r="AJ301">
            <v>79066.078324308342</v>
          </cell>
          <cell r="AK301">
            <v>0.28499999999999998</v>
          </cell>
          <cell r="AL301">
            <v>22533.832322427876</v>
          </cell>
          <cell r="AM301">
            <v>56556.653736465036</v>
          </cell>
          <cell r="AN301">
            <v>0.28499999999999998</v>
          </cell>
          <cell r="AO301">
            <v>16118.646314892534</v>
          </cell>
        </row>
        <row r="302">
          <cell r="A302" t="str">
            <v>PiècesVentes Détails</v>
          </cell>
          <cell r="C302">
            <v>240194.59590000004</v>
          </cell>
          <cell r="D302">
            <v>0.28499999999999992</v>
          </cell>
          <cell r="E302">
            <v>68455.459831499989</v>
          </cell>
          <cell r="F302">
            <v>12391.363940930109</v>
          </cell>
          <cell r="G302">
            <v>0.28499999999999998</v>
          </cell>
          <cell r="H302">
            <v>3531.5387231650807</v>
          </cell>
          <cell r="I302">
            <v>20512.474226859587</v>
          </cell>
          <cell r="J302">
            <v>0.28499999999999998</v>
          </cell>
          <cell r="K302">
            <v>5846.0551546549823</v>
          </cell>
          <cell r="L302">
            <v>14520.602905241512</v>
          </cell>
          <cell r="M302">
            <v>0.28499999999999992</v>
          </cell>
          <cell r="N302">
            <v>4138.3718279938303</v>
          </cell>
          <cell r="O302">
            <v>20488.566914240866</v>
          </cell>
          <cell r="P302">
            <v>0.28499999999999998</v>
          </cell>
          <cell r="Q302">
            <v>5839.2415705586463</v>
          </cell>
          <cell r="R302">
            <v>24265.544880870733</v>
          </cell>
          <cell r="S302">
            <v>0.28499999999999998</v>
          </cell>
          <cell r="T302">
            <v>6915.6802910481583</v>
          </cell>
          <cell r="U302">
            <v>19593.493089571763</v>
          </cell>
          <cell r="V302">
            <v>0.28499999999999998</v>
          </cell>
          <cell r="W302">
            <v>5584.1455305279515</v>
          </cell>
          <cell r="X302">
            <v>16976.693761963077</v>
          </cell>
          <cell r="Y302">
            <v>0.28499999999999998</v>
          </cell>
          <cell r="Z302">
            <v>4838.3577221594769</v>
          </cell>
          <cell r="AA302">
            <v>16018.10434355277</v>
          </cell>
          <cell r="AB302">
            <v>0.28499999999999998</v>
          </cell>
          <cell r="AC302">
            <v>4565.1597379125387</v>
          </cell>
          <cell r="AD302">
            <v>27584.326314722384</v>
          </cell>
          <cell r="AE302">
            <v>0.28499999999999998</v>
          </cell>
          <cell r="AF302">
            <v>7861.532999695879</v>
          </cell>
          <cell r="AG302">
            <v>22918.841755441816</v>
          </cell>
          <cell r="AH302">
            <v>0.28499999999999998</v>
          </cell>
          <cell r="AI302">
            <v>6531.8699003009169</v>
          </cell>
          <cell r="AJ302">
            <v>30309.759953256169</v>
          </cell>
          <cell r="AK302">
            <v>0.28499999999999998</v>
          </cell>
          <cell r="AL302">
            <v>8638.2815866780074</v>
          </cell>
          <cell r="AM302">
            <v>14614.823813349216</v>
          </cell>
          <cell r="AN302">
            <v>0.28499999999999998</v>
          </cell>
          <cell r="AO302">
            <v>4165.224786804526</v>
          </cell>
        </row>
        <row r="303">
          <cell r="A303" t="str">
            <v>PiècesVentes de Gros</v>
          </cell>
          <cell r="C303">
            <v>1995000.0000000009</v>
          </cell>
          <cell r="D303">
            <v>0.13499999999999995</v>
          </cell>
          <cell r="E303">
            <v>269325.00000000006</v>
          </cell>
          <cell r="F303">
            <v>168485.73491354403</v>
          </cell>
          <cell r="G303">
            <v>0.13500000000000001</v>
          </cell>
          <cell r="H303">
            <v>22745.574213328444</v>
          </cell>
          <cell r="I303">
            <v>169290.82542283507</v>
          </cell>
          <cell r="J303">
            <v>0.13500000000000001</v>
          </cell>
          <cell r="K303">
            <v>22854.261432082734</v>
          </cell>
          <cell r="L303">
            <v>186966.86885141459</v>
          </cell>
          <cell r="M303">
            <v>0.13500000000000001</v>
          </cell>
          <cell r="N303">
            <v>25240.52729494097</v>
          </cell>
          <cell r="O303">
            <v>157937.65595679815</v>
          </cell>
          <cell r="P303">
            <v>0.13500000000000001</v>
          </cell>
          <cell r="Q303">
            <v>21321.583554167752</v>
          </cell>
          <cell r="R303">
            <v>167213.33183495706</v>
          </cell>
          <cell r="S303">
            <v>0.13500000000000001</v>
          </cell>
          <cell r="T303">
            <v>22573.799797719206</v>
          </cell>
          <cell r="U303">
            <v>139799.21392875223</v>
          </cell>
          <cell r="V303">
            <v>0.13500000000000001</v>
          </cell>
          <cell r="W303">
            <v>18872.893880381551</v>
          </cell>
          <cell r="X303">
            <v>158824.7935810585</v>
          </cell>
          <cell r="Y303">
            <v>0.13500000000000001</v>
          </cell>
          <cell r="Z303">
            <v>21441.347133442898</v>
          </cell>
          <cell r="AA303">
            <v>169896.08683666837</v>
          </cell>
          <cell r="AB303">
            <v>0.13500000000000001</v>
          </cell>
          <cell r="AC303">
            <v>22935.971722950231</v>
          </cell>
          <cell r="AD303">
            <v>164507.41219210852</v>
          </cell>
          <cell r="AE303">
            <v>0.13500000000000001</v>
          </cell>
          <cell r="AF303">
            <v>22208.500645934651</v>
          </cell>
          <cell r="AG303">
            <v>194290.23388437086</v>
          </cell>
          <cell r="AH303">
            <v>0.13500000000000001</v>
          </cell>
          <cell r="AI303">
            <v>26229.181574390066</v>
          </cell>
          <cell r="AJ303">
            <v>164648.24810037587</v>
          </cell>
          <cell r="AK303">
            <v>0.13500000000000001</v>
          </cell>
          <cell r="AL303">
            <v>22227.513493550745</v>
          </cell>
          <cell r="AM303">
            <v>153139.5944971171</v>
          </cell>
          <cell r="AN303">
            <v>0.13500000000000001</v>
          </cell>
          <cell r="AO303">
            <v>20673.84525711081</v>
          </cell>
        </row>
        <row r="304">
          <cell r="A304" t="str">
            <v>Pièces[...]</v>
          </cell>
          <cell r="C304">
            <v>0</v>
          </cell>
          <cell r="D304">
            <v>0</v>
          </cell>
          <cell r="E304">
            <v>0</v>
          </cell>
          <cell r="F304"/>
          <cell r="G304">
            <v>0</v>
          </cell>
          <cell r="H304"/>
          <cell r="I304"/>
          <cell r="J304">
            <v>0</v>
          </cell>
          <cell r="K304"/>
          <cell r="L304"/>
          <cell r="M304">
            <v>0</v>
          </cell>
          <cell r="N304"/>
          <cell r="O304"/>
          <cell r="P304">
            <v>0</v>
          </cell>
          <cell r="Q304"/>
          <cell r="R304"/>
          <cell r="S304">
            <v>0</v>
          </cell>
          <cell r="T304"/>
          <cell r="U304"/>
          <cell r="V304">
            <v>0</v>
          </cell>
          <cell r="W304"/>
          <cell r="X304"/>
          <cell r="Y304">
            <v>0</v>
          </cell>
          <cell r="Z304"/>
          <cell r="AA304"/>
          <cell r="AB304">
            <v>0</v>
          </cell>
          <cell r="AC304"/>
          <cell r="AD304"/>
          <cell r="AE304">
            <v>0</v>
          </cell>
          <cell r="AF304"/>
          <cell r="AG304"/>
          <cell r="AH304">
            <v>0</v>
          </cell>
          <cell r="AI304"/>
          <cell r="AJ304"/>
          <cell r="AK304">
            <v>0</v>
          </cell>
          <cell r="AL304"/>
          <cell r="AM304"/>
          <cell r="AN304">
            <v>0</v>
          </cell>
          <cell r="AO304"/>
        </row>
        <row r="305">
          <cell r="A305" t="str">
            <v>PiècesEscomptes</v>
          </cell>
          <cell r="C305">
            <v>0</v>
          </cell>
          <cell r="D305">
            <v>0</v>
          </cell>
          <cell r="E305">
            <v>178036.684875604</v>
          </cell>
          <cell r="F305"/>
          <cell r="G305">
            <v>0</v>
          </cell>
          <cell r="H305">
            <v>6109.8799318144784</v>
          </cell>
          <cell r="I305"/>
          <cell r="J305">
            <v>0</v>
          </cell>
          <cell r="K305">
            <v>6000.2121533396248</v>
          </cell>
          <cell r="L305"/>
          <cell r="M305">
            <v>0</v>
          </cell>
          <cell r="N305">
            <v>31971.095766823528</v>
          </cell>
          <cell r="O305"/>
          <cell r="P305">
            <v>0</v>
          </cell>
          <cell r="Q305">
            <v>5876.8738529304828</v>
          </cell>
          <cell r="R305"/>
          <cell r="S305">
            <v>0</v>
          </cell>
          <cell r="T305">
            <v>7103.8069842399327</v>
          </cell>
          <cell r="U305"/>
          <cell r="V305">
            <v>0</v>
          </cell>
          <cell r="W305">
            <v>31271.465778393191</v>
          </cell>
          <cell r="X305"/>
          <cell r="Y305">
            <v>0</v>
          </cell>
          <cell r="Z305">
            <v>6600.125347857168</v>
          </cell>
          <cell r="AA305"/>
          <cell r="AB305">
            <v>0</v>
          </cell>
          <cell r="AC305">
            <v>6835.2363512296415</v>
          </cell>
          <cell r="AD305"/>
          <cell r="AE305">
            <v>0</v>
          </cell>
          <cell r="AF305">
            <v>32051.623377307671</v>
          </cell>
          <cell r="AG305"/>
          <cell r="AH305">
            <v>0</v>
          </cell>
          <cell r="AI305">
            <v>7273.2116945432881</v>
          </cell>
          <cell r="AJ305"/>
          <cell r="AK305">
            <v>0</v>
          </cell>
          <cell r="AL305">
            <v>6704.4677758464204</v>
          </cell>
          <cell r="AM305"/>
          <cell r="AN305">
            <v>0</v>
          </cell>
          <cell r="AO305">
            <v>30238.685861278562</v>
          </cell>
        </row>
        <row r="306">
          <cell r="A306" t="str">
            <v>PiècesRectif. Inventaire</v>
          </cell>
          <cell r="C306">
            <v>0</v>
          </cell>
          <cell r="D306">
            <v>0</v>
          </cell>
          <cell r="E306">
            <v>0</v>
          </cell>
          <cell r="F306"/>
          <cell r="G306">
            <v>0</v>
          </cell>
          <cell r="H306">
            <v>0</v>
          </cell>
          <cell r="I306"/>
          <cell r="J306">
            <v>0</v>
          </cell>
          <cell r="K306">
            <v>0</v>
          </cell>
          <cell r="L306"/>
          <cell r="M306">
            <v>0</v>
          </cell>
          <cell r="N306">
            <v>0</v>
          </cell>
          <cell r="O306"/>
          <cell r="P306">
            <v>0</v>
          </cell>
          <cell r="Q306">
            <v>0</v>
          </cell>
          <cell r="R306"/>
          <cell r="S306">
            <v>0</v>
          </cell>
          <cell r="T306">
            <v>0</v>
          </cell>
          <cell r="U306"/>
          <cell r="V306">
            <v>0</v>
          </cell>
          <cell r="W306">
            <v>0</v>
          </cell>
          <cell r="X306"/>
          <cell r="Y306">
            <v>0</v>
          </cell>
          <cell r="Z306">
            <v>0</v>
          </cell>
          <cell r="AA306"/>
          <cell r="AB306">
            <v>0</v>
          </cell>
          <cell r="AC306">
            <v>0</v>
          </cell>
          <cell r="AD306"/>
          <cell r="AE306">
            <v>0</v>
          </cell>
          <cell r="AF306">
            <v>0</v>
          </cell>
          <cell r="AG306"/>
          <cell r="AH306">
            <v>0</v>
          </cell>
          <cell r="AI306">
            <v>0</v>
          </cell>
          <cell r="AJ306"/>
          <cell r="AK306">
            <v>0</v>
          </cell>
          <cell r="AL306">
            <v>0</v>
          </cell>
          <cell r="AM306"/>
          <cell r="AN306">
            <v>0</v>
          </cell>
          <cell r="AO306">
            <v>0</v>
          </cell>
        </row>
        <row r="307">
          <cell r="A307" t="str">
            <v>PiècesSous-total Pièces</v>
          </cell>
          <cell r="C307">
            <v>5574048.9196860008</v>
          </cell>
          <cell r="D307">
            <v>0.26512195263428939</v>
          </cell>
          <cell r="E307">
            <v>1477802.7336662039</v>
          </cell>
          <cell r="F307">
            <v>436419.9951296057</v>
          </cell>
          <cell r="G307">
            <v>0.24120382644806501</v>
          </cell>
          <cell r="H307">
            <v>105266.1727637068</v>
          </cell>
          <cell r="I307">
            <v>428586.58238140179</v>
          </cell>
          <cell r="J307">
            <v>0.23769810215244144</v>
          </cell>
          <cell r="K307">
            <v>101874.2172400602</v>
          </cell>
          <cell r="L307">
            <v>497935.41191596643</v>
          </cell>
          <cell r="M307">
            <v>0.28742880884510785</v>
          </cell>
          <cell r="N307">
            <v>143120.98232880436</v>
          </cell>
          <cell r="O307">
            <v>419776.70378074882</v>
          </cell>
          <cell r="P307">
            <v>0.24442179212509024</v>
          </cell>
          <cell r="Q307">
            <v>102602.57423045377</v>
          </cell>
          <cell r="R307">
            <v>507414.78458856675</v>
          </cell>
          <cell r="S307">
            <v>0.2538212841237823</v>
          </cell>
          <cell r="T307">
            <v>128792.6722076624</v>
          </cell>
          <cell r="U307">
            <v>447961.84131379955</v>
          </cell>
          <cell r="V307">
            <v>0.30804928614421834</v>
          </cell>
          <cell r="W307">
            <v>137994.32543656556</v>
          </cell>
          <cell r="X307">
            <v>471437.52484694065</v>
          </cell>
          <cell r="Y307">
            <v>0.24884326897068568</v>
          </cell>
          <cell r="Z307">
            <v>117314.05479836157</v>
          </cell>
          <cell r="AA307">
            <v>488231.16794497444</v>
          </cell>
          <cell r="AB307">
            <v>0.24602306879103097</v>
          </cell>
          <cell r="AC307">
            <v>120116.13021725185</v>
          </cell>
          <cell r="AD307">
            <v>503687.3840934051</v>
          </cell>
          <cell r="AE307">
            <v>0.29911673020245694</v>
          </cell>
          <cell r="AF307">
            <v>150661.32337424834</v>
          </cell>
          <cell r="AG307">
            <v>519515.12103880639</v>
          </cell>
          <cell r="AH307">
            <v>0.24633044437362003</v>
          </cell>
          <cell r="AI307">
            <v>127972.39062430417</v>
          </cell>
          <cell r="AJ307">
            <v>478890.55541760154</v>
          </cell>
          <cell r="AK307">
            <v>0.26043706286837526</v>
          </cell>
          <cell r="AL307">
            <v>124720.84968836504</v>
          </cell>
          <cell r="AM307">
            <v>374191.84723418299</v>
          </cell>
          <cell r="AN307">
            <v>0.31365472450544141</v>
          </cell>
          <cell r="AO307">
            <v>117367.04075641988</v>
          </cell>
        </row>
        <row r="308">
          <cell r="A308" t="str">
            <v>Pièces</v>
          </cell>
          <cell r="C308"/>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cell r="AD308"/>
          <cell r="AE308"/>
          <cell r="AF308"/>
          <cell r="AG308"/>
          <cell r="AH308"/>
          <cell r="AI308"/>
          <cell r="AJ308"/>
          <cell r="AK308"/>
          <cell r="AL308"/>
          <cell r="AM308"/>
          <cell r="AN308"/>
          <cell r="AO308"/>
        </row>
        <row r="309">
          <cell r="A309" t="str">
            <v>Pièces</v>
          </cell>
          <cell r="C309"/>
          <cell r="D309"/>
          <cell r="E309"/>
          <cell r="F309"/>
          <cell r="G309"/>
          <cell r="H309"/>
          <cell r="I309"/>
          <cell r="J309"/>
          <cell r="K309"/>
          <cell r="L309"/>
          <cell r="M309"/>
          <cell r="N309"/>
          <cell r="O309"/>
          <cell r="P309"/>
          <cell r="Q309"/>
          <cell r="R309"/>
          <cell r="S309"/>
          <cell r="T309"/>
          <cell r="U309"/>
          <cell r="V309"/>
          <cell r="W309"/>
          <cell r="X309"/>
          <cell r="Y309"/>
          <cell r="Z309"/>
          <cell r="AA309"/>
          <cell r="AB309"/>
          <cell r="AC309"/>
          <cell r="AD309"/>
          <cell r="AE309"/>
          <cell r="AF309"/>
          <cell r="AG309"/>
          <cell r="AH309"/>
          <cell r="AI309"/>
          <cell r="AJ309"/>
          <cell r="AK309"/>
          <cell r="AL309"/>
          <cell r="AM309"/>
          <cell r="AN309"/>
          <cell r="AO309"/>
        </row>
        <row r="310">
          <cell r="A310" t="str">
            <v>PiècesVentes Pneus</v>
          </cell>
          <cell r="C310">
            <v>630000.00000000012</v>
          </cell>
          <cell r="D310">
            <v>0.17100000000000004</v>
          </cell>
          <cell r="E310">
            <v>107730.00000000004</v>
          </cell>
          <cell r="F310">
            <v>55375.44738351593</v>
          </cell>
          <cell r="G310">
            <v>0.17100000000000001</v>
          </cell>
          <cell r="H310">
            <v>9469.2015025812252</v>
          </cell>
          <cell r="I310">
            <v>50864.656595468507</v>
          </cell>
          <cell r="J310">
            <v>0.17100000000000004</v>
          </cell>
          <cell r="K310">
            <v>8697.8562778251162</v>
          </cell>
          <cell r="L310">
            <v>29677.516171196814</v>
          </cell>
          <cell r="M310">
            <v>0.17100000000000001</v>
          </cell>
          <cell r="N310">
            <v>5074.8552652746557</v>
          </cell>
          <cell r="O310">
            <v>43383.723470255907</v>
          </cell>
          <cell r="P310">
            <v>0.17100000000000001</v>
          </cell>
          <cell r="Q310">
            <v>7418.6167134137604</v>
          </cell>
          <cell r="R310">
            <v>42328.301497948501</v>
          </cell>
          <cell r="S310">
            <v>0.17100000000000001</v>
          </cell>
          <cell r="T310">
            <v>7238.1395561491945</v>
          </cell>
          <cell r="U310">
            <v>29059.506276554464</v>
          </cell>
          <cell r="V310">
            <v>0.17100000000000001</v>
          </cell>
          <cell r="W310">
            <v>4969.1755732908141</v>
          </cell>
          <cell r="X310">
            <v>33620.760948270363</v>
          </cell>
          <cell r="Y310">
            <v>0.17100000000000001</v>
          </cell>
          <cell r="Z310">
            <v>5749.1501221542321</v>
          </cell>
          <cell r="AA310">
            <v>24922.230701825261</v>
          </cell>
          <cell r="AB310">
            <v>0.17100000000000004</v>
          </cell>
          <cell r="AC310">
            <v>4261.7014500121204</v>
          </cell>
          <cell r="AD310">
            <v>41940.02340793718</v>
          </cell>
          <cell r="AE310">
            <v>0.17100000000000001</v>
          </cell>
          <cell r="AF310">
            <v>7171.7440027572584</v>
          </cell>
          <cell r="AG310">
            <v>70495.767135878719</v>
          </cell>
          <cell r="AH310">
            <v>0.17100000000000001</v>
          </cell>
          <cell r="AI310">
            <v>12054.776180235262</v>
          </cell>
          <cell r="AJ310">
            <v>149015.50826974577</v>
          </cell>
          <cell r="AK310">
            <v>0.17100000000000001</v>
          </cell>
          <cell r="AL310">
            <v>25481.651914126527</v>
          </cell>
          <cell r="AM310">
            <v>59316.558141402675</v>
          </cell>
          <cell r="AN310">
            <v>0.17100000000000001</v>
          </cell>
          <cell r="AO310">
            <v>10143.131442179858</v>
          </cell>
        </row>
        <row r="311">
          <cell r="A311" t="str">
            <v>PiècesHuiles et Graisse</v>
          </cell>
          <cell r="C311">
            <v>270000.00000000012</v>
          </cell>
          <cell r="D311">
            <v>0.27</v>
          </cell>
          <cell r="E311">
            <v>72900.000000000029</v>
          </cell>
          <cell r="F311">
            <v>15373.482976712596</v>
          </cell>
          <cell r="G311">
            <v>0.27</v>
          </cell>
          <cell r="H311">
            <v>4150.840403712401</v>
          </cell>
          <cell r="I311">
            <v>15134.328915612145</v>
          </cell>
          <cell r="J311">
            <v>0.27</v>
          </cell>
          <cell r="K311">
            <v>4086.2688072152791</v>
          </cell>
          <cell r="L311">
            <v>15724.817502717535</v>
          </cell>
          <cell r="M311">
            <v>0.27</v>
          </cell>
          <cell r="N311">
            <v>4245.7007257337345</v>
          </cell>
          <cell r="O311">
            <v>25647.120600892886</v>
          </cell>
          <cell r="P311">
            <v>0.27</v>
          </cell>
          <cell r="Q311">
            <v>6924.7225622410797</v>
          </cell>
          <cell r="R311">
            <v>28145.604589789898</v>
          </cell>
          <cell r="S311">
            <v>0.27</v>
          </cell>
          <cell r="T311">
            <v>7599.3132392432735</v>
          </cell>
          <cell r="U311">
            <v>19929.102238857264</v>
          </cell>
          <cell r="V311">
            <v>0.27</v>
          </cell>
          <cell r="W311">
            <v>5380.8576044914616</v>
          </cell>
          <cell r="X311">
            <v>24023.989005338593</v>
          </cell>
          <cell r="Y311">
            <v>0.27</v>
          </cell>
          <cell r="Z311">
            <v>6486.4770314414209</v>
          </cell>
          <cell r="AA311">
            <v>20751.75585859987</v>
          </cell>
          <cell r="AB311">
            <v>0.27</v>
          </cell>
          <cell r="AC311">
            <v>5602.9740818219652</v>
          </cell>
          <cell r="AD311">
            <v>22319.050175815202</v>
          </cell>
          <cell r="AE311">
            <v>0.27</v>
          </cell>
          <cell r="AF311">
            <v>6026.1435474701047</v>
          </cell>
          <cell r="AG311">
            <v>26250.566059800756</v>
          </cell>
          <cell r="AH311">
            <v>0.27</v>
          </cell>
          <cell r="AI311">
            <v>7087.6528361462042</v>
          </cell>
          <cell r="AJ311">
            <v>35095.565695526893</v>
          </cell>
          <cell r="AK311">
            <v>0.27</v>
          </cell>
          <cell r="AL311">
            <v>9475.8027377922626</v>
          </cell>
          <cell r="AM311">
            <v>21604.616380336432</v>
          </cell>
          <cell r="AN311">
            <v>0.27</v>
          </cell>
          <cell r="AO311">
            <v>5833.2464226908369</v>
          </cell>
        </row>
        <row r="312">
          <cell r="A312" t="str">
            <v>PiècesSous-total Pièces et Acc.</v>
          </cell>
          <cell r="C312">
            <v>6474048.9196860008</v>
          </cell>
          <cell r="D312">
            <v>0.25616623449095594</v>
          </cell>
          <cell r="E312">
            <v>1658432.7336662039</v>
          </cell>
          <cell r="F312">
            <v>507168.92548983422</v>
          </cell>
          <cell r="G312">
            <v>0.23441147257824926</v>
          </cell>
          <cell r="H312">
            <v>118886.21467000042</v>
          </cell>
          <cell r="I312">
            <v>494585.56789248245</v>
          </cell>
          <cell r="J312">
            <v>0.23182710893421396</v>
          </cell>
          <cell r="K312">
            <v>114658.3423251006</v>
          </cell>
          <cell r="L312">
            <v>543337.74558988074</v>
          </cell>
          <cell r="M312">
            <v>0.28056497005249076</v>
          </cell>
          <cell r="N312">
            <v>152441.53831981274</v>
          </cell>
          <cell r="O312">
            <v>488807.5478518976</v>
          </cell>
          <cell r="P312">
            <v>0.23924735618350501</v>
          </cell>
          <cell r="Q312">
            <v>116945.91350610861</v>
          </cell>
          <cell r="R312">
            <v>577888.69067630509</v>
          </cell>
          <cell r="S312">
            <v>0.24854288952248577</v>
          </cell>
          <cell r="T312">
            <v>143630.12500305485</v>
          </cell>
          <cell r="U312">
            <v>496950.44982921128</v>
          </cell>
          <cell r="V312">
            <v>0.29850935574226739</v>
          </cell>
          <cell r="W312">
            <v>148344.35861434785</v>
          </cell>
          <cell r="X312">
            <v>529082.27480054961</v>
          </cell>
          <cell r="Y312">
            <v>0.24485734662117364</v>
          </cell>
          <cell r="Z312">
            <v>129549.68195195722</v>
          </cell>
          <cell r="AA312">
            <v>533905.15450539964</v>
          </cell>
          <cell r="AB312">
            <v>0.24345298907911439</v>
          </cell>
          <cell r="AC312">
            <v>129980.80574908594</v>
          </cell>
          <cell r="AD312">
            <v>567946.45767715748</v>
          </cell>
          <cell r="AE312">
            <v>0.288511722732884</v>
          </cell>
          <cell r="AF312">
            <v>163859.21092447569</v>
          </cell>
          <cell r="AG312">
            <v>616261.45423448586</v>
          </cell>
          <cell r="AH312">
            <v>0.23872143654259587</v>
          </cell>
          <cell r="AI312">
            <v>147114.81964068566</v>
          </cell>
          <cell r="AJ312">
            <v>663001.62938287423</v>
          </cell>
          <cell r="AK312">
            <v>0.24084149610448669</v>
          </cell>
          <cell r="AL312">
            <v>159678.30434028382</v>
          </cell>
          <cell r="AM312">
            <v>455113.02175592212</v>
          </cell>
          <cell r="AN312">
            <v>0.29298968002898168</v>
          </cell>
          <cell r="AO312">
            <v>133343.41862129059</v>
          </cell>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v>
          </cell>
          <cell r="C314"/>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cell r="AD314"/>
          <cell r="AE314"/>
          <cell r="AF314"/>
          <cell r="AG314"/>
          <cell r="AH314"/>
          <cell r="AI314"/>
          <cell r="AJ314"/>
          <cell r="AK314"/>
          <cell r="AL314"/>
          <cell r="AM314"/>
          <cell r="AN314"/>
          <cell r="AO314"/>
        </row>
        <row r="315">
          <cell r="A315" t="str">
            <v>PiècesAutostock</v>
          </cell>
          <cell r="C315">
            <v>0</v>
          </cell>
          <cell r="D315">
            <v>0</v>
          </cell>
          <cell r="E315">
            <v>0</v>
          </cell>
          <cell r="F315"/>
          <cell r="G315">
            <v>0</v>
          </cell>
          <cell r="H315"/>
          <cell r="I315"/>
          <cell r="J315">
            <v>0</v>
          </cell>
          <cell r="K315"/>
          <cell r="L315"/>
          <cell r="M315">
            <v>0</v>
          </cell>
          <cell r="N315"/>
          <cell r="O315"/>
          <cell r="P315">
            <v>0</v>
          </cell>
          <cell r="Q315"/>
          <cell r="R315"/>
          <cell r="S315">
            <v>0</v>
          </cell>
          <cell r="T315"/>
          <cell r="U315"/>
          <cell r="V315">
            <v>0</v>
          </cell>
          <cell r="W315"/>
          <cell r="X315"/>
          <cell r="Y315">
            <v>0</v>
          </cell>
          <cell r="Z315"/>
          <cell r="AA315"/>
          <cell r="AB315">
            <v>0</v>
          </cell>
          <cell r="AC315"/>
          <cell r="AD315"/>
          <cell r="AE315">
            <v>0</v>
          </cell>
          <cell r="AF315"/>
          <cell r="AG315"/>
          <cell r="AH315">
            <v>0</v>
          </cell>
          <cell r="AI315"/>
          <cell r="AJ315"/>
          <cell r="AK315">
            <v>0</v>
          </cell>
          <cell r="AL315"/>
          <cell r="AM315"/>
          <cell r="AN315">
            <v>0</v>
          </cell>
          <cell r="AO315"/>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PiècesTotal Dépt. Pièces</v>
          </cell>
          <cell r="C317">
            <v>6474048.9196860008</v>
          </cell>
          <cell r="D317">
            <v>0.25616623449095594</v>
          </cell>
          <cell r="E317">
            <v>1658432.7336662039</v>
          </cell>
          <cell r="F317">
            <v>507168.92548983422</v>
          </cell>
          <cell r="G317">
            <v>0.23441147257824926</v>
          </cell>
          <cell r="H317">
            <v>118886.21467000042</v>
          </cell>
          <cell r="I317">
            <v>494585.56789248245</v>
          </cell>
          <cell r="J317">
            <v>0.23182710893421396</v>
          </cell>
          <cell r="K317">
            <v>114658.3423251006</v>
          </cell>
          <cell r="L317">
            <v>543337.74558988074</v>
          </cell>
          <cell r="M317">
            <v>0.28056497005249076</v>
          </cell>
          <cell r="N317">
            <v>152441.53831981274</v>
          </cell>
          <cell r="O317">
            <v>488807.5478518976</v>
          </cell>
          <cell r="P317">
            <v>0.23924735618350501</v>
          </cell>
          <cell r="Q317">
            <v>116945.91350610861</v>
          </cell>
          <cell r="R317">
            <v>577888.69067630509</v>
          </cell>
          <cell r="S317">
            <v>0.24854288952248577</v>
          </cell>
          <cell r="T317">
            <v>143630.12500305485</v>
          </cell>
          <cell r="U317">
            <v>496950.44982921128</v>
          </cell>
          <cell r="V317">
            <v>0.29850935574226739</v>
          </cell>
          <cell r="W317">
            <v>148344.35861434785</v>
          </cell>
          <cell r="X317">
            <v>529082.27480054961</v>
          </cell>
          <cell r="Y317">
            <v>0.24485734662117364</v>
          </cell>
          <cell r="Z317">
            <v>129549.68195195722</v>
          </cell>
          <cell r="AA317">
            <v>533905.15450539964</v>
          </cell>
          <cell r="AB317">
            <v>0.24345298907911439</v>
          </cell>
          <cell r="AC317">
            <v>129980.80574908594</v>
          </cell>
          <cell r="AD317">
            <v>567946.45767715748</v>
          </cell>
          <cell r="AE317">
            <v>0.288511722732884</v>
          </cell>
          <cell r="AF317">
            <v>163859.21092447569</v>
          </cell>
          <cell r="AG317">
            <v>616261.45423448586</v>
          </cell>
          <cell r="AH317">
            <v>0.23872143654259587</v>
          </cell>
          <cell r="AI317">
            <v>147114.81964068566</v>
          </cell>
          <cell r="AJ317">
            <v>663001.62938287423</v>
          </cell>
          <cell r="AK317">
            <v>0.24084149610448669</v>
          </cell>
          <cell r="AL317">
            <v>159678.30434028382</v>
          </cell>
          <cell r="AM317">
            <v>455113.02175592212</v>
          </cell>
          <cell r="AN317">
            <v>0.29298968002898168</v>
          </cell>
          <cell r="AO317">
            <v>133343.41862129059</v>
          </cell>
        </row>
        <row r="318">
          <cell r="A318" t="str">
            <v>Pièces</v>
          </cell>
          <cell r="C318"/>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cell r="AD318"/>
          <cell r="AE318"/>
          <cell r="AF318"/>
          <cell r="AG318"/>
          <cell r="AH318"/>
          <cell r="AI318"/>
          <cell r="AJ318"/>
          <cell r="AK318"/>
          <cell r="AL318"/>
          <cell r="AM318"/>
          <cell r="AN318"/>
          <cell r="AO318"/>
        </row>
        <row r="319">
          <cell r="A319" t="str">
            <v>Pièces</v>
          </cell>
          <cell r="C319"/>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cell r="AD319"/>
          <cell r="AE319"/>
          <cell r="AF319"/>
          <cell r="AG319"/>
          <cell r="AH319"/>
          <cell r="AI319"/>
          <cell r="AJ319"/>
          <cell r="AK319"/>
          <cell r="AL319"/>
          <cell r="AM319"/>
          <cell r="AN319"/>
          <cell r="AO319"/>
        </row>
        <row r="320">
          <cell r="A320" t="str">
            <v>PiècesDEPENSES</v>
          </cell>
          <cell r="C320"/>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cell r="AD320"/>
          <cell r="AE320"/>
          <cell r="AF320"/>
          <cell r="AG320"/>
          <cell r="AH320"/>
          <cell r="AI320"/>
          <cell r="AJ320"/>
          <cell r="AK320"/>
          <cell r="AL320"/>
          <cell r="AM320"/>
          <cell r="AN320"/>
          <cell r="AO320"/>
        </row>
        <row r="321">
          <cell r="A321" t="str">
            <v>PiècesSalaires cadres</v>
          </cell>
          <cell r="C321"/>
          <cell r="D321"/>
          <cell r="E321">
            <v>62576.816666666673</v>
          </cell>
          <cell r="F321"/>
          <cell r="G321"/>
          <cell r="H321">
            <v>7346.047435897437</v>
          </cell>
          <cell r="I321"/>
          <cell r="J321"/>
          <cell r="K321">
            <v>4769.2307692307695</v>
          </cell>
          <cell r="L321"/>
          <cell r="M321"/>
          <cell r="N321">
            <v>4769.2307692307695</v>
          </cell>
          <cell r="O321"/>
          <cell r="P321"/>
          <cell r="Q321">
            <v>4769.2307692307695</v>
          </cell>
          <cell r="R321"/>
          <cell r="S321"/>
          <cell r="T321">
            <v>5461.538461538461</v>
          </cell>
          <cell r="U321"/>
          <cell r="V321"/>
          <cell r="W321">
            <v>4769.2307692307695</v>
          </cell>
          <cell r="X321"/>
          <cell r="Y321"/>
          <cell r="Z321">
            <v>5461.538461538461</v>
          </cell>
          <cell r="AA321"/>
          <cell r="AB321"/>
          <cell r="AC321">
            <v>4769.2307692307695</v>
          </cell>
          <cell r="AD321"/>
          <cell r="AE321"/>
          <cell r="AF321">
            <v>4769.2307692307695</v>
          </cell>
          <cell r="AG321"/>
          <cell r="AH321"/>
          <cell r="AI321">
            <v>5461.538461538461</v>
          </cell>
          <cell r="AJ321"/>
          <cell r="AK321"/>
          <cell r="AL321">
            <v>4769.2307692307695</v>
          </cell>
          <cell r="AM321"/>
          <cell r="AN321"/>
          <cell r="AO321">
            <v>5461.538461538461</v>
          </cell>
        </row>
        <row r="322">
          <cell r="A322" t="str">
            <v>PiècesSalaires commis</v>
          </cell>
          <cell r="C322"/>
          <cell r="D322"/>
          <cell r="E322">
            <v>382190.80980698654</v>
          </cell>
          <cell r="F322"/>
          <cell r="G322"/>
          <cell r="H322">
            <v>28107.154600537433</v>
          </cell>
          <cell r="I322"/>
          <cell r="J322"/>
          <cell r="K322">
            <v>29619.471267204099</v>
          </cell>
          <cell r="L322"/>
          <cell r="M322"/>
          <cell r="N322">
            <v>29619.471267204099</v>
          </cell>
          <cell r="O322"/>
          <cell r="P322"/>
          <cell r="Q322">
            <v>29619.471267204099</v>
          </cell>
          <cell r="R322"/>
          <cell r="S322"/>
          <cell r="T322">
            <v>36686.839084005122</v>
          </cell>
          <cell r="U322"/>
          <cell r="V322"/>
          <cell r="W322">
            <v>29619.471267204099</v>
          </cell>
          <cell r="X322"/>
          <cell r="Y322"/>
          <cell r="Z322">
            <v>36686.839084005122</v>
          </cell>
          <cell r="AA322"/>
          <cell r="AB322"/>
          <cell r="AC322">
            <v>29619.471267204099</v>
          </cell>
          <cell r="AD322"/>
          <cell r="AE322"/>
          <cell r="AF322">
            <v>29619.471267204099</v>
          </cell>
          <cell r="AG322"/>
          <cell r="AH322"/>
          <cell r="AI322">
            <v>36686.839084005122</v>
          </cell>
          <cell r="AJ322"/>
          <cell r="AK322"/>
          <cell r="AL322">
            <v>29619.471267204099</v>
          </cell>
          <cell r="AM322"/>
          <cell r="AN322"/>
          <cell r="AO322">
            <v>36686.839084005122</v>
          </cell>
        </row>
        <row r="323">
          <cell r="A323" t="str">
            <v>PiècesSalaires autres</v>
          </cell>
          <cell r="C323"/>
          <cell r="D323"/>
          <cell r="E323">
            <v>151.93333333333334</v>
          </cell>
          <cell r="F323"/>
          <cell r="G323"/>
          <cell r="H323">
            <v>151.93333333333334</v>
          </cell>
          <cell r="I323"/>
          <cell r="J323"/>
          <cell r="K323">
            <v>0</v>
          </cell>
          <cell r="L323"/>
          <cell r="M323"/>
          <cell r="N323">
            <v>0</v>
          </cell>
          <cell r="O323"/>
          <cell r="P323"/>
          <cell r="Q323">
            <v>0</v>
          </cell>
          <cell r="R323"/>
          <cell r="S323"/>
          <cell r="T323">
            <v>0</v>
          </cell>
          <cell r="U323"/>
          <cell r="V323"/>
          <cell r="W323">
            <v>0</v>
          </cell>
          <cell r="X323"/>
          <cell r="Y323"/>
          <cell r="Z323">
            <v>0</v>
          </cell>
          <cell r="AA323"/>
          <cell r="AB323"/>
          <cell r="AC323">
            <v>0</v>
          </cell>
          <cell r="AD323"/>
          <cell r="AE323"/>
          <cell r="AF323">
            <v>0</v>
          </cell>
          <cell r="AG323"/>
          <cell r="AH323"/>
          <cell r="AI323">
            <v>0</v>
          </cell>
          <cell r="AJ323"/>
          <cell r="AK323"/>
          <cell r="AL323">
            <v>0</v>
          </cell>
          <cell r="AM323"/>
          <cell r="AN323"/>
          <cell r="AO323">
            <v>0</v>
          </cell>
        </row>
        <row r="324">
          <cell r="A324" t="str">
            <v>PiècesSalaires spécialistes</v>
          </cell>
          <cell r="C324"/>
          <cell r="D324"/>
          <cell r="E324">
            <v>0</v>
          </cell>
          <cell r="F324"/>
          <cell r="G324"/>
          <cell r="H324"/>
          <cell r="I324"/>
          <cell r="J324"/>
          <cell r="K324"/>
          <cell r="L324"/>
          <cell r="M324"/>
          <cell r="N324"/>
          <cell r="O324"/>
          <cell r="P324"/>
          <cell r="Q324"/>
          <cell r="R324"/>
          <cell r="S324"/>
          <cell r="T324"/>
          <cell r="U324"/>
          <cell r="V324"/>
          <cell r="W324"/>
          <cell r="X324"/>
          <cell r="Y324"/>
          <cell r="Z324"/>
          <cell r="AA324"/>
          <cell r="AB324"/>
          <cell r="AC324"/>
          <cell r="AD324"/>
          <cell r="AE324"/>
          <cell r="AF324"/>
          <cell r="AG324"/>
          <cell r="AH324"/>
          <cell r="AI324"/>
          <cell r="AJ324"/>
          <cell r="AK324"/>
          <cell r="AL324"/>
          <cell r="AM324"/>
          <cell r="AN324"/>
          <cell r="AO324"/>
        </row>
        <row r="325">
          <cell r="A325" t="str">
            <v>Pièces[...]</v>
          </cell>
          <cell r="C325"/>
          <cell r="D325"/>
          <cell r="E325">
            <v>0</v>
          </cell>
          <cell r="F325"/>
          <cell r="G325"/>
          <cell r="H325"/>
          <cell r="I325"/>
          <cell r="J325"/>
          <cell r="K325"/>
          <cell r="L325"/>
          <cell r="M325"/>
          <cell r="N325"/>
          <cell r="O325"/>
          <cell r="P325"/>
          <cell r="Q325"/>
          <cell r="R325"/>
          <cell r="S325"/>
          <cell r="T325"/>
          <cell r="U325"/>
          <cell r="V325"/>
          <cell r="W325"/>
          <cell r="X325"/>
          <cell r="Y325"/>
          <cell r="Z325"/>
          <cell r="AA325"/>
          <cell r="AB325"/>
          <cell r="AC325"/>
          <cell r="AD325"/>
          <cell r="AE325"/>
          <cell r="AF325"/>
          <cell r="AG325"/>
          <cell r="AH325"/>
          <cell r="AI325"/>
          <cell r="AJ325"/>
          <cell r="AK325"/>
          <cell r="AL325"/>
          <cell r="AM325"/>
          <cell r="AN325"/>
          <cell r="AO325"/>
        </row>
        <row r="326">
          <cell r="A326" t="str">
            <v>Pièces[...]</v>
          </cell>
          <cell r="C326"/>
          <cell r="D326"/>
          <cell r="E326">
            <v>0</v>
          </cell>
          <cell r="F326"/>
          <cell r="G326"/>
          <cell r="H326"/>
          <cell r="I326"/>
          <cell r="J326"/>
          <cell r="K326"/>
          <cell r="L326"/>
          <cell r="M326"/>
          <cell r="N326"/>
          <cell r="O326"/>
          <cell r="P326"/>
          <cell r="Q326"/>
          <cell r="R326"/>
          <cell r="S326"/>
          <cell r="T326"/>
          <cell r="U326"/>
          <cell r="V326"/>
          <cell r="W326"/>
          <cell r="X326"/>
          <cell r="Y326"/>
          <cell r="Z326"/>
          <cell r="AA326"/>
          <cell r="AB326"/>
          <cell r="AC326"/>
          <cell r="AD326"/>
          <cell r="AE326"/>
          <cell r="AF326"/>
          <cell r="AG326"/>
          <cell r="AH326"/>
          <cell r="AI326"/>
          <cell r="AJ326"/>
          <cell r="AK326"/>
          <cell r="AL326"/>
          <cell r="AM326"/>
          <cell r="AN326"/>
          <cell r="AO326"/>
        </row>
        <row r="327">
          <cell r="A327" t="str">
            <v>Pièces[...]</v>
          </cell>
          <cell r="C327"/>
          <cell r="D327"/>
          <cell r="E327">
            <v>0</v>
          </cell>
          <cell r="F327"/>
          <cell r="G327"/>
          <cell r="H327"/>
          <cell r="I327"/>
          <cell r="J327"/>
          <cell r="K327"/>
          <cell r="L327"/>
          <cell r="M327"/>
          <cell r="N327"/>
          <cell r="O327"/>
          <cell r="P327"/>
          <cell r="Q327"/>
          <cell r="R327"/>
          <cell r="S327"/>
          <cell r="T327"/>
          <cell r="U327"/>
          <cell r="V327"/>
          <cell r="W327"/>
          <cell r="X327"/>
          <cell r="Y327"/>
          <cell r="Z327"/>
          <cell r="AA327"/>
          <cell r="AB327"/>
          <cell r="AC327"/>
          <cell r="AD327"/>
          <cell r="AE327"/>
          <cell r="AF327"/>
          <cell r="AG327"/>
          <cell r="AH327"/>
          <cell r="AI327"/>
          <cell r="AJ327"/>
          <cell r="AK327"/>
          <cell r="AL327"/>
          <cell r="AM327"/>
          <cell r="AN327"/>
          <cell r="AO327"/>
        </row>
        <row r="328">
          <cell r="A328" t="str">
            <v>PiècesSalaires en absences</v>
          </cell>
          <cell r="C328"/>
          <cell r="D328"/>
          <cell r="E328">
            <v>54350.385021092996</v>
          </cell>
          <cell r="F328"/>
          <cell r="G328"/>
          <cell r="H328">
            <v>4337.4917093148451</v>
          </cell>
          <cell r="I328"/>
          <cell r="J328"/>
          <cell r="K328">
            <v>4199.426525981512</v>
          </cell>
          <cell r="L328"/>
          <cell r="M328"/>
          <cell r="N328">
            <v>4199.426525981512</v>
          </cell>
          <cell r="O328"/>
          <cell r="P328"/>
          <cell r="Q328">
            <v>4199.426525981512</v>
          </cell>
          <cell r="R328"/>
          <cell r="S328"/>
          <cell r="T328">
            <v>5154.2269074768892</v>
          </cell>
          <cell r="U328"/>
          <cell r="V328"/>
          <cell r="W328">
            <v>4199.426525981512</v>
          </cell>
          <cell r="X328"/>
          <cell r="Y328"/>
          <cell r="Z328">
            <v>5154.2269074768892</v>
          </cell>
          <cell r="AA328"/>
          <cell r="AB328"/>
          <cell r="AC328">
            <v>4199.426525981512</v>
          </cell>
          <cell r="AD328"/>
          <cell r="AE328"/>
          <cell r="AF328">
            <v>4199.426525981512</v>
          </cell>
          <cell r="AG328"/>
          <cell r="AH328"/>
          <cell r="AI328">
            <v>5154.2269074768892</v>
          </cell>
          <cell r="AJ328"/>
          <cell r="AK328"/>
          <cell r="AL328">
            <v>4199.426525981512</v>
          </cell>
          <cell r="AM328"/>
          <cell r="AN328"/>
          <cell r="AO328">
            <v>5154.2269074768892</v>
          </cell>
        </row>
        <row r="329">
          <cell r="A329" t="str">
            <v>PiècesDéduction à la source</v>
          </cell>
          <cell r="C329"/>
          <cell r="D329"/>
          <cell r="E329">
            <v>66082.406457364152</v>
          </cell>
          <cell r="F329"/>
          <cell r="G329"/>
          <cell r="H329">
            <v>5273.7784659510899</v>
          </cell>
          <cell r="I329"/>
          <cell r="J329"/>
          <cell r="K329">
            <v>5105.910665951089</v>
          </cell>
          <cell r="L329"/>
          <cell r="M329"/>
          <cell r="N329">
            <v>5105.910665951089</v>
          </cell>
          <cell r="O329"/>
          <cell r="P329"/>
          <cell r="Q329">
            <v>5105.910665951089</v>
          </cell>
          <cell r="R329"/>
          <cell r="S329"/>
          <cell r="T329">
            <v>6266.8133324388609</v>
          </cell>
          <cell r="U329"/>
          <cell r="V329"/>
          <cell r="W329">
            <v>5105.910665951089</v>
          </cell>
          <cell r="X329"/>
          <cell r="Y329"/>
          <cell r="Z329">
            <v>6266.8133324388609</v>
          </cell>
          <cell r="AA329"/>
          <cell r="AB329"/>
          <cell r="AC329">
            <v>5105.910665951089</v>
          </cell>
          <cell r="AD329"/>
          <cell r="AE329"/>
          <cell r="AF329">
            <v>5105.910665951089</v>
          </cell>
          <cell r="AG329"/>
          <cell r="AH329"/>
          <cell r="AI329">
            <v>6266.8133324388609</v>
          </cell>
          <cell r="AJ329"/>
          <cell r="AK329"/>
          <cell r="AL329">
            <v>5105.910665951089</v>
          </cell>
          <cell r="AM329"/>
          <cell r="AN329"/>
          <cell r="AO329">
            <v>6266.8133324388609</v>
          </cell>
        </row>
        <row r="330">
          <cell r="A330" t="str">
            <v>PiècesBénéfices marginaux</v>
          </cell>
          <cell r="C330"/>
          <cell r="D330"/>
          <cell r="E330">
            <v>34046.805066076748</v>
          </cell>
          <cell r="F330"/>
          <cell r="G330"/>
          <cell r="H330">
            <v>2717.1423835443652</v>
          </cell>
          <cell r="I330"/>
          <cell r="J330"/>
          <cell r="K330">
            <v>2630.6539735443653</v>
          </cell>
          <cell r="L330"/>
          <cell r="M330"/>
          <cell r="N330">
            <v>2630.6539735443653</v>
          </cell>
          <cell r="O330"/>
          <cell r="P330"/>
          <cell r="Q330">
            <v>2630.6539735443653</v>
          </cell>
          <cell r="R330"/>
          <cell r="S330"/>
          <cell r="T330">
            <v>3228.7712169304564</v>
          </cell>
          <cell r="U330"/>
          <cell r="V330"/>
          <cell r="W330">
            <v>2630.6539735443653</v>
          </cell>
          <cell r="X330"/>
          <cell r="Y330"/>
          <cell r="Z330">
            <v>3228.7712169304564</v>
          </cell>
          <cell r="AA330"/>
          <cell r="AB330"/>
          <cell r="AC330">
            <v>2630.6539735443653</v>
          </cell>
          <cell r="AD330"/>
          <cell r="AE330"/>
          <cell r="AF330">
            <v>2630.6539735443653</v>
          </cell>
          <cell r="AG330"/>
          <cell r="AH330"/>
          <cell r="AI330">
            <v>3228.7712169304564</v>
          </cell>
          <cell r="AJ330"/>
          <cell r="AK330"/>
          <cell r="AL330">
            <v>2630.6539735443653</v>
          </cell>
          <cell r="AM330"/>
          <cell r="AN330"/>
          <cell r="AO330">
            <v>3228.7712169304564</v>
          </cell>
        </row>
        <row r="331">
          <cell r="A331" t="str">
            <v>PiècesCsst</v>
          </cell>
          <cell r="C331"/>
          <cell r="D331"/>
          <cell r="E331">
            <v>14844.598552016587</v>
          </cell>
          <cell r="F331"/>
          <cell r="G331"/>
          <cell r="H331">
            <v>1184.6893655397373</v>
          </cell>
          <cell r="I331"/>
          <cell r="J331"/>
          <cell r="K331">
            <v>1146.9799322064041</v>
          </cell>
          <cell r="L331"/>
          <cell r="M331"/>
          <cell r="N331">
            <v>1146.9799322064041</v>
          </cell>
          <cell r="O331"/>
          <cell r="P331"/>
          <cell r="Q331">
            <v>1146.9799322064041</v>
          </cell>
          <cell r="R331"/>
          <cell r="S331"/>
          <cell r="T331">
            <v>1407.7624152580049</v>
          </cell>
          <cell r="U331"/>
          <cell r="V331"/>
          <cell r="W331">
            <v>1146.9799322064041</v>
          </cell>
          <cell r="X331"/>
          <cell r="Y331"/>
          <cell r="Z331">
            <v>1407.7624152580049</v>
          </cell>
          <cell r="AA331"/>
          <cell r="AB331"/>
          <cell r="AC331">
            <v>1146.9799322064041</v>
          </cell>
          <cell r="AD331"/>
          <cell r="AE331"/>
          <cell r="AF331">
            <v>1146.9799322064041</v>
          </cell>
          <cell r="AG331"/>
          <cell r="AH331"/>
          <cell r="AI331">
            <v>1407.7624152580049</v>
          </cell>
          <cell r="AJ331"/>
          <cell r="AK331"/>
          <cell r="AL331">
            <v>1146.9799322064041</v>
          </cell>
          <cell r="AM331"/>
          <cell r="AN331"/>
          <cell r="AO331">
            <v>1407.7624152580049</v>
          </cell>
        </row>
        <row r="332">
          <cell r="A332" t="str">
            <v>Pièces[...]</v>
          </cell>
          <cell r="C332"/>
          <cell r="D332"/>
          <cell r="E332">
            <v>0</v>
          </cell>
          <cell r="F332"/>
          <cell r="G332"/>
          <cell r="H332"/>
          <cell r="I332"/>
          <cell r="J332"/>
          <cell r="K332"/>
          <cell r="L332"/>
          <cell r="M332"/>
          <cell r="N332"/>
          <cell r="O332"/>
          <cell r="P332"/>
          <cell r="Q332"/>
          <cell r="R332"/>
          <cell r="S332"/>
          <cell r="T332"/>
          <cell r="U332"/>
          <cell r="V332"/>
          <cell r="W332"/>
          <cell r="X332"/>
          <cell r="Y332"/>
          <cell r="Z332"/>
          <cell r="AA332"/>
          <cell r="AB332"/>
          <cell r="AC332"/>
          <cell r="AD332"/>
          <cell r="AE332"/>
          <cell r="AF332"/>
          <cell r="AG332"/>
          <cell r="AH332"/>
          <cell r="AI332"/>
          <cell r="AJ332"/>
          <cell r="AK332"/>
          <cell r="AL332"/>
          <cell r="AM332"/>
          <cell r="AN332"/>
          <cell r="AO332"/>
        </row>
        <row r="333">
          <cell r="A333" t="str">
            <v>PiècesTOTAL PERSONNEL</v>
          </cell>
          <cell r="C333" t="str">
            <v>% brut</v>
          </cell>
          <cell r="D333">
            <v>0.37037604386019496</v>
          </cell>
          <cell r="E333">
            <v>614243.75490353699</v>
          </cell>
          <cell r="F333" t="str">
            <v>% brut</v>
          </cell>
          <cell r="G333">
            <v>0.41315334524241243</v>
          </cell>
          <cell r="H333">
            <v>49118.23729411824</v>
          </cell>
          <cell r="I333" t="str">
            <v>% brut</v>
          </cell>
          <cell r="J333">
            <v>0.41402720614534749</v>
          </cell>
          <cell r="K333">
            <v>47471.673134118246</v>
          </cell>
          <cell r="L333" t="str">
            <v>% brut</v>
          </cell>
          <cell r="M333">
            <v>0.31140904019563004</v>
          </cell>
          <cell r="N333">
            <v>47471.673134118246</v>
          </cell>
          <cell r="O333" t="str">
            <v>% brut</v>
          </cell>
          <cell r="P333">
            <v>0.40592844769764946</v>
          </cell>
          <cell r="Q333">
            <v>47471.673134118246</v>
          </cell>
          <cell r="R333" t="str">
            <v>% brut</v>
          </cell>
          <cell r="S333">
            <v>0.40524890872586666</v>
          </cell>
          <cell r="T333">
            <v>58205.951417647797</v>
          </cell>
          <cell r="U333" t="str">
            <v>% brut</v>
          </cell>
          <cell r="V333">
            <v>0.32000996584933017</v>
          </cell>
          <cell r="W333">
            <v>47471.673134118246</v>
          </cell>
          <cell r="X333" t="str">
            <v>% brut</v>
          </cell>
          <cell r="Y333">
            <v>0.44929443701168753</v>
          </cell>
          <cell r="Z333">
            <v>58205.951417647797</v>
          </cell>
          <cell r="AA333" t="str">
            <v>% brut</v>
          </cell>
          <cell r="AB333">
            <v>0.36522064054409109</v>
          </cell>
          <cell r="AC333">
            <v>47471.673134118246</v>
          </cell>
          <cell r="AD333" t="str">
            <v>% brut</v>
          </cell>
          <cell r="AE333">
            <v>0.28971012899603432</v>
          </cell>
          <cell r="AF333">
            <v>47471.673134118246</v>
          </cell>
          <cell r="AG333" t="str">
            <v>% brut</v>
          </cell>
          <cell r="AH333">
            <v>0.39564981665212551</v>
          </cell>
          <cell r="AI333">
            <v>58205.951417647797</v>
          </cell>
          <cell r="AJ333" t="str">
            <v>% brut</v>
          </cell>
          <cell r="AK333">
            <v>0.29729569918874721</v>
          </cell>
          <cell r="AL333">
            <v>47471.673134118246</v>
          </cell>
          <cell r="AM333" t="str">
            <v>% brut</v>
          </cell>
          <cell r="AN333">
            <v>0.43651161804212363</v>
          </cell>
          <cell r="AO333">
            <v>58205.951417647797</v>
          </cell>
        </row>
        <row r="334">
          <cell r="A334" t="str">
            <v>PiècesPublicité 2</v>
          </cell>
          <cell r="C334"/>
          <cell r="D334"/>
          <cell r="E334">
            <v>72338.75</v>
          </cell>
          <cell r="F334"/>
          <cell r="G334"/>
          <cell r="H334">
            <v>7777.5</v>
          </cell>
          <cell r="I334"/>
          <cell r="J334"/>
          <cell r="K334">
            <v>2956.25</v>
          </cell>
          <cell r="L334"/>
          <cell r="M334"/>
          <cell r="N334">
            <v>4197.5</v>
          </cell>
          <cell r="O334"/>
          <cell r="P334"/>
          <cell r="Q334">
            <v>13800</v>
          </cell>
          <cell r="R334"/>
          <cell r="S334"/>
          <cell r="T334">
            <v>8405</v>
          </cell>
          <cell r="U334"/>
          <cell r="V334"/>
          <cell r="W334">
            <v>4215</v>
          </cell>
          <cell r="X334"/>
          <cell r="Y334"/>
          <cell r="Z334">
            <v>5830</v>
          </cell>
          <cell r="AA334"/>
          <cell r="AB334"/>
          <cell r="AC334">
            <v>2120</v>
          </cell>
          <cell r="AD334"/>
          <cell r="AE334"/>
          <cell r="AF334">
            <v>2812.5</v>
          </cell>
          <cell r="AG334"/>
          <cell r="AH334"/>
          <cell r="AI334">
            <v>5625</v>
          </cell>
          <cell r="AJ334"/>
          <cell r="AK334"/>
          <cell r="AL334">
            <v>9875</v>
          </cell>
          <cell r="AM334"/>
          <cell r="AN334"/>
          <cell r="AO334">
            <v>4725</v>
          </cell>
        </row>
        <row r="335">
          <cell r="A335" t="str">
            <v>PiècesService gratuit 2</v>
          </cell>
          <cell r="C335"/>
          <cell r="D335"/>
          <cell r="E335">
            <v>6738.3093384171261</v>
          </cell>
          <cell r="F335"/>
          <cell r="G335"/>
          <cell r="H335">
            <v>561.52577820142733</v>
          </cell>
          <cell r="I335"/>
          <cell r="J335"/>
          <cell r="K335">
            <v>561.52577820142733</v>
          </cell>
          <cell r="L335"/>
          <cell r="M335"/>
          <cell r="N335">
            <v>561.52577820142733</v>
          </cell>
          <cell r="O335"/>
          <cell r="P335"/>
          <cell r="Q335">
            <v>561.52577820142733</v>
          </cell>
          <cell r="R335"/>
          <cell r="S335"/>
          <cell r="T335">
            <v>561.52577820142733</v>
          </cell>
          <cell r="U335"/>
          <cell r="V335"/>
          <cell r="W335">
            <v>561.52577820142733</v>
          </cell>
          <cell r="X335"/>
          <cell r="Y335"/>
          <cell r="Z335">
            <v>561.52577820142733</v>
          </cell>
          <cell r="AA335"/>
          <cell r="AB335"/>
          <cell r="AC335">
            <v>561.52577820142733</v>
          </cell>
          <cell r="AD335"/>
          <cell r="AE335"/>
          <cell r="AF335">
            <v>561.52577820142733</v>
          </cell>
          <cell r="AG335"/>
          <cell r="AH335"/>
          <cell r="AI335">
            <v>561.52577820142733</v>
          </cell>
          <cell r="AJ335"/>
          <cell r="AK335"/>
          <cell r="AL335">
            <v>561.52577820142733</v>
          </cell>
          <cell r="AM335"/>
          <cell r="AN335"/>
          <cell r="AO335">
            <v>561.52577820142733</v>
          </cell>
        </row>
        <row r="336">
          <cell r="A336" t="str">
            <v>PiècesFrais véhicules de cie</v>
          </cell>
          <cell r="C336"/>
          <cell r="D336"/>
          <cell r="E336">
            <v>15171.845866666668</v>
          </cell>
          <cell r="F336"/>
          <cell r="G336"/>
          <cell r="H336">
            <v>1264.3204888888893</v>
          </cell>
          <cell r="I336"/>
          <cell r="J336"/>
          <cell r="K336">
            <v>1264.3204888888893</v>
          </cell>
          <cell r="L336"/>
          <cell r="M336"/>
          <cell r="N336">
            <v>1264.3204888888893</v>
          </cell>
          <cell r="O336"/>
          <cell r="P336"/>
          <cell r="Q336">
            <v>1264.3204888888893</v>
          </cell>
          <cell r="R336"/>
          <cell r="S336"/>
          <cell r="T336">
            <v>1264.3204888888893</v>
          </cell>
          <cell r="U336"/>
          <cell r="V336"/>
          <cell r="W336">
            <v>1264.3204888888893</v>
          </cell>
          <cell r="X336"/>
          <cell r="Y336"/>
          <cell r="Z336">
            <v>1264.3204888888893</v>
          </cell>
          <cell r="AA336"/>
          <cell r="AB336"/>
          <cell r="AC336">
            <v>1264.3204888888893</v>
          </cell>
          <cell r="AD336"/>
          <cell r="AE336"/>
          <cell r="AF336">
            <v>1264.3204888888893</v>
          </cell>
          <cell r="AG336"/>
          <cell r="AH336"/>
          <cell r="AI336">
            <v>1264.3204888888893</v>
          </cell>
          <cell r="AJ336"/>
          <cell r="AK336"/>
          <cell r="AL336">
            <v>1264.3204888888893</v>
          </cell>
          <cell r="AM336"/>
          <cell r="AN336"/>
          <cell r="AO336">
            <v>1264.3204888888893</v>
          </cell>
        </row>
        <row r="337">
          <cell r="A337" t="str">
            <v>PiècesInformatique</v>
          </cell>
          <cell r="C337"/>
          <cell r="D337"/>
          <cell r="E337">
            <v>78217.5</v>
          </cell>
          <cell r="F337"/>
          <cell r="G337"/>
          <cell r="H337">
            <v>9027.5</v>
          </cell>
          <cell r="I337"/>
          <cell r="J337"/>
          <cell r="K337">
            <v>6290</v>
          </cell>
          <cell r="L337"/>
          <cell r="M337"/>
          <cell r="N337">
            <v>6290</v>
          </cell>
          <cell r="O337"/>
          <cell r="P337"/>
          <cell r="Q337">
            <v>6290</v>
          </cell>
          <cell r="R337"/>
          <cell r="S337"/>
          <cell r="T337">
            <v>6290</v>
          </cell>
          <cell r="U337"/>
          <cell r="V337"/>
          <cell r="W337">
            <v>6290</v>
          </cell>
          <cell r="X337"/>
          <cell r="Y337"/>
          <cell r="Z337">
            <v>6290</v>
          </cell>
          <cell r="AA337"/>
          <cell r="AB337"/>
          <cell r="AC337">
            <v>6290</v>
          </cell>
          <cell r="AD337"/>
          <cell r="AE337"/>
          <cell r="AF337">
            <v>6290</v>
          </cell>
          <cell r="AG337"/>
          <cell r="AH337"/>
          <cell r="AI337">
            <v>6290</v>
          </cell>
          <cell r="AJ337"/>
          <cell r="AK337"/>
          <cell r="AL337">
            <v>6290</v>
          </cell>
          <cell r="AM337"/>
          <cell r="AN337"/>
          <cell r="AO337">
            <v>6290</v>
          </cell>
        </row>
        <row r="338">
          <cell r="A338" t="str">
            <v>PiècesFrais de déplacement</v>
          </cell>
          <cell r="C338"/>
          <cell r="D338"/>
          <cell r="E338">
            <v>12000</v>
          </cell>
          <cell r="F338"/>
          <cell r="G338"/>
          <cell r="H338">
            <v>1000</v>
          </cell>
          <cell r="I338"/>
          <cell r="J338"/>
          <cell r="K338">
            <v>1000</v>
          </cell>
          <cell r="L338"/>
          <cell r="M338"/>
          <cell r="N338">
            <v>1000</v>
          </cell>
          <cell r="O338"/>
          <cell r="P338"/>
          <cell r="Q338">
            <v>1000</v>
          </cell>
          <cell r="R338"/>
          <cell r="S338"/>
          <cell r="T338">
            <v>1000</v>
          </cell>
          <cell r="U338"/>
          <cell r="V338"/>
          <cell r="W338">
            <v>1000</v>
          </cell>
          <cell r="X338"/>
          <cell r="Y338"/>
          <cell r="Z338">
            <v>1000</v>
          </cell>
          <cell r="AA338"/>
          <cell r="AB338"/>
          <cell r="AC338">
            <v>1000</v>
          </cell>
          <cell r="AD338"/>
          <cell r="AE338"/>
          <cell r="AF338">
            <v>1000</v>
          </cell>
          <cell r="AG338"/>
          <cell r="AH338"/>
          <cell r="AI338">
            <v>1000</v>
          </cell>
          <cell r="AJ338"/>
          <cell r="AK338"/>
          <cell r="AL338">
            <v>1000</v>
          </cell>
          <cell r="AM338"/>
          <cell r="AN338"/>
          <cell r="AO338">
            <v>1000</v>
          </cell>
        </row>
        <row r="339">
          <cell r="A339" t="str">
            <v>PiècesServices extérieurs</v>
          </cell>
          <cell r="C339"/>
          <cell r="D339"/>
          <cell r="E339">
            <v>188773.00000000003</v>
          </cell>
          <cell r="F339"/>
          <cell r="G339"/>
          <cell r="H339">
            <v>16619.945350967431</v>
          </cell>
          <cell r="I339"/>
          <cell r="J339"/>
          <cell r="K339">
            <v>15552.451815916791</v>
          </cell>
          <cell r="L339"/>
          <cell r="M339"/>
          <cell r="N339">
            <v>16440.026346529616</v>
          </cell>
          <cell r="O339"/>
          <cell r="P339"/>
          <cell r="Q339">
            <v>14366.511139771295</v>
          </cell>
          <cell r="R339"/>
          <cell r="S339"/>
          <cell r="T339">
            <v>15029.059416782648</v>
          </cell>
          <cell r="U339"/>
          <cell r="V339"/>
          <cell r="W339">
            <v>14070.908137768016</v>
          </cell>
          <cell r="X339"/>
          <cell r="Y339"/>
          <cell r="Z339">
            <v>14429.878112932751</v>
          </cell>
          <cell r="AA339"/>
          <cell r="AB339"/>
          <cell r="AC339">
            <v>15220.684774047741</v>
          </cell>
          <cell r="AD339"/>
          <cell r="AE339"/>
          <cell r="AF339">
            <v>14835.779442293466</v>
          </cell>
          <cell r="AG339"/>
          <cell r="AH339"/>
          <cell r="AI339">
            <v>17713.123848883632</v>
          </cell>
          <cell r="AJ339"/>
          <cell r="AK339"/>
          <cell r="AL339">
            <v>16345.839150026848</v>
          </cell>
          <cell r="AM339"/>
          <cell r="AN339"/>
          <cell r="AO339">
            <v>18148.792464079794</v>
          </cell>
        </row>
        <row r="340">
          <cell r="A340" t="str">
            <v>PiècesFournitures d'atelier</v>
          </cell>
          <cell r="C340"/>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cell r="AD340"/>
          <cell r="AE340"/>
          <cell r="AF340"/>
          <cell r="AG340"/>
          <cell r="AH340"/>
          <cell r="AI340"/>
          <cell r="AJ340"/>
          <cell r="AK340"/>
          <cell r="AL340"/>
          <cell r="AM340"/>
          <cell r="AN340"/>
          <cell r="AO340"/>
        </row>
        <row r="341">
          <cell r="A341" t="str">
            <v>PiècesFournitures autres</v>
          </cell>
          <cell r="C341"/>
          <cell r="D341"/>
          <cell r="E341">
            <v>600</v>
          </cell>
          <cell r="F341"/>
          <cell r="G341"/>
          <cell r="H341">
            <v>50</v>
          </cell>
          <cell r="I341"/>
          <cell r="J341"/>
          <cell r="K341">
            <v>50</v>
          </cell>
          <cell r="L341"/>
          <cell r="M341"/>
          <cell r="N341">
            <v>50</v>
          </cell>
          <cell r="O341"/>
          <cell r="P341"/>
          <cell r="Q341">
            <v>50</v>
          </cell>
          <cell r="R341"/>
          <cell r="S341"/>
          <cell r="T341">
            <v>50</v>
          </cell>
          <cell r="U341"/>
          <cell r="V341"/>
          <cell r="W341">
            <v>50</v>
          </cell>
          <cell r="X341"/>
          <cell r="Y341"/>
          <cell r="Z341">
            <v>50</v>
          </cell>
          <cell r="AA341"/>
          <cell r="AB341"/>
          <cell r="AC341">
            <v>50</v>
          </cell>
          <cell r="AD341"/>
          <cell r="AE341"/>
          <cell r="AF341">
            <v>50</v>
          </cell>
          <cell r="AG341"/>
          <cell r="AH341"/>
          <cell r="AI341">
            <v>50</v>
          </cell>
          <cell r="AJ341"/>
          <cell r="AK341"/>
          <cell r="AL341">
            <v>50</v>
          </cell>
          <cell r="AM341"/>
          <cell r="AN341"/>
          <cell r="AO341">
            <v>50</v>
          </cell>
        </row>
        <row r="342">
          <cell r="A342" t="str">
            <v>PiècesUniformes</v>
          </cell>
          <cell r="C342"/>
          <cell r="D342"/>
          <cell r="E342">
            <v>0</v>
          </cell>
          <cell r="F342"/>
          <cell r="G342"/>
          <cell r="H342">
            <v>0</v>
          </cell>
          <cell r="I342"/>
          <cell r="J342"/>
          <cell r="K342">
            <v>0</v>
          </cell>
          <cell r="L342"/>
          <cell r="M342"/>
          <cell r="N342">
            <v>0</v>
          </cell>
          <cell r="O342"/>
          <cell r="P342"/>
          <cell r="Q342">
            <v>0</v>
          </cell>
          <cell r="R342"/>
          <cell r="S342"/>
          <cell r="T342">
            <v>0</v>
          </cell>
          <cell r="U342"/>
          <cell r="V342"/>
          <cell r="W342">
            <v>0</v>
          </cell>
          <cell r="X342"/>
          <cell r="Y342"/>
          <cell r="Z342">
            <v>0</v>
          </cell>
          <cell r="AA342"/>
          <cell r="AB342"/>
          <cell r="AC342">
            <v>0</v>
          </cell>
          <cell r="AD342"/>
          <cell r="AE342"/>
          <cell r="AF342">
            <v>0</v>
          </cell>
          <cell r="AG342"/>
          <cell r="AH342"/>
          <cell r="AI342">
            <v>0</v>
          </cell>
          <cell r="AJ342"/>
          <cell r="AK342"/>
          <cell r="AL342">
            <v>0</v>
          </cell>
          <cell r="AM342"/>
          <cell r="AN342"/>
          <cell r="AO342">
            <v>0</v>
          </cell>
        </row>
        <row r="343">
          <cell r="A343" t="str">
            <v>PiècesPapeterie</v>
          </cell>
          <cell r="C343"/>
          <cell r="D343"/>
          <cell r="E343">
            <v>5814</v>
          </cell>
          <cell r="F343"/>
          <cell r="G343"/>
          <cell r="H343">
            <v>484.5</v>
          </cell>
          <cell r="I343"/>
          <cell r="J343"/>
          <cell r="K343">
            <v>484.5</v>
          </cell>
          <cell r="L343"/>
          <cell r="M343"/>
          <cell r="N343">
            <v>484.5</v>
          </cell>
          <cell r="O343"/>
          <cell r="P343"/>
          <cell r="Q343">
            <v>484.5</v>
          </cell>
          <cell r="R343"/>
          <cell r="S343"/>
          <cell r="T343">
            <v>484.5</v>
          </cell>
          <cell r="U343"/>
          <cell r="V343"/>
          <cell r="W343">
            <v>484.5</v>
          </cell>
          <cell r="X343"/>
          <cell r="Y343"/>
          <cell r="Z343">
            <v>484.5</v>
          </cell>
          <cell r="AA343"/>
          <cell r="AB343"/>
          <cell r="AC343">
            <v>484.5</v>
          </cell>
          <cell r="AD343"/>
          <cell r="AE343"/>
          <cell r="AF343">
            <v>484.5</v>
          </cell>
          <cell r="AG343"/>
          <cell r="AH343"/>
          <cell r="AI343">
            <v>484.5</v>
          </cell>
          <cell r="AJ343"/>
          <cell r="AK343"/>
          <cell r="AL343">
            <v>484.5</v>
          </cell>
          <cell r="AM343"/>
          <cell r="AN343"/>
          <cell r="AO343">
            <v>484.5</v>
          </cell>
        </row>
        <row r="344">
          <cell r="A344" t="str">
            <v>PiècesTéléphone</v>
          </cell>
          <cell r="C344"/>
          <cell r="D344"/>
          <cell r="E344">
            <v>1365</v>
          </cell>
          <cell r="F344"/>
          <cell r="G344"/>
          <cell r="H344">
            <v>113.75</v>
          </cell>
          <cell r="I344"/>
          <cell r="J344"/>
          <cell r="K344">
            <v>113.75</v>
          </cell>
          <cell r="L344"/>
          <cell r="M344"/>
          <cell r="N344">
            <v>113.75</v>
          </cell>
          <cell r="O344"/>
          <cell r="P344"/>
          <cell r="Q344">
            <v>113.75</v>
          </cell>
          <cell r="R344"/>
          <cell r="S344"/>
          <cell r="T344">
            <v>113.75</v>
          </cell>
          <cell r="U344"/>
          <cell r="V344"/>
          <cell r="W344">
            <v>113.75</v>
          </cell>
          <cell r="X344"/>
          <cell r="Y344"/>
          <cell r="Z344">
            <v>113.75</v>
          </cell>
          <cell r="AA344"/>
          <cell r="AB344"/>
          <cell r="AC344">
            <v>113.75</v>
          </cell>
          <cell r="AD344"/>
          <cell r="AE344"/>
          <cell r="AF344">
            <v>113.75</v>
          </cell>
          <cell r="AG344"/>
          <cell r="AH344"/>
          <cell r="AI344">
            <v>113.75</v>
          </cell>
          <cell r="AJ344"/>
          <cell r="AK344"/>
          <cell r="AL344">
            <v>113.75</v>
          </cell>
          <cell r="AM344"/>
          <cell r="AN344"/>
          <cell r="AO344">
            <v>113.75</v>
          </cell>
        </row>
        <row r="345">
          <cell r="A345" t="str">
            <v>PiècesFrais postaux</v>
          </cell>
          <cell r="C345"/>
          <cell r="D345"/>
          <cell r="E345">
            <v>2136.75</v>
          </cell>
          <cell r="F345"/>
          <cell r="G345"/>
          <cell r="H345">
            <v>178.0625</v>
          </cell>
          <cell r="I345"/>
          <cell r="J345"/>
          <cell r="K345">
            <v>178.0625</v>
          </cell>
          <cell r="L345"/>
          <cell r="M345"/>
          <cell r="N345">
            <v>178.0625</v>
          </cell>
          <cell r="O345"/>
          <cell r="P345"/>
          <cell r="Q345">
            <v>178.0625</v>
          </cell>
          <cell r="R345"/>
          <cell r="S345"/>
          <cell r="T345">
            <v>178.0625</v>
          </cell>
          <cell r="U345"/>
          <cell r="V345"/>
          <cell r="W345">
            <v>178.0625</v>
          </cell>
          <cell r="X345"/>
          <cell r="Y345"/>
          <cell r="Z345">
            <v>178.0625</v>
          </cell>
          <cell r="AA345"/>
          <cell r="AB345"/>
          <cell r="AC345">
            <v>178.0625</v>
          </cell>
          <cell r="AD345"/>
          <cell r="AE345"/>
          <cell r="AF345">
            <v>178.0625</v>
          </cell>
          <cell r="AG345"/>
          <cell r="AH345"/>
          <cell r="AI345">
            <v>178.0625</v>
          </cell>
          <cell r="AJ345"/>
          <cell r="AK345"/>
          <cell r="AL345">
            <v>178.0625</v>
          </cell>
          <cell r="AM345"/>
          <cell r="AN345"/>
          <cell r="AO345">
            <v>178.0625</v>
          </cell>
        </row>
        <row r="346">
          <cell r="A346" t="str">
            <v>PiècesDivers</v>
          </cell>
          <cell r="C346"/>
          <cell r="D346"/>
          <cell r="E346">
            <v>1125</v>
          </cell>
          <cell r="F346"/>
          <cell r="G346"/>
          <cell r="H346">
            <v>93.75</v>
          </cell>
          <cell r="I346"/>
          <cell r="J346"/>
          <cell r="K346">
            <v>93.75</v>
          </cell>
          <cell r="L346"/>
          <cell r="M346"/>
          <cell r="N346">
            <v>93.75</v>
          </cell>
          <cell r="O346"/>
          <cell r="P346"/>
          <cell r="Q346">
            <v>93.75</v>
          </cell>
          <cell r="R346"/>
          <cell r="S346"/>
          <cell r="T346">
            <v>93.75</v>
          </cell>
          <cell r="U346"/>
          <cell r="V346"/>
          <cell r="W346">
            <v>93.75</v>
          </cell>
          <cell r="X346"/>
          <cell r="Y346"/>
          <cell r="Z346">
            <v>93.75</v>
          </cell>
          <cell r="AA346"/>
          <cell r="AB346"/>
          <cell r="AC346">
            <v>93.75</v>
          </cell>
          <cell r="AD346"/>
          <cell r="AE346"/>
          <cell r="AF346">
            <v>93.75</v>
          </cell>
          <cell r="AG346"/>
          <cell r="AH346"/>
          <cell r="AI346">
            <v>93.75</v>
          </cell>
          <cell r="AJ346"/>
          <cell r="AK346"/>
          <cell r="AL346">
            <v>93.75</v>
          </cell>
          <cell r="AM346"/>
          <cell r="AN346"/>
          <cell r="AO346">
            <v>93.75</v>
          </cell>
        </row>
        <row r="347">
          <cell r="A347" t="str">
            <v>PiècesFormation</v>
          </cell>
          <cell r="C347"/>
          <cell r="D347"/>
          <cell r="E347">
            <v>4000.0000000000005</v>
          </cell>
          <cell r="F347"/>
          <cell r="G347"/>
          <cell r="H347">
            <v>333.33333333333331</v>
          </cell>
          <cell r="I347"/>
          <cell r="J347"/>
          <cell r="K347">
            <v>333.33333333333331</v>
          </cell>
          <cell r="L347"/>
          <cell r="M347"/>
          <cell r="N347">
            <v>333.33333333333331</v>
          </cell>
          <cell r="O347"/>
          <cell r="P347"/>
          <cell r="Q347">
            <v>333.33333333333331</v>
          </cell>
          <cell r="R347"/>
          <cell r="S347"/>
          <cell r="T347">
            <v>333.33333333333331</v>
          </cell>
          <cell r="U347"/>
          <cell r="V347"/>
          <cell r="W347">
            <v>333.33333333333331</v>
          </cell>
          <cell r="X347"/>
          <cell r="Y347"/>
          <cell r="Z347">
            <v>333.33333333333331</v>
          </cell>
          <cell r="AA347"/>
          <cell r="AB347"/>
          <cell r="AC347">
            <v>333.33333333333331</v>
          </cell>
          <cell r="AD347"/>
          <cell r="AE347"/>
          <cell r="AF347">
            <v>333.33333333333331</v>
          </cell>
          <cell r="AG347"/>
          <cell r="AH347"/>
          <cell r="AI347">
            <v>333.33333333333331</v>
          </cell>
          <cell r="AJ347"/>
          <cell r="AK347"/>
          <cell r="AL347">
            <v>333.33333333333331</v>
          </cell>
          <cell r="AM347"/>
          <cell r="AN347"/>
          <cell r="AO347">
            <v>333.33333333333331</v>
          </cell>
        </row>
        <row r="348">
          <cell r="A348" t="str">
            <v>PiècesFrais bancaires</v>
          </cell>
          <cell r="C348"/>
          <cell r="D348"/>
          <cell r="E348">
            <v>19477.398565714509</v>
          </cell>
          <cell r="F348"/>
          <cell r="G348"/>
          <cell r="H348">
            <v>1246.9878464862741</v>
          </cell>
          <cell r="I348"/>
          <cell r="J348"/>
          <cell r="K348">
            <v>1261.8805005194286</v>
          </cell>
          <cell r="L348"/>
          <cell r="M348"/>
          <cell r="N348">
            <v>1721.6730548630967</v>
          </cell>
          <cell r="O348"/>
          <cell r="P348"/>
          <cell r="Q348">
            <v>1828.2222873684677</v>
          </cell>
          <cell r="R348"/>
          <cell r="S348"/>
          <cell r="T348">
            <v>1946.1989413156423</v>
          </cell>
          <cell r="U348"/>
          <cell r="V348"/>
          <cell r="W348">
            <v>1758.7545521556597</v>
          </cell>
          <cell r="X348"/>
          <cell r="Y348"/>
          <cell r="Z348">
            <v>1667.553314705272</v>
          </cell>
          <cell r="AA348"/>
          <cell r="AB348"/>
          <cell r="AC348">
            <v>1616.6280112824588</v>
          </cell>
          <cell r="AD348"/>
          <cell r="AE348"/>
          <cell r="AF348">
            <v>1685.9779877482606</v>
          </cell>
          <cell r="AG348"/>
          <cell r="AH348"/>
          <cell r="AI348">
            <v>1690.1375538285822</v>
          </cell>
          <cell r="AJ348"/>
          <cell r="AK348"/>
          <cell r="AL348">
            <v>1746.977006056811</v>
          </cell>
          <cell r="AM348"/>
          <cell r="AN348"/>
          <cell r="AO348">
            <v>1306.407509384554</v>
          </cell>
        </row>
        <row r="349">
          <cell r="A349" t="str">
            <v>Pièces[...]</v>
          </cell>
          <cell r="C349"/>
          <cell r="D349"/>
          <cell r="E349">
            <v>0</v>
          </cell>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v>
          </cell>
          <cell r="C350"/>
          <cell r="D350"/>
          <cell r="E350">
            <v>0</v>
          </cell>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cell r="AN350"/>
          <cell r="AO350"/>
        </row>
        <row r="351">
          <cell r="A351" t="str">
            <v>Pièces[...]</v>
          </cell>
          <cell r="C351"/>
          <cell r="D351"/>
          <cell r="E351">
            <v>0</v>
          </cell>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PiècesTOTAL SEMI-FIXES</v>
          </cell>
          <cell r="C352" t="str">
            <v>% brut</v>
          </cell>
          <cell r="D352">
            <v>0.24586921464664507</v>
          </cell>
          <cell r="E352">
            <v>407757.55377079826</v>
          </cell>
          <cell r="F352" t="str">
            <v>% brut</v>
          </cell>
          <cell r="G352">
            <v>0.32595179689622816</v>
          </cell>
          <cell r="H352">
            <v>38751.175297877358</v>
          </cell>
          <cell r="I352" t="str">
            <v>% brut</v>
          </cell>
          <cell r="J352">
            <v>0.26286638900989734</v>
          </cell>
          <cell r="K352">
            <v>30139.824416859872</v>
          </cell>
          <cell r="L352" t="str">
            <v>% brut</v>
          </cell>
          <cell r="M352">
            <v>0.21469503563493408</v>
          </cell>
          <cell r="N352">
            <v>32728.441501816364</v>
          </cell>
          <cell r="O352" t="str">
            <v>% brut</v>
          </cell>
          <cell r="P352">
            <v>0.34515079935183046</v>
          </cell>
          <cell r="Q352">
            <v>40363.975527563416</v>
          </cell>
          <cell r="R352" t="str">
            <v>% brut</v>
          </cell>
          <cell r="S352">
            <v>0.24889973783537117</v>
          </cell>
          <cell r="T352">
            <v>35749.500458521943</v>
          </cell>
          <cell r="U352" t="str">
            <v>% brut</v>
          </cell>
          <cell r="V352">
            <v>0.20502232153913333</v>
          </cell>
          <cell r="W352">
            <v>30413.904790347326</v>
          </cell>
          <cell r="X352" t="str">
            <v>% brut</v>
          </cell>
          <cell r="Y352">
            <v>0.24929952000992725</v>
          </cell>
          <cell r="Z352">
            <v>32296.67352806167</v>
          </cell>
          <cell r="AA352" t="str">
            <v>% brut</v>
          </cell>
          <cell r="AB352">
            <v>0.22562219642156725</v>
          </cell>
          <cell r="AC352">
            <v>29326.554885753845</v>
          </cell>
          <cell r="AD352" t="str">
            <v>% brut</v>
          </cell>
          <cell r="AE352">
            <v>0.18127451830679212</v>
          </cell>
          <cell r="AF352">
            <v>29703.499530465378</v>
          </cell>
          <cell r="AG352" t="str">
            <v>% brut</v>
          </cell>
          <cell r="AH352">
            <v>0.24061140536073111</v>
          </cell>
          <cell r="AI352">
            <v>35397.503503135864</v>
          </cell>
          <cell r="AJ352" t="str">
            <v>% brut</v>
          </cell>
          <cell r="AK352">
            <v>0.24008933721395737</v>
          </cell>
          <cell r="AL352">
            <v>38337.058256507313</v>
          </cell>
          <cell r="AM352" t="str">
            <v>% brut</v>
          </cell>
          <cell r="AN352">
            <v>0.2591012172262665</v>
          </cell>
          <cell r="AO352">
            <v>34549.442073888</v>
          </cell>
        </row>
        <row r="353">
          <cell r="A353" t="str">
            <v>Pièces</v>
          </cell>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t="str">
            <v>PiècesTOTAL DES DÉPENSES</v>
          </cell>
          <cell r="C354" t="str">
            <v>% brut</v>
          </cell>
          <cell r="D354">
            <v>0.61624525850684009</v>
          </cell>
          <cell r="E354">
            <v>1022001.3086743352</v>
          </cell>
          <cell r="F354" t="str">
            <v>% brut</v>
          </cell>
          <cell r="G354">
            <v>0.73910514213864054</v>
          </cell>
          <cell r="H354">
            <v>87869.412591995599</v>
          </cell>
          <cell r="I354" t="str">
            <v>% brut</v>
          </cell>
          <cell r="J354">
            <v>0.67689359515524483</v>
          </cell>
          <cell r="K354">
            <v>77611.497550978122</v>
          </cell>
          <cell r="L354" t="str">
            <v>% brut</v>
          </cell>
          <cell r="M354">
            <v>0.52610407583056418</v>
          </cell>
          <cell r="N354">
            <v>80200.114635934617</v>
          </cell>
          <cell r="O354" t="str">
            <v>% brut</v>
          </cell>
          <cell r="P354">
            <v>0.75107924704947981</v>
          </cell>
          <cell r="Q354">
            <v>87835.648661681655</v>
          </cell>
          <cell r="R354" t="str">
            <v>% brut</v>
          </cell>
          <cell r="S354">
            <v>0.65414864656123783</v>
          </cell>
          <cell r="T354">
            <v>93955.45187616974</v>
          </cell>
          <cell r="U354" t="str">
            <v>% brut</v>
          </cell>
          <cell r="V354">
            <v>0.52503228738846353</v>
          </cell>
          <cell r="W354">
            <v>77885.577924465571</v>
          </cell>
          <cell r="X354" t="str">
            <v>% brut</v>
          </cell>
          <cell r="Y354">
            <v>0.69859395702161486</v>
          </cell>
          <cell r="Z354">
            <v>90502.624945709467</v>
          </cell>
          <cell r="AA354" t="str">
            <v>% brut</v>
          </cell>
          <cell r="AB354">
            <v>0.59084283696565842</v>
          </cell>
          <cell r="AC354">
            <v>76798.228019872098</v>
          </cell>
          <cell r="AD354" t="str">
            <v>% brut</v>
          </cell>
          <cell r="AE354">
            <v>0.47098464730282646</v>
          </cell>
          <cell r="AF354">
            <v>77175.172664583632</v>
          </cell>
          <cell r="AG354" t="str">
            <v>% brut</v>
          </cell>
          <cell r="AH354">
            <v>0.63626122201285673</v>
          </cell>
          <cell r="AI354">
            <v>93603.454920783668</v>
          </cell>
          <cell r="AJ354" t="str">
            <v>% brut</v>
          </cell>
          <cell r="AK354">
            <v>0.53738503640270452</v>
          </cell>
          <cell r="AL354">
            <v>85808.731390625559</v>
          </cell>
          <cell r="AM354" t="str">
            <v>% brut</v>
          </cell>
          <cell r="AN354">
            <v>0.69561283526839013</v>
          </cell>
          <cell r="AO354">
            <v>92755.393491535797</v>
          </cell>
        </row>
        <row r="355">
          <cell r="A355" t="str">
            <v>Pièces</v>
          </cell>
          <cell r="C355"/>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t="str">
            <v>PiècesPROFIT DÉPARTEMENTAL</v>
          </cell>
          <cell r="C356"/>
          <cell r="D356">
            <v>0.38375474149315997</v>
          </cell>
          <cell r="E356">
            <v>636431.42499186867</v>
          </cell>
          <cell r="F356"/>
          <cell r="G356"/>
          <cell r="H356">
            <v>31016.802078004825</v>
          </cell>
          <cell r="I356"/>
          <cell r="J356"/>
          <cell r="K356">
            <v>37046.844774122481</v>
          </cell>
          <cell r="L356"/>
          <cell r="M356"/>
          <cell r="N356">
            <v>72241.423683878122</v>
          </cell>
          <cell r="O356"/>
          <cell r="P356"/>
          <cell r="Q356">
            <v>29110.264844426958</v>
          </cell>
          <cell r="R356"/>
          <cell r="S356"/>
          <cell r="T356">
            <v>49674.673126885114</v>
          </cell>
          <cell r="U356"/>
          <cell r="V356"/>
          <cell r="W356">
            <v>70458.780689882275</v>
          </cell>
          <cell r="X356"/>
          <cell r="Y356"/>
          <cell r="Z356">
            <v>39047.057006247749</v>
          </cell>
          <cell r="AA356"/>
          <cell r="AB356"/>
          <cell r="AC356">
            <v>53182.577729213837</v>
          </cell>
          <cell r="AD356"/>
          <cell r="AE356"/>
          <cell r="AF356">
            <v>86684.038259892055</v>
          </cell>
          <cell r="AG356"/>
          <cell r="AH356"/>
          <cell r="AI356">
            <v>53511.364719901991</v>
          </cell>
          <cell r="AJ356"/>
          <cell r="AK356"/>
          <cell r="AL356">
            <v>73869.572949658264</v>
          </cell>
          <cell r="AM356"/>
          <cell r="AN356"/>
          <cell r="AO356">
            <v>40588.025129754795</v>
          </cell>
        </row>
        <row r="357">
          <cell r="A357"/>
          <cell r="C357"/>
          <cell r="D357"/>
          <cell r="E357"/>
          <cell r="F357"/>
          <cell r="G357"/>
          <cell r="H357"/>
          <cell r="I357"/>
          <cell r="J357"/>
          <cell r="K357"/>
          <cell r="L357"/>
          <cell r="M357"/>
          <cell r="N357"/>
          <cell r="O357"/>
          <cell r="P357"/>
          <cell r="Q357"/>
          <cell r="R357"/>
          <cell r="S357"/>
          <cell r="T357"/>
          <cell r="U357"/>
          <cell r="V357"/>
          <cell r="W357"/>
          <cell r="X357"/>
          <cell r="Y357"/>
          <cell r="Z357"/>
          <cell r="AA357"/>
          <cell r="AB357"/>
          <cell r="AC357"/>
          <cell r="AD357"/>
          <cell r="AE357"/>
          <cell r="AF357"/>
          <cell r="AG357"/>
          <cell r="AH357"/>
          <cell r="AI357"/>
          <cell r="AJ357"/>
          <cell r="AK357"/>
          <cell r="AL357"/>
          <cell r="AM357"/>
          <cell r="AN357"/>
          <cell r="AO357"/>
        </row>
        <row r="358">
          <cell r="A358"/>
          <cell r="C358"/>
          <cell r="D358"/>
          <cell r="E358"/>
          <cell r="F358"/>
          <cell r="G358"/>
          <cell r="H358"/>
          <cell r="I358"/>
          <cell r="J358"/>
          <cell r="K358"/>
          <cell r="L358"/>
          <cell r="M358"/>
          <cell r="N358"/>
          <cell r="O358"/>
          <cell r="P358"/>
          <cell r="Q358"/>
          <cell r="R358"/>
          <cell r="S358"/>
          <cell r="T358"/>
          <cell r="U358"/>
          <cell r="V358"/>
          <cell r="W358"/>
          <cell r="X358"/>
          <cell r="Y358"/>
          <cell r="Z358"/>
          <cell r="AA358"/>
          <cell r="AB358"/>
          <cell r="AC358"/>
          <cell r="AD358"/>
          <cell r="AE358"/>
          <cell r="AF358"/>
          <cell r="AG358"/>
          <cell r="AH358"/>
          <cell r="AI358"/>
          <cell r="AJ358"/>
          <cell r="AK358"/>
          <cell r="AL358"/>
          <cell r="AM358"/>
          <cell r="AN358"/>
          <cell r="AO358"/>
        </row>
        <row r="359">
          <cell r="A359"/>
          <cell r="C359" t="str">
            <v>Boutique</v>
          </cell>
          <cell r="D359"/>
          <cell r="E359"/>
          <cell r="F359"/>
          <cell r="G359"/>
          <cell r="H359"/>
          <cell r="I359"/>
          <cell r="J359"/>
          <cell r="K359"/>
          <cell r="L359"/>
          <cell r="M359"/>
          <cell r="N359"/>
          <cell r="O359"/>
          <cell r="P359"/>
          <cell r="Q359"/>
          <cell r="R359"/>
          <cell r="S359"/>
          <cell r="T359"/>
          <cell r="U359"/>
          <cell r="V359"/>
          <cell r="W359"/>
          <cell r="X359"/>
          <cell r="Y359"/>
          <cell r="Z359"/>
          <cell r="AA359"/>
          <cell r="AB359"/>
          <cell r="AC359"/>
          <cell r="AD359"/>
          <cell r="AE359"/>
          <cell r="AF359"/>
          <cell r="AG359"/>
          <cell r="AH359"/>
          <cell r="AI359"/>
          <cell r="AJ359"/>
          <cell r="AK359"/>
          <cell r="AL359"/>
          <cell r="AM359"/>
          <cell r="AN359"/>
          <cell r="AO359"/>
        </row>
        <row r="360">
          <cell r="A360"/>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cell r="C361">
            <v>2021</v>
          </cell>
          <cell r="D361"/>
          <cell r="E361"/>
          <cell r="F361" t="str">
            <v>Janvier</v>
          </cell>
          <cell r="G361"/>
          <cell r="H361"/>
          <cell r="I361" t="str">
            <v>Février</v>
          </cell>
          <cell r="J361"/>
          <cell r="K361"/>
          <cell r="L361" t="str">
            <v>Mars</v>
          </cell>
          <cell r="M361"/>
          <cell r="N361"/>
          <cell r="O361" t="str">
            <v>Avril</v>
          </cell>
          <cell r="P361"/>
          <cell r="Q361"/>
          <cell r="R361" t="str">
            <v>Mai</v>
          </cell>
          <cell r="S361"/>
          <cell r="T361"/>
          <cell r="U361" t="str">
            <v>Juin</v>
          </cell>
          <cell r="V361"/>
          <cell r="W361"/>
          <cell r="X361" t="str">
            <v>Juillet</v>
          </cell>
          <cell r="Y361"/>
          <cell r="Z361"/>
          <cell r="AA361" t="str">
            <v>Août</v>
          </cell>
          <cell r="AB361"/>
          <cell r="AC361"/>
          <cell r="AD361" t="str">
            <v>Septembre</v>
          </cell>
          <cell r="AE361"/>
          <cell r="AF361"/>
          <cell r="AG361" t="str">
            <v>Octobre</v>
          </cell>
          <cell r="AH361"/>
          <cell r="AI361"/>
          <cell r="AJ361" t="str">
            <v>Novembre</v>
          </cell>
          <cell r="AK361"/>
          <cell r="AL361"/>
          <cell r="AM361" t="str">
            <v>Décembre</v>
          </cell>
          <cell r="AN361"/>
          <cell r="AO361"/>
        </row>
        <row r="362">
          <cell r="A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cell r="G363">
            <v>0</v>
          </cell>
          <cell r="H363"/>
          <cell r="I363"/>
          <cell r="J363">
            <v>0</v>
          </cell>
          <cell r="K363"/>
          <cell r="L363"/>
          <cell r="M363">
            <v>0</v>
          </cell>
          <cell r="N363"/>
          <cell r="O363"/>
          <cell r="P363">
            <v>0</v>
          </cell>
          <cell r="Q363"/>
          <cell r="R363"/>
          <cell r="S363">
            <v>0</v>
          </cell>
          <cell r="T363"/>
          <cell r="U363"/>
          <cell r="V363">
            <v>0</v>
          </cell>
          <cell r="W363"/>
          <cell r="X363"/>
          <cell r="Y363">
            <v>0</v>
          </cell>
          <cell r="Z363"/>
          <cell r="AA363"/>
          <cell r="AB363">
            <v>0</v>
          </cell>
          <cell r="AC363"/>
          <cell r="AD363"/>
          <cell r="AE363">
            <v>0</v>
          </cell>
          <cell r="AF363"/>
          <cell r="AG363"/>
          <cell r="AH363">
            <v>0</v>
          </cell>
          <cell r="AI363"/>
          <cell r="AJ363"/>
          <cell r="AK363">
            <v>0</v>
          </cell>
          <cell r="AL363"/>
          <cell r="AM363"/>
          <cell r="AN363">
            <v>0</v>
          </cell>
          <cell r="AO363"/>
        </row>
        <row r="364">
          <cell r="A364" t="str">
            <v>Boutique</v>
          </cell>
          <cell r="C364"/>
          <cell r="D364"/>
          <cell r="E364"/>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cell r="C366"/>
          <cell r="D366"/>
          <cell r="E366"/>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BoutiqueDEPENSES</v>
          </cell>
          <cell r="C367"/>
          <cell r="D367"/>
          <cell r="E367"/>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BoutiqueSalaires cadres</v>
          </cell>
          <cell r="C368"/>
          <cell r="D368"/>
          <cell r="E368">
            <v>0</v>
          </cell>
          <cell r="F368"/>
          <cell r="G368"/>
          <cell r="H368"/>
          <cell r="I368"/>
          <cell r="J368"/>
          <cell r="K368"/>
          <cell r="L368"/>
          <cell r="M368"/>
          <cell r="N368"/>
          <cell r="O368"/>
          <cell r="P368"/>
          <cell r="Q368"/>
          <cell r="R368"/>
          <cell r="S368"/>
          <cell r="T368"/>
          <cell r="U368"/>
          <cell r="V368"/>
          <cell r="W368"/>
          <cell r="X368"/>
          <cell r="Y368"/>
          <cell r="Z368"/>
          <cell r="AA368"/>
          <cell r="AB368"/>
          <cell r="AC368"/>
          <cell r="AD368"/>
          <cell r="AE368"/>
          <cell r="AF368"/>
          <cell r="AG368"/>
          <cell r="AH368"/>
          <cell r="AI368"/>
          <cell r="AJ368"/>
          <cell r="AK368"/>
          <cell r="AL368"/>
          <cell r="AM368"/>
          <cell r="AN368"/>
          <cell r="AO368"/>
        </row>
        <row r="369">
          <cell r="A369" t="str">
            <v>BoutiqueSalaires commis</v>
          </cell>
          <cell r="C369"/>
          <cell r="D369"/>
          <cell r="E369">
            <v>0</v>
          </cell>
          <cell r="F369"/>
          <cell r="G369"/>
          <cell r="H369"/>
          <cell r="I369"/>
          <cell r="J369"/>
          <cell r="K369"/>
          <cell r="L369"/>
          <cell r="M369"/>
          <cell r="N369"/>
          <cell r="O369"/>
          <cell r="P369"/>
          <cell r="Q369"/>
          <cell r="R369"/>
          <cell r="S369"/>
          <cell r="T369"/>
          <cell r="U369"/>
          <cell r="V369"/>
          <cell r="W369"/>
          <cell r="X369"/>
          <cell r="Y369"/>
          <cell r="Z369"/>
          <cell r="AA369"/>
          <cell r="AB369"/>
          <cell r="AC369"/>
          <cell r="AD369"/>
          <cell r="AE369"/>
          <cell r="AF369"/>
          <cell r="AG369"/>
          <cell r="AH369"/>
          <cell r="AI369"/>
          <cell r="AJ369"/>
          <cell r="AK369"/>
          <cell r="AL369"/>
          <cell r="AM369"/>
          <cell r="AN369"/>
          <cell r="AO369"/>
        </row>
        <row r="370">
          <cell r="A370" t="str">
            <v>BoutiqueSalaires autres</v>
          </cell>
          <cell r="C370"/>
          <cell r="D370"/>
          <cell r="E370">
            <v>0</v>
          </cell>
          <cell r="F370"/>
          <cell r="G370"/>
          <cell r="H370"/>
          <cell r="I370"/>
          <cell r="J370"/>
          <cell r="K370"/>
          <cell r="L370"/>
          <cell r="M370"/>
          <cell r="N370"/>
          <cell r="O370"/>
          <cell r="P370"/>
          <cell r="Q370"/>
          <cell r="R370"/>
          <cell r="S370"/>
          <cell r="T370"/>
          <cell r="U370"/>
          <cell r="V370"/>
          <cell r="W370"/>
          <cell r="X370"/>
          <cell r="Y370"/>
          <cell r="Z370"/>
          <cell r="AA370"/>
          <cell r="AB370"/>
          <cell r="AC370"/>
          <cell r="AD370"/>
          <cell r="AE370"/>
          <cell r="AF370"/>
          <cell r="AG370"/>
          <cell r="AH370"/>
          <cell r="AI370"/>
          <cell r="AJ370"/>
          <cell r="AK370"/>
          <cell r="AL370"/>
          <cell r="AM370"/>
          <cell r="AN370"/>
          <cell r="AO370"/>
        </row>
        <row r="371">
          <cell r="A371" t="str">
            <v>BoutiqueSalaires spécialistes</v>
          </cell>
          <cell r="C371"/>
          <cell r="D371"/>
          <cell r="E371">
            <v>0</v>
          </cell>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row>
        <row r="372">
          <cell r="A372" t="str">
            <v>Boutique[...]</v>
          </cell>
          <cell r="C372"/>
          <cell r="D372"/>
          <cell r="E372">
            <v>0</v>
          </cell>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v>
          </cell>
          <cell r="C373"/>
          <cell r="D373"/>
          <cell r="E373">
            <v>0</v>
          </cell>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v>
          </cell>
          <cell r="C374"/>
          <cell r="D374"/>
          <cell r="E374">
            <v>0</v>
          </cell>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BoutiqueSalaires en absences</v>
          </cell>
          <cell r="C375"/>
          <cell r="D375"/>
          <cell r="E375">
            <v>0</v>
          </cell>
          <cell r="F375"/>
          <cell r="G375"/>
          <cell r="H375"/>
          <cell r="I375"/>
          <cell r="J375"/>
          <cell r="K375"/>
          <cell r="L375"/>
          <cell r="M375"/>
          <cell r="N375"/>
          <cell r="O375"/>
          <cell r="P375"/>
          <cell r="Q375"/>
          <cell r="R375"/>
          <cell r="S375"/>
          <cell r="T375"/>
          <cell r="U375"/>
          <cell r="V375"/>
          <cell r="W375"/>
          <cell r="X375"/>
          <cell r="Y375"/>
          <cell r="Z375"/>
          <cell r="AA375"/>
          <cell r="AB375"/>
          <cell r="AC375"/>
          <cell r="AD375"/>
          <cell r="AE375"/>
          <cell r="AF375"/>
          <cell r="AG375"/>
          <cell r="AH375"/>
          <cell r="AI375"/>
          <cell r="AJ375"/>
          <cell r="AK375"/>
          <cell r="AL375"/>
          <cell r="AM375"/>
          <cell r="AN375"/>
          <cell r="AO375"/>
        </row>
        <row r="376">
          <cell r="A376" t="str">
            <v>BoutiqueDéduction à la source</v>
          </cell>
          <cell r="C376"/>
          <cell r="D376"/>
          <cell r="E376">
            <v>0</v>
          </cell>
          <cell r="F376"/>
          <cell r="G376"/>
          <cell r="H376"/>
          <cell r="I376"/>
          <cell r="J376"/>
          <cell r="K376"/>
          <cell r="L376"/>
          <cell r="M376"/>
          <cell r="N376"/>
          <cell r="O376"/>
          <cell r="P376"/>
          <cell r="Q376"/>
          <cell r="R376"/>
          <cell r="S376"/>
          <cell r="T376"/>
          <cell r="U376"/>
          <cell r="V376"/>
          <cell r="W376"/>
          <cell r="X376"/>
          <cell r="Y376"/>
          <cell r="Z376"/>
          <cell r="AA376"/>
          <cell r="AB376"/>
          <cell r="AC376"/>
          <cell r="AD376"/>
          <cell r="AE376"/>
          <cell r="AF376"/>
          <cell r="AG376"/>
          <cell r="AH376"/>
          <cell r="AI376"/>
          <cell r="AJ376"/>
          <cell r="AK376"/>
          <cell r="AL376"/>
          <cell r="AM376"/>
          <cell r="AN376"/>
          <cell r="AO376"/>
        </row>
        <row r="377">
          <cell r="A377" t="str">
            <v>BoutiqueBénéfices marginaux</v>
          </cell>
          <cell r="C377"/>
          <cell r="D377"/>
          <cell r="E377">
            <v>0</v>
          </cell>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row>
        <row r="378">
          <cell r="A378" t="str">
            <v>BoutiqueCsst</v>
          </cell>
          <cell r="C378"/>
          <cell r="D378"/>
          <cell r="E378">
            <v>0</v>
          </cell>
          <cell r="F378"/>
          <cell r="G378"/>
          <cell r="H378"/>
          <cell r="I378"/>
          <cell r="J378"/>
          <cell r="K378"/>
          <cell r="L378"/>
          <cell r="M378"/>
          <cell r="N378"/>
          <cell r="O378"/>
          <cell r="P378"/>
          <cell r="Q378"/>
          <cell r="R378"/>
          <cell r="S378"/>
          <cell r="T378"/>
          <cell r="U378"/>
          <cell r="V378"/>
          <cell r="W378"/>
          <cell r="X378"/>
          <cell r="Y378"/>
          <cell r="Z378"/>
          <cell r="AA378"/>
          <cell r="AB378"/>
          <cell r="AC378"/>
          <cell r="AD378"/>
          <cell r="AE378"/>
          <cell r="AF378"/>
          <cell r="AG378"/>
          <cell r="AH378"/>
          <cell r="AI378"/>
          <cell r="AJ378"/>
          <cell r="AK378"/>
          <cell r="AL378"/>
          <cell r="AM378"/>
          <cell r="AN378"/>
          <cell r="AO378"/>
        </row>
        <row r="379">
          <cell r="A379" t="str">
            <v>Boutique[...]</v>
          </cell>
          <cell r="C379"/>
          <cell r="D379"/>
          <cell r="E379">
            <v>0</v>
          </cell>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BoutiqueTOTAL PERSONNEL</v>
          </cell>
          <cell r="C380" t="str">
            <v>% brut</v>
          </cell>
          <cell r="D380">
            <v>0</v>
          </cell>
          <cell r="E380">
            <v>0</v>
          </cell>
          <cell r="F380" t="str">
            <v>% brut</v>
          </cell>
          <cell r="G380">
            <v>0</v>
          </cell>
          <cell r="H380">
            <v>0</v>
          </cell>
          <cell r="I380" t="str">
            <v>% brut</v>
          </cell>
          <cell r="J380">
            <v>0</v>
          </cell>
          <cell r="K380">
            <v>0</v>
          </cell>
          <cell r="L380" t="str">
            <v>% brut</v>
          </cell>
          <cell r="M380">
            <v>0</v>
          </cell>
          <cell r="N380">
            <v>0</v>
          </cell>
          <cell r="O380" t="str">
            <v>% brut</v>
          </cell>
          <cell r="P380">
            <v>0</v>
          </cell>
          <cell r="Q380">
            <v>0</v>
          </cell>
          <cell r="R380" t="str">
            <v>% brut</v>
          </cell>
          <cell r="S380">
            <v>0</v>
          </cell>
          <cell r="T380">
            <v>0</v>
          </cell>
          <cell r="U380" t="str">
            <v>% brut</v>
          </cell>
          <cell r="V380">
            <v>0</v>
          </cell>
          <cell r="W380">
            <v>0</v>
          </cell>
          <cell r="X380" t="str">
            <v>% brut</v>
          </cell>
          <cell r="Y380">
            <v>0</v>
          </cell>
          <cell r="Z380">
            <v>0</v>
          </cell>
          <cell r="AA380" t="str">
            <v>% brut</v>
          </cell>
          <cell r="AB380">
            <v>0</v>
          </cell>
          <cell r="AC380">
            <v>0</v>
          </cell>
          <cell r="AD380" t="str">
            <v>% brut</v>
          </cell>
          <cell r="AE380">
            <v>0</v>
          </cell>
          <cell r="AF380">
            <v>0</v>
          </cell>
          <cell r="AG380" t="str">
            <v>% brut</v>
          </cell>
          <cell r="AH380">
            <v>0</v>
          </cell>
          <cell r="AI380">
            <v>0</v>
          </cell>
          <cell r="AJ380" t="str">
            <v>% brut</v>
          </cell>
          <cell r="AK380">
            <v>0</v>
          </cell>
          <cell r="AL380">
            <v>0</v>
          </cell>
          <cell r="AM380" t="str">
            <v>% brut</v>
          </cell>
          <cell r="AN380">
            <v>0</v>
          </cell>
          <cell r="AO380">
            <v>0</v>
          </cell>
        </row>
        <row r="381">
          <cell r="A381" t="str">
            <v>BoutiquePublicité 2</v>
          </cell>
          <cell r="C381"/>
          <cell r="D381"/>
          <cell r="E381">
            <v>0</v>
          </cell>
          <cell r="F381"/>
          <cell r="G381"/>
          <cell r="H381"/>
          <cell r="I381"/>
          <cell r="J381"/>
          <cell r="K381"/>
          <cell r="L381"/>
          <cell r="M381"/>
          <cell r="N381"/>
          <cell r="O381"/>
          <cell r="P381"/>
          <cell r="Q381"/>
          <cell r="R381"/>
          <cell r="S381"/>
          <cell r="T381"/>
          <cell r="U381"/>
          <cell r="V381"/>
          <cell r="W381"/>
          <cell r="X381"/>
          <cell r="Y381"/>
          <cell r="Z381"/>
          <cell r="AA381"/>
          <cell r="AB381"/>
          <cell r="AC381"/>
          <cell r="AD381"/>
          <cell r="AE381"/>
          <cell r="AF381"/>
          <cell r="AG381"/>
          <cell r="AH381"/>
          <cell r="AI381"/>
          <cell r="AJ381"/>
          <cell r="AK381"/>
          <cell r="AL381"/>
          <cell r="AM381"/>
          <cell r="AN381"/>
          <cell r="AO381"/>
        </row>
        <row r="382">
          <cell r="A382" t="str">
            <v>BoutiqueService gratuit 2</v>
          </cell>
          <cell r="C382"/>
          <cell r="D382"/>
          <cell r="E382">
            <v>0</v>
          </cell>
          <cell r="F382"/>
          <cell r="G382"/>
          <cell r="H382"/>
          <cell r="I382"/>
          <cell r="J382"/>
          <cell r="K382"/>
          <cell r="L382"/>
          <cell r="M382"/>
          <cell r="N382"/>
          <cell r="O382"/>
          <cell r="P382"/>
          <cell r="Q382"/>
          <cell r="R382"/>
          <cell r="S382"/>
          <cell r="T382"/>
          <cell r="U382"/>
          <cell r="V382"/>
          <cell r="W382"/>
          <cell r="X382"/>
          <cell r="Y382"/>
          <cell r="Z382"/>
          <cell r="AA382"/>
          <cell r="AB382"/>
          <cell r="AC382"/>
          <cell r="AD382"/>
          <cell r="AE382"/>
          <cell r="AF382"/>
          <cell r="AG382"/>
          <cell r="AH382"/>
          <cell r="AI382"/>
          <cell r="AJ382"/>
          <cell r="AK382"/>
          <cell r="AL382"/>
          <cell r="AM382"/>
          <cell r="AN382"/>
          <cell r="AO382"/>
        </row>
        <row r="383">
          <cell r="A383" t="str">
            <v>BoutiqueFrais véhicules de cie</v>
          </cell>
          <cell r="C383"/>
          <cell r="D383"/>
          <cell r="E383">
            <v>0</v>
          </cell>
          <cell r="F383"/>
          <cell r="G383"/>
          <cell r="H383"/>
          <cell r="I383"/>
          <cell r="J383"/>
          <cell r="K383"/>
          <cell r="L383"/>
          <cell r="M383"/>
          <cell r="N383"/>
          <cell r="O383"/>
          <cell r="P383"/>
          <cell r="Q383"/>
          <cell r="R383"/>
          <cell r="S383"/>
          <cell r="T383"/>
          <cell r="U383"/>
          <cell r="V383"/>
          <cell r="W383"/>
          <cell r="X383"/>
          <cell r="Y383"/>
          <cell r="Z383"/>
          <cell r="AA383"/>
          <cell r="AB383"/>
          <cell r="AC383"/>
          <cell r="AD383"/>
          <cell r="AE383"/>
          <cell r="AF383"/>
          <cell r="AG383"/>
          <cell r="AH383"/>
          <cell r="AI383"/>
          <cell r="AJ383"/>
          <cell r="AK383"/>
          <cell r="AL383"/>
          <cell r="AM383"/>
          <cell r="AN383"/>
          <cell r="AO383"/>
        </row>
        <row r="384">
          <cell r="A384" t="str">
            <v>BoutiqueInformatique</v>
          </cell>
          <cell r="C384"/>
          <cell r="D384"/>
          <cell r="E384">
            <v>0</v>
          </cell>
          <cell r="F384"/>
          <cell r="G384"/>
          <cell r="H384"/>
          <cell r="I384"/>
          <cell r="J384"/>
          <cell r="K384"/>
          <cell r="L384"/>
          <cell r="M384"/>
          <cell r="N384"/>
          <cell r="O384"/>
          <cell r="P384"/>
          <cell r="Q384"/>
          <cell r="R384"/>
          <cell r="S384"/>
          <cell r="T384"/>
          <cell r="U384"/>
          <cell r="V384"/>
          <cell r="W384"/>
          <cell r="X384"/>
          <cell r="Y384"/>
          <cell r="Z384"/>
          <cell r="AA384"/>
          <cell r="AB384"/>
          <cell r="AC384"/>
          <cell r="AD384"/>
          <cell r="AE384"/>
          <cell r="AF384"/>
          <cell r="AG384"/>
          <cell r="AH384"/>
          <cell r="AI384"/>
          <cell r="AJ384"/>
          <cell r="AK384"/>
          <cell r="AL384"/>
          <cell r="AM384"/>
          <cell r="AN384"/>
          <cell r="AO384"/>
        </row>
        <row r="385">
          <cell r="A385" t="str">
            <v>BoutiqueFrais de déplacement</v>
          </cell>
          <cell r="C385"/>
          <cell r="D385"/>
          <cell r="E385">
            <v>0</v>
          </cell>
          <cell r="F385"/>
          <cell r="G385"/>
          <cell r="H385"/>
          <cell r="I385"/>
          <cell r="J385"/>
          <cell r="K385"/>
          <cell r="L385"/>
          <cell r="M385"/>
          <cell r="N385"/>
          <cell r="O385"/>
          <cell r="P385"/>
          <cell r="Q385"/>
          <cell r="R385"/>
          <cell r="S385"/>
          <cell r="T385"/>
          <cell r="U385"/>
          <cell r="V385"/>
          <cell r="W385"/>
          <cell r="X385"/>
          <cell r="Y385"/>
          <cell r="Z385"/>
          <cell r="AA385"/>
          <cell r="AB385"/>
          <cell r="AC385"/>
          <cell r="AD385"/>
          <cell r="AE385"/>
          <cell r="AF385"/>
          <cell r="AG385"/>
          <cell r="AH385"/>
          <cell r="AI385"/>
          <cell r="AJ385"/>
          <cell r="AK385"/>
          <cell r="AL385"/>
          <cell r="AM385"/>
          <cell r="AN385"/>
          <cell r="AO385"/>
        </row>
        <row r="386">
          <cell r="A386" t="str">
            <v>BoutiqueServices extérieurs</v>
          </cell>
          <cell r="C386"/>
          <cell r="D386"/>
          <cell r="E386">
            <v>0</v>
          </cell>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row>
        <row r="387">
          <cell r="A387" t="str">
            <v>BoutiqueFournitures autres</v>
          </cell>
          <cell r="C387"/>
          <cell r="D387"/>
          <cell r="E387">
            <v>0</v>
          </cell>
          <cell r="F387"/>
          <cell r="G387"/>
          <cell r="H387"/>
          <cell r="I387"/>
          <cell r="J387"/>
          <cell r="K387"/>
          <cell r="L387"/>
          <cell r="M387"/>
          <cell r="N387"/>
          <cell r="O387"/>
          <cell r="P387"/>
          <cell r="Q387"/>
          <cell r="R387"/>
          <cell r="S387"/>
          <cell r="T387"/>
          <cell r="U387"/>
          <cell r="V387"/>
          <cell r="W387"/>
          <cell r="X387"/>
          <cell r="Y387"/>
          <cell r="Z387"/>
          <cell r="AA387"/>
          <cell r="AB387"/>
          <cell r="AC387"/>
          <cell r="AD387"/>
          <cell r="AE387"/>
          <cell r="AF387"/>
          <cell r="AG387"/>
          <cell r="AH387"/>
          <cell r="AI387"/>
          <cell r="AJ387"/>
          <cell r="AK387"/>
          <cell r="AL387"/>
          <cell r="AM387"/>
          <cell r="AN387"/>
          <cell r="AO387"/>
        </row>
        <row r="388">
          <cell r="A388" t="str">
            <v>BoutiqueUniformes</v>
          </cell>
          <cell r="C388"/>
          <cell r="D388"/>
          <cell r="E388">
            <v>0</v>
          </cell>
          <cell r="F388"/>
          <cell r="G388"/>
          <cell r="H388"/>
          <cell r="I388"/>
          <cell r="J388"/>
          <cell r="K388"/>
          <cell r="L388"/>
          <cell r="M388"/>
          <cell r="N388"/>
          <cell r="O388"/>
          <cell r="P388"/>
          <cell r="Q388"/>
          <cell r="R388"/>
          <cell r="S388"/>
          <cell r="T388"/>
          <cell r="U388"/>
          <cell r="V388"/>
          <cell r="W388"/>
          <cell r="X388"/>
          <cell r="Y388"/>
          <cell r="Z388"/>
          <cell r="AA388"/>
          <cell r="AB388"/>
          <cell r="AC388"/>
          <cell r="AD388"/>
          <cell r="AE388"/>
          <cell r="AF388"/>
          <cell r="AG388"/>
          <cell r="AH388"/>
          <cell r="AI388"/>
          <cell r="AJ388"/>
          <cell r="AK388"/>
          <cell r="AL388"/>
          <cell r="AM388"/>
          <cell r="AN388"/>
          <cell r="AO388"/>
        </row>
        <row r="389">
          <cell r="A389" t="str">
            <v>BoutiquePapeterie</v>
          </cell>
          <cell r="C389"/>
          <cell r="D389"/>
          <cell r="E389">
            <v>0</v>
          </cell>
          <cell r="F389"/>
          <cell r="G389"/>
          <cell r="H389"/>
          <cell r="I389"/>
          <cell r="J389"/>
          <cell r="K389"/>
          <cell r="L389"/>
          <cell r="M389"/>
          <cell r="N389"/>
          <cell r="O389"/>
          <cell r="P389"/>
          <cell r="Q389"/>
          <cell r="R389"/>
          <cell r="S389"/>
          <cell r="T389"/>
          <cell r="U389"/>
          <cell r="V389"/>
          <cell r="W389"/>
          <cell r="X389"/>
          <cell r="Y389"/>
          <cell r="Z389"/>
          <cell r="AA389"/>
          <cell r="AB389"/>
          <cell r="AC389"/>
          <cell r="AD389"/>
          <cell r="AE389"/>
          <cell r="AF389"/>
          <cell r="AG389"/>
          <cell r="AH389"/>
          <cell r="AI389"/>
          <cell r="AJ389"/>
          <cell r="AK389"/>
          <cell r="AL389"/>
          <cell r="AM389"/>
          <cell r="AN389"/>
          <cell r="AO389"/>
        </row>
        <row r="390">
          <cell r="A390" t="str">
            <v>BoutiqueTéléphone</v>
          </cell>
          <cell r="C390"/>
          <cell r="D390"/>
          <cell r="E390">
            <v>0</v>
          </cell>
          <cell r="F390"/>
          <cell r="G390"/>
          <cell r="H390"/>
          <cell r="I390"/>
          <cell r="J390"/>
          <cell r="K390"/>
          <cell r="L390"/>
          <cell r="M390"/>
          <cell r="N390"/>
          <cell r="O390"/>
          <cell r="P390"/>
          <cell r="Q390"/>
          <cell r="R390"/>
          <cell r="S390"/>
          <cell r="T390"/>
          <cell r="U390"/>
          <cell r="V390"/>
          <cell r="W390"/>
          <cell r="X390"/>
          <cell r="Y390"/>
          <cell r="Z390"/>
          <cell r="AA390"/>
          <cell r="AB390"/>
          <cell r="AC390"/>
          <cell r="AD390"/>
          <cell r="AE390"/>
          <cell r="AF390"/>
          <cell r="AG390"/>
          <cell r="AH390"/>
          <cell r="AI390"/>
          <cell r="AJ390"/>
          <cell r="AK390"/>
          <cell r="AL390"/>
          <cell r="AM390"/>
          <cell r="AN390"/>
          <cell r="AO390"/>
        </row>
        <row r="391">
          <cell r="A391" t="str">
            <v>BoutiqueFrais postaux</v>
          </cell>
          <cell r="C391"/>
          <cell r="D391"/>
          <cell r="E391">
            <v>0</v>
          </cell>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row>
        <row r="392">
          <cell r="A392" t="str">
            <v>BoutiqueDivers</v>
          </cell>
          <cell r="C392"/>
          <cell r="D392"/>
          <cell r="E392">
            <v>0</v>
          </cell>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row>
        <row r="393">
          <cell r="A393" t="str">
            <v>BoutiqueFormation</v>
          </cell>
          <cell r="C393"/>
          <cell r="D393"/>
          <cell r="E393">
            <v>0</v>
          </cell>
          <cell r="F393"/>
          <cell r="G393"/>
          <cell r="H393"/>
          <cell r="I393"/>
          <cell r="J393"/>
          <cell r="K393"/>
          <cell r="L393"/>
          <cell r="M393"/>
          <cell r="N393"/>
          <cell r="O393"/>
          <cell r="P393"/>
          <cell r="Q393"/>
          <cell r="R393"/>
          <cell r="S393"/>
          <cell r="T393"/>
          <cell r="U393"/>
          <cell r="V393"/>
          <cell r="W393"/>
          <cell r="X393"/>
          <cell r="Y393"/>
          <cell r="Z393"/>
          <cell r="AA393"/>
          <cell r="AB393"/>
          <cell r="AC393"/>
          <cell r="AD393"/>
          <cell r="AE393"/>
          <cell r="AF393"/>
          <cell r="AG393"/>
          <cell r="AH393"/>
          <cell r="AI393"/>
          <cell r="AJ393"/>
          <cell r="AK393"/>
          <cell r="AL393"/>
          <cell r="AM393"/>
          <cell r="AN393"/>
          <cell r="AO393"/>
        </row>
        <row r="394">
          <cell r="A394" t="str">
            <v>BoutiqueFrais bancaires</v>
          </cell>
          <cell r="C394"/>
          <cell r="D394"/>
          <cell r="E394">
            <v>0</v>
          </cell>
          <cell r="F394"/>
          <cell r="G394"/>
          <cell r="H394"/>
          <cell r="I394"/>
          <cell r="J394"/>
          <cell r="K394"/>
          <cell r="L394"/>
          <cell r="M394"/>
          <cell r="N394"/>
          <cell r="O394"/>
          <cell r="P394"/>
          <cell r="Q394"/>
          <cell r="R394"/>
          <cell r="S394"/>
          <cell r="T394"/>
          <cell r="U394"/>
          <cell r="V394"/>
          <cell r="W394"/>
          <cell r="X394"/>
          <cell r="Y394"/>
          <cell r="Z394"/>
          <cell r="AA394"/>
          <cell r="AB394"/>
          <cell r="AC394"/>
          <cell r="AD394"/>
          <cell r="AE394"/>
          <cell r="AF394"/>
          <cell r="AG394"/>
          <cell r="AH394"/>
          <cell r="AI394"/>
          <cell r="AJ394"/>
          <cell r="AK394"/>
          <cell r="AL394"/>
          <cell r="AM394"/>
          <cell r="AN394"/>
          <cell r="AO394"/>
        </row>
        <row r="395">
          <cell r="A395" t="str">
            <v>Boutique[...]</v>
          </cell>
          <cell r="C395"/>
          <cell r="D395"/>
          <cell r="E395">
            <v>0</v>
          </cell>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v>
          </cell>
          <cell r="C396"/>
          <cell r="D396"/>
          <cell r="E396">
            <v>0</v>
          </cell>
          <cell r="F396"/>
          <cell r="G396"/>
          <cell r="H396"/>
          <cell r="I396"/>
          <cell r="J396"/>
          <cell r="K396"/>
          <cell r="L396"/>
          <cell r="M396"/>
          <cell r="N396"/>
          <cell r="O396"/>
          <cell r="P396"/>
          <cell r="Q396"/>
          <cell r="R396"/>
          <cell r="S396"/>
          <cell r="T396"/>
          <cell r="U396"/>
          <cell r="V396"/>
          <cell r="W396"/>
          <cell r="X396"/>
          <cell r="Y396"/>
          <cell r="Z396"/>
          <cell r="AA396"/>
          <cell r="AB396"/>
          <cell r="AC396"/>
          <cell r="AD396"/>
          <cell r="AE396"/>
          <cell r="AF396"/>
          <cell r="AG396"/>
          <cell r="AH396"/>
          <cell r="AI396"/>
          <cell r="AJ396"/>
          <cell r="AK396"/>
          <cell r="AL396"/>
          <cell r="AM396"/>
          <cell r="AN396"/>
          <cell r="AO396"/>
        </row>
        <row r="397">
          <cell r="A397" t="str">
            <v>Boutique[...]</v>
          </cell>
          <cell r="C397"/>
          <cell r="D397"/>
          <cell r="E397">
            <v>0</v>
          </cell>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cell r="C401"/>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t="str">
            <v>BoutiquePROFIT DÉPARTEMENTAL</v>
          </cell>
          <cell r="C402"/>
          <cell r="D402"/>
          <cell r="E402">
            <v>0</v>
          </cell>
          <cell r="F402"/>
          <cell r="G402"/>
          <cell r="H402">
            <v>0</v>
          </cell>
          <cell r="I402"/>
          <cell r="J402"/>
          <cell r="K402">
            <v>0</v>
          </cell>
          <cell r="L402"/>
          <cell r="M402"/>
          <cell r="N402">
            <v>0</v>
          </cell>
          <cell r="O402"/>
          <cell r="P402"/>
          <cell r="Q402">
            <v>0</v>
          </cell>
          <cell r="R402"/>
          <cell r="S402"/>
          <cell r="T402">
            <v>0</v>
          </cell>
          <cell r="U402"/>
          <cell r="V402"/>
          <cell r="W402">
            <v>0</v>
          </cell>
          <cell r="X402"/>
          <cell r="Y402"/>
          <cell r="Z402">
            <v>0</v>
          </cell>
          <cell r="AA402"/>
          <cell r="AB402"/>
          <cell r="AC402">
            <v>0</v>
          </cell>
          <cell r="AD402"/>
          <cell r="AE402"/>
          <cell r="AF402">
            <v>0</v>
          </cell>
          <cell r="AG402"/>
          <cell r="AH402"/>
          <cell r="AI402">
            <v>0</v>
          </cell>
          <cell r="AJ402"/>
          <cell r="AK402"/>
          <cell r="AL402">
            <v>0</v>
          </cell>
          <cell r="AM402"/>
          <cell r="AN402"/>
          <cell r="AO402">
            <v>0</v>
          </cell>
        </row>
        <row r="403">
          <cell r="A403"/>
          <cell r="C403"/>
          <cell r="D403"/>
          <cell r="E403"/>
          <cell r="F403"/>
          <cell r="G403"/>
          <cell r="H403"/>
          <cell r="I403"/>
          <cell r="J403"/>
          <cell r="K403"/>
          <cell r="L403"/>
          <cell r="M403"/>
          <cell r="N403"/>
          <cell r="O403"/>
          <cell r="P403"/>
          <cell r="Q403"/>
          <cell r="R403"/>
          <cell r="S403"/>
          <cell r="T403"/>
          <cell r="U403"/>
          <cell r="V403"/>
          <cell r="W403"/>
          <cell r="X403"/>
          <cell r="Y403"/>
          <cell r="Z403"/>
          <cell r="AA403"/>
          <cell r="AB403"/>
          <cell r="AC403"/>
          <cell r="AD403"/>
          <cell r="AE403"/>
          <cell r="AF403"/>
          <cell r="AG403"/>
          <cell r="AH403"/>
          <cell r="AI403"/>
          <cell r="AJ403"/>
          <cell r="AK403"/>
          <cell r="AL403"/>
          <cell r="AM403"/>
          <cell r="AN403"/>
          <cell r="AO403"/>
        </row>
        <row r="404">
          <cell r="A404"/>
          <cell r="C404"/>
          <cell r="D404"/>
          <cell r="E404"/>
          <cell r="F404"/>
          <cell r="G404"/>
          <cell r="H404"/>
          <cell r="I404"/>
          <cell r="J404"/>
          <cell r="K404"/>
          <cell r="L404"/>
          <cell r="M404"/>
          <cell r="N404"/>
          <cell r="O404"/>
          <cell r="P404"/>
          <cell r="Q404"/>
          <cell r="R404"/>
          <cell r="S404"/>
          <cell r="T404"/>
          <cell r="U404"/>
          <cell r="V404"/>
          <cell r="W404"/>
          <cell r="X404"/>
          <cell r="Y404"/>
          <cell r="Z404"/>
          <cell r="AA404"/>
          <cell r="AB404"/>
          <cell r="AC404"/>
          <cell r="AD404"/>
          <cell r="AE404"/>
          <cell r="AF404"/>
          <cell r="AG404"/>
          <cell r="AH404"/>
          <cell r="AI404"/>
          <cell r="AJ404"/>
          <cell r="AK404"/>
          <cell r="AL404"/>
          <cell r="AM404"/>
          <cell r="AN404"/>
          <cell r="AO404"/>
        </row>
        <row r="405">
          <cell r="A405"/>
          <cell r="C405" t="str">
            <v>TOTAL  DES  REVENUS  ET  DÉPENSES</v>
          </cell>
          <cell r="D405"/>
          <cell r="E405"/>
          <cell r="F405"/>
          <cell r="G405"/>
          <cell r="H405"/>
          <cell r="I405"/>
          <cell r="J405"/>
          <cell r="K405"/>
          <cell r="L405"/>
          <cell r="M405"/>
          <cell r="N405"/>
          <cell r="O405"/>
          <cell r="P405"/>
          <cell r="Q405"/>
          <cell r="R405"/>
          <cell r="S405"/>
          <cell r="T405"/>
          <cell r="U405"/>
          <cell r="V405"/>
          <cell r="W405"/>
          <cell r="X405"/>
          <cell r="Y405"/>
          <cell r="Z405"/>
          <cell r="AA405"/>
          <cell r="AB405"/>
          <cell r="AC405"/>
          <cell r="AD405"/>
          <cell r="AE405"/>
          <cell r="AF405"/>
          <cell r="AG405"/>
          <cell r="AH405"/>
          <cell r="AI405"/>
          <cell r="AJ405"/>
          <cell r="AK405"/>
          <cell r="AL405"/>
          <cell r="AM405"/>
          <cell r="AN405"/>
          <cell r="AO405"/>
        </row>
        <row r="406">
          <cell r="A406"/>
          <cell r="C406"/>
          <cell r="D406"/>
          <cell r="E406"/>
          <cell r="F406"/>
          <cell r="G406"/>
          <cell r="H406"/>
          <cell r="I406"/>
          <cell r="J406"/>
          <cell r="K406"/>
          <cell r="L406"/>
          <cell r="M406"/>
          <cell r="N406"/>
          <cell r="O406"/>
          <cell r="P406"/>
          <cell r="Q406"/>
          <cell r="R406"/>
          <cell r="S406"/>
          <cell r="T406"/>
          <cell r="U406"/>
          <cell r="V406"/>
          <cell r="W406"/>
          <cell r="X406"/>
          <cell r="Y406"/>
          <cell r="Z406"/>
          <cell r="AA406"/>
          <cell r="AB406"/>
          <cell r="AC406"/>
          <cell r="AD406"/>
          <cell r="AE406"/>
          <cell r="AF406"/>
          <cell r="AG406"/>
          <cell r="AH406"/>
          <cell r="AI406"/>
          <cell r="AJ406"/>
          <cell r="AK406"/>
          <cell r="AL406"/>
          <cell r="AM406"/>
          <cell r="AN406"/>
          <cell r="AO406"/>
        </row>
        <row r="407">
          <cell r="A407"/>
          <cell r="C407">
            <v>2023</v>
          </cell>
          <cell r="D407"/>
          <cell r="E407"/>
          <cell r="F407" t="str">
            <v>Janvier</v>
          </cell>
          <cell r="G407"/>
          <cell r="H407"/>
          <cell r="I407" t="str">
            <v>Février</v>
          </cell>
          <cell r="J407"/>
          <cell r="K407"/>
          <cell r="L407" t="str">
            <v>Mars</v>
          </cell>
          <cell r="M407"/>
          <cell r="N407"/>
          <cell r="O407" t="str">
            <v>Avril</v>
          </cell>
          <cell r="P407"/>
          <cell r="Q407"/>
          <cell r="R407" t="str">
            <v>Mai</v>
          </cell>
          <cell r="S407"/>
          <cell r="T407"/>
          <cell r="U407" t="str">
            <v>Juin</v>
          </cell>
          <cell r="V407"/>
          <cell r="W407"/>
          <cell r="X407" t="str">
            <v>Juillet</v>
          </cell>
          <cell r="Y407"/>
          <cell r="Z407"/>
          <cell r="AA407" t="str">
            <v>Août</v>
          </cell>
          <cell r="AB407"/>
          <cell r="AC407"/>
          <cell r="AD407" t="str">
            <v>Septembre</v>
          </cell>
          <cell r="AE407"/>
          <cell r="AF407"/>
          <cell r="AG407" t="str">
            <v>Octobre</v>
          </cell>
          <cell r="AH407"/>
          <cell r="AI407"/>
          <cell r="AJ407" t="str">
            <v>Novembre</v>
          </cell>
          <cell r="AK407"/>
          <cell r="AL407"/>
          <cell r="AM407" t="str">
            <v>Décembre</v>
          </cell>
          <cell r="AN407"/>
          <cell r="AO407"/>
        </row>
        <row r="408">
          <cell r="A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C409"/>
          <cell r="D409"/>
          <cell r="E409">
            <v>66341550.865965143</v>
          </cell>
          <cell r="F409"/>
          <cell r="G409"/>
          <cell r="H409">
            <v>4239492.1414148333</v>
          </cell>
          <cell r="I409"/>
          <cell r="J409"/>
          <cell r="K409">
            <v>4351203.6706626099</v>
          </cell>
          <cell r="L409"/>
          <cell r="M409"/>
          <cell r="N409">
            <v>5997705.5714576384</v>
          </cell>
          <cell r="O409"/>
          <cell r="P409"/>
          <cell r="Q409">
            <v>6269006.9922183678</v>
          </cell>
          <cell r="R409"/>
          <cell r="S409"/>
          <cell r="T409">
            <v>6678020.9962319955</v>
          </cell>
          <cell r="U409"/>
          <cell r="V409"/>
          <cell r="W409">
            <v>6372453.4205906205</v>
          </cell>
          <cell r="X409"/>
          <cell r="Y409"/>
          <cell r="Z409">
            <v>6048078.8339877855</v>
          </cell>
          <cell r="AA409"/>
          <cell r="AB409"/>
          <cell r="AC409">
            <v>5727886.5536490418</v>
          </cell>
          <cell r="AD409"/>
          <cell r="AE409"/>
          <cell r="AF409">
            <v>5522386.01119872</v>
          </cell>
          <cell r="AG409"/>
          <cell r="AH409"/>
          <cell r="AI409">
            <v>5711342.3284483319</v>
          </cell>
          <cell r="AJ409"/>
          <cell r="AK409"/>
          <cell r="AL409">
            <v>5194817.886756843</v>
          </cell>
          <cell r="AM409"/>
          <cell r="AN409"/>
          <cell r="AO409">
            <v>4229156.4593483405</v>
          </cell>
        </row>
        <row r="410">
          <cell r="A410" t="str">
            <v>Profit brut</v>
          </cell>
          <cell r="C410"/>
          <cell r="D410"/>
          <cell r="E410">
            <v>9580112.1784297228</v>
          </cell>
          <cell r="F410"/>
          <cell r="G410"/>
          <cell r="H410">
            <v>613340.81213010126</v>
          </cell>
          <cell r="I410"/>
          <cell r="J410"/>
          <cell r="K410">
            <v>620665.88153250644</v>
          </cell>
          <cell r="L410"/>
          <cell r="M410"/>
          <cell r="N410">
            <v>846818.47755592177</v>
          </cell>
          <cell r="O410"/>
          <cell r="P410"/>
          <cell r="Q410">
            <v>899225.55833126977</v>
          </cell>
          <cell r="R410"/>
          <cell r="S410"/>
          <cell r="T410">
            <v>957253.30651521997</v>
          </cell>
          <cell r="U410"/>
          <cell r="V410"/>
          <cell r="W410">
            <v>865057.30460504419</v>
          </cell>
          <cell r="X410"/>
          <cell r="Y410"/>
          <cell r="Z410">
            <v>820199.25630673091</v>
          </cell>
          <cell r="AA410"/>
          <cell r="AB410"/>
          <cell r="AC410">
            <v>795151.24397258356</v>
          </cell>
          <cell r="AD410"/>
          <cell r="AE410"/>
          <cell r="AF410">
            <v>829261.57712987345</v>
          </cell>
          <cell r="AG410"/>
          <cell r="AH410"/>
          <cell r="AI410">
            <v>831307.49252913101</v>
          </cell>
          <cell r="AJ410"/>
          <cell r="AK410"/>
          <cell r="AL410">
            <v>859264.42562108138</v>
          </cell>
          <cell r="AM410"/>
          <cell r="AN410"/>
          <cell r="AO410">
            <v>642566.84220025805</v>
          </cell>
        </row>
        <row r="411">
          <cell r="A411" t="str">
            <v>DÉPENSES</v>
          </cell>
          <cell r="C411"/>
          <cell r="D411"/>
          <cell r="E411"/>
          <cell r="F411"/>
          <cell r="G411"/>
          <cell r="H411"/>
          <cell r="I411"/>
          <cell r="J411"/>
          <cell r="K411"/>
          <cell r="L411"/>
          <cell r="M411"/>
          <cell r="N411"/>
          <cell r="O411"/>
          <cell r="P411"/>
          <cell r="Q411"/>
          <cell r="R411"/>
          <cell r="S411"/>
          <cell r="T411"/>
          <cell r="U411"/>
          <cell r="V411"/>
          <cell r="W411"/>
          <cell r="X411"/>
          <cell r="Y411"/>
          <cell r="Z411"/>
          <cell r="AA411"/>
          <cell r="AB411"/>
          <cell r="AC411"/>
          <cell r="AD411"/>
          <cell r="AE411"/>
          <cell r="AF411"/>
          <cell r="AG411"/>
          <cell r="AH411"/>
          <cell r="AI411"/>
          <cell r="AJ411"/>
          <cell r="AK411"/>
          <cell r="AL411"/>
          <cell r="AM411"/>
          <cell r="AN411"/>
          <cell r="AO411"/>
        </row>
        <row r="412">
          <cell r="A412" t="str">
            <v>Comm. vendeurs</v>
          </cell>
          <cell r="C412">
            <v>0.31269263156561783</v>
          </cell>
          <cell r="D412">
            <v>598.2895468093102</v>
          </cell>
          <cell r="E412">
            <v>780767.85858614987</v>
          </cell>
          <cell r="F412"/>
          <cell r="G412">
            <v>667.81724968382821</v>
          </cell>
          <cell r="H412">
            <v>51421.928225654774</v>
          </cell>
          <cell r="I412"/>
          <cell r="J412">
            <v>666.9081705732774</v>
          </cell>
          <cell r="K412">
            <v>54019.561816435467</v>
          </cell>
          <cell r="L412"/>
          <cell r="M412">
            <v>630.25851603707622</v>
          </cell>
          <cell r="N412">
            <v>75000.763408412065</v>
          </cell>
          <cell r="O412"/>
          <cell r="P412">
            <v>625.85208477328581</v>
          </cell>
          <cell r="Q412">
            <v>76979.806427114148</v>
          </cell>
          <cell r="R412"/>
          <cell r="S412">
            <v>638.1348049437097</v>
          </cell>
          <cell r="T412">
            <v>81681.255032794841</v>
          </cell>
          <cell r="U412"/>
          <cell r="V412">
            <v>626.85860002314735</v>
          </cell>
          <cell r="W412">
            <v>73969.314802731387</v>
          </cell>
          <cell r="X412"/>
          <cell r="Y412">
            <v>649.05395388232785</v>
          </cell>
          <cell r="Z412">
            <v>70097.827019291406</v>
          </cell>
          <cell r="AA412"/>
          <cell r="AB412">
            <v>627.89082955662195</v>
          </cell>
          <cell r="AC412">
            <v>64044.864614775433</v>
          </cell>
          <cell r="AD412"/>
          <cell r="AE412">
            <v>628.75821596073354</v>
          </cell>
          <cell r="AF412">
            <v>62875.821596073351</v>
          </cell>
          <cell r="AG412"/>
          <cell r="AH412">
            <v>651.51444907239545</v>
          </cell>
          <cell r="AI412">
            <v>63848.416009094755</v>
          </cell>
          <cell r="AJ412"/>
          <cell r="AK412">
            <v>640.68199784636056</v>
          </cell>
          <cell r="AL412">
            <v>55739.333812633369</v>
          </cell>
          <cell r="AM412"/>
          <cell r="AN412">
            <v>681.18621094851756</v>
          </cell>
          <cell r="AO412">
            <v>51088.965821138816</v>
          </cell>
        </row>
        <row r="413">
          <cell r="A413" t="str">
            <v>Comm. F&amp;I</v>
          </cell>
          <cell r="C413">
            <v>0.23239553165080681</v>
          </cell>
          <cell r="D413">
            <v>369.53947368421058</v>
          </cell>
          <cell r="E413">
            <v>449360.00000000006</v>
          </cell>
          <cell r="F413"/>
          <cell r="G413">
            <v>366.25436237771044</v>
          </cell>
          <cell r="H413">
            <v>28201.585903083702</v>
          </cell>
          <cell r="I413"/>
          <cell r="J413">
            <v>364.07026703649319</v>
          </cell>
          <cell r="K413">
            <v>29489.691629955949</v>
          </cell>
          <cell r="L413"/>
          <cell r="M413">
            <v>364.16638902256932</v>
          </cell>
          <cell r="N413">
            <v>43335.800293685752</v>
          </cell>
          <cell r="O413"/>
          <cell r="P413">
            <v>364.26966560414502</v>
          </cell>
          <cell r="Q413">
            <v>44805.16886930984</v>
          </cell>
          <cell r="R413"/>
          <cell r="S413">
            <v>363.85370778267253</v>
          </cell>
          <cell r="T413">
            <v>46573.274596182084</v>
          </cell>
          <cell r="U413"/>
          <cell r="V413">
            <v>368.53978446452123</v>
          </cell>
          <cell r="W413">
            <v>43487.694566813509</v>
          </cell>
          <cell r="X413"/>
          <cell r="Y413">
            <v>371.87143090226789</v>
          </cell>
          <cell r="Z413">
            <v>40162.114537444933</v>
          </cell>
          <cell r="AA413"/>
          <cell r="AB413">
            <v>373.48305548357382</v>
          </cell>
          <cell r="AC413">
            <v>38095.271659324528</v>
          </cell>
          <cell r="AD413"/>
          <cell r="AE413">
            <v>375.56534508076356</v>
          </cell>
          <cell r="AF413">
            <v>37556.534508076358</v>
          </cell>
          <cell r="AG413"/>
          <cell r="AH413">
            <v>375.58332584134979</v>
          </cell>
          <cell r="AI413">
            <v>36807.165932452277</v>
          </cell>
          <cell r="AJ413"/>
          <cell r="AK413">
            <v>376.90752274376763</v>
          </cell>
          <cell r="AL413">
            <v>32790.954478707783</v>
          </cell>
          <cell r="AM413"/>
          <cell r="AN413">
            <v>374.06324033284386</v>
          </cell>
          <cell r="AO413">
            <v>28054.743024963289</v>
          </cell>
        </row>
        <row r="414">
          <cell r="A414" t="str">
            <v>Frais de livraison</v>
          </cell>
          <cell r="C414"/>
          <cell r="D414">
            <v>69.593152866242036</v>
          </cell>
          <cell r="E414">
            <v>87409</v>
          </cell>
          <cell r="F414"/>
          <cell r="G414">
            <v>75.012987012987011</v>
          </cell>
          <cell r="H414">
            <v>5776</v>
          </cell>
          <cell r="I414"/>
          <cell r="J414">
            <v>75.666666666666671</v>
          </cell>
          <cell r="K414">
            <v>6129</v>
          </cell>
          <cell r="L414"/>
          <cell r="M414">
            <v>74.806722689075627</v>
          </cell>
          <cell r="N414">
            <v>8902</v>
          </cell>
          <cell r="O414"/>
          <cell r="P414">
            <v>74.373983739837399</v>
          </cell>
          <cell r="Q414">
            <v>9148</v>
          </cell>
          <cell r="R414"/>
          <cell r="S414">
            <v>74.2890625</v>
          </cell>
          <cell r="T414">
            <v>9509</v>
          </cell>
          <cell r="U414"/>
          <cell r="V414">
            <v>72.652542372881356</v>
          </cell>
          <cell r="W414">
            <v>8573</v>
          </cell>
          <cell r="X414"/>
          <cell r="Y414">
            <v>71.703703703703709</v>
          </cell>
          <cell r="Z414">
            <v>7744</v>
          </cell>
          <cell r="AA414"/>
          <cell r="AB414">
            <v>69.078431372549019</v>
          </cell>
          <cell r="AC414">
            <v>7046</v>
          </cell>
          <cell r="AD414"/>
          <cell r="AE414">
            <v>68.16</v>
          </cell>
          <cell r="AF414">
            <v>6816</v>
          </cell>
          <cell r="AG414"/>
          <cell r="AH414">
            <v>68.295918367346943</v>
          </cell>
          <cell r="AI414">
            <v>6693</v>
          </cell>
          <cell r="AJ414"/>
          <cell r="AK414">
            <v>68.540229885057471</v>
          </cell>
          <cell r="AL414">
            <v>5963</v>
          </cell>
          <cell r="AM414"/>
          <cell r="AN414">
            <v>68.13333333333334</v>
          </cell>
          <cell r="AO414">
            <v>5110</v>
          </cell>
        </row>
        <row r="415">
          <cell r="A415" t="str">
            <v>Service gratuit 1</v>
          </cell>
          <cell r="C415"/>
          <cell r="D415">
            <v>26.97452229299363</v>
          </cell>
          <cell r="E415">
            <v>33880</v>
          </cell>
          <cell r="F415"/>
          <cell r="G415">
            <v>27.012987012987011</v>
          </cell>
          <cell r="H415">
            <v>2080</v>
          </cell>
          <cell r="I415"/>
          <cell r="J415">
            <v>26.666666666666668</v>
          </cell>
          <cell r="K415">
            <v>2160</v>
          </cell>
          <cell r="L415"/>
          <cell r="M415">
            <v>26.806722689075631</v>
          </cell>
          <cell r="N415">
            <v>3190</v>
          </cell>
          <cell r="O415"/>
          <cell r="P415">
            <v>26.910569105691057</v>
          </cell>
          <cell r="Q415">
            <v>3310</v>
          </cell>
          <cell r="R415"/>
          <cell r="S415">
            <v>26.875</v>
          </cell>
          <cell r="T415">
            <v>3440</v>
          </cell>
          <cell r="U415"/>
          <cell r="V415">
            <v>27.627118644067796</v>
          </cell>
          <cell r="W415">
            <v>3260</v>
          </cell>
          <cell r="X415"/>
          <cell r="Y415">
            <v>28.148148148148149</v>
          </cell>
          <cell r="Z415">
            <v>3040</v>
          </cell>
          <cell r="AA415"/>
          <cell r="AB415">
            <v>28.725490196078432</v>
          </cell>
          <cell r="AC415">
            <v>2930</v>
          </cell>
          <cell r="AD415"/>
          <cell r="AE415">
            <v>29.1</v>
          </cell>
          <cell r="AF415">
            <v>2910</v>
          </cell>
          <cell r="AG415"/>
          <cell r="AH415">
            <v>29.081632653061224</v>
          </cell>
          <cell r="AI415">
            <v>2850</v>
          </cell>
          <cell r="AJ415"/>
          <cell r="AK415">
            <v>29.195402298850574</v>
          </cell>
          <cell r="AL415">
            <v>2540</v>
          </cell>
          <cell r="AM415"/>
          <cell r="AN415">
            <v>28.933333333333334</v>
          </cell>
          <cell r="AO415">
            <v>2170</v>
          </cell>
        </row>
        <row r="416">
          <cell r="A416" t="str">
            <v>Entretien stock</v>
          </cell>
          <cell r="C416"/>
          <cell r="D416">
            <v>141.21815286624204</v>
          </cell>
          <cell r="E416">
            <v>177370</v>
          </cell>
          <cell r="F416"/>
          <cell r="G416">
            <v>145.45454545454547</v>
          </cell>
          <cell r="H416">
            <v>11200</v>
          </cell>
          <cell r="I416"/>
          <cell r="J416">
            <v>144.81481481481481</v>
          </cell>
          <cell r="K416">
            <v>11730</v>
          </cell>
          <cell r="L416"/>
          <cell r="M416">
            <v>144.62184873949579</v>
          </cell>
          <cell r="N416">
            <v>17210</v>
          </cell>
          <cell r="O416"/>
          <cell r="P416">
            <v>144.63414634146341</v>
          </cell>
          <cell r="Q416">
            <v>17790</v>
          </cell>
          <cell r="R416"/>
          <cell r="S416">
            <v>144.453125</v>
          </cell>
          <cell r="T416">
            <v>18490</v>
          </cell>
          <cell r="U416"/>
          <cell r="V416">
            <v>145.67796610169492</v>
          </cell>
          <cell r="W416">
            <v>17190</v>
          </cell>
          <cell r="X416"/>
          <cell r="Y416">
            <v>146.66666666666666</v>
          </cell>
          <cell r="Z416">
            <v>15840</v>
          </cell>
          <cell r="AA416"/>
          <cell r="AB416">
            <v>146.56862745098039</v>
          </cell>
          <cell r="AC416">
            <v>14950</v>
          </cell>
          <cell r="AD416"/>
          <cell r="AE416">
            <v>147.1</v>
          </cell>
          <cell r="AF416">
            <v>14710</v>
          </cell>
          <cell r="AG416"/>
          <cell r="AH416">
            <v>147.14285714285714</v>
          </cell>
          <cell r="AI416">
            <v>14420</v>
          </cell>
          <cell r="AJ416"/>
          <cell r="AK416">
            <v>147.70114942528735</v>
          </cell>
          <cell r="AL416">
            <v>12850</v>
          </cell>
          <cell r="AM416"/>
          <cell r="AN416">
            <v>146.53333333333333</v>
          </cell>
          <cell r="AO416">
            <v>10990</v>
          </cell>
        </row>
        <row r="417">
          <cell r="A417" t="str">
            <v>Publicité 1</v>
          </cell>
          <cell r="C417"/>
          <cell r="D417">
            <v>133.10907643312103</v>
          </cell>
          <cell r="E417">
            <v>167185</v>
          </cell>
          <cell r="F417"/>
          <cell r="G417">
            <v>270.16558441558442</v>
          </cell>
          <cell r="H417">
            <v>20802.75</v>
          </cell>
          <cell r="I417"/>
          <cell r="J417">
            <v>172.03395061728395</v>
          </cell>
          <cell r="K417">
            <v>13934.75</v>
          </cell>
          <cell r="L417"/>
          <cell r="M417">
            <v>74.661764705882348</v>
          </cell>
          <cell r="N417">
            <v>8884.75</v>
          </cell>
          <cell r="O417"/>
          <cell r="P417">
            <v>165.72967479674796</v>
          </cell>
          <cell r="Q417">
            <v>20384.75</v>
          </cell>
          <cell r="R417"/>
          <cell r="S417">
            <v>60.427734375</v>
          </cell>
          <cell r="T417">
            <v>7734.75</v>
          </cell>
          <cell r="U417"/>
          <cell r="V417">
            <v>77.413135593220332</v>
          </cell>
          <cell r="W417">
            <v>9134.75</v>
          </cell>
          <cell r="X417"/>
          <cell r="Y417">
            <v>97.081018518518519</v>
          </cell>
          <cell r="Z417">
            <v>10484.75</v>
          </cell>
          <cell r="AA417"/>
          <cell r="AB417">
            <v>112.59558823529412</v>
          </cell>
          <cell r="AC417">
            <v>11484.75</v>
          </cell>
          <cell r="AD417"/>
          <cell r="AE417">
            <v>117.8475</v>
          </cell>
          <cell r="AF417">
            <v>11784.75</v>
          </cell>
          <cell r="AG417"/>
          <cell r="AH417">
            <v>122.80357142857143</v>
          </cell>
          <cell r="AI417">
            <v>12034.75</v>
          </cell>
          <cell r="AJ417"/>
          <cell r="AK417">
            <v>292.35344827586209</v>
          </cell>
          <cell r="AL417">
            <v>25434.75</v>
          </cell>
          <cell r="AM417"/>
          <cell r="AN417">
            <v>201.13</v>
          </cell>
          <cell r="AO417">
            <v>15084.75</v>
          </cell>
        </row>
        <row r="418">
          <cell r="A418" t="str">
            <v>Intérêt de gros</v>
          </cell>
          <cell r="C418"/>
          <cell r="D418">
            <v>202.86060009188716</v>
          </cell>
          <cell r="E418">
            <v>254792.91371541028</v>
          </cell>
          <cell r="F418"/>
          <cell r="G418">
            <v>250.99398442130033</v>
          </cell>
          <cell r="H418">
            <v>19326.536800440124</v>
          </cell>
          <cell r="I418"/>
          <cell r="J418">
            <v>264.33050816385065</v>
          </cell>
          <cell r="K418">
            <v>21410.771161271903</v>
          </cell>
          <cell r="L418"/>
          <cell r="M418">
            <v>200.2234307674531</v>
          </cell>
          <cell r="N418">
            <v>23826.588261326917</v>
          </cell>
          <cell r="O418"/>
          <cell r="P418">
            <v>196.98556459080834</v>
          </cell>
          <cell r="Q418">
            <v>24229.224444669424</v>
          </cell>
          <cell r="R418"/>
          <cell r="S418">
            <v>187.07039584525285</v>
          </cell>
          <cell r="T418">
            <v>23945.010668192364</v>
          </cell>
          <cell r="U418"/>
          <cell r="V418">
            <v>191.68372636694414</v>
          </cell>
          <cell r="W418">
            <v>22618.67971129941</v>
          </cell>
          <cell r="X418"/>
          <cell r="Y418">
            <v>198.46718187634252</v>
          </cell>
          <cell r="Z418">
            <v>21434.455642644993</v>
          </cell>
          <cell r="AA418"/>
          <cell r="AB418">
            <v>203.17569805345431</v>
          </cell>
          <cell r="AC418">
            <v>20723.92120145234</v>
          </cell>
          <cell r="AD418"/>
          <cell r="AE418">
            <v>204.63391906348369</v>
          </cell>
          <cell r="AF418">
            <v>20463.39190634837</v>
          </cell>
          <cell r="AG418"/>
          <cell r="AH418">
            <v>202.76816195939958</v>
          </cell>
          <cell r="AI418">
            <v>19871.279872021158</v>
          </cell>
          <cell r="AJ418"/>
          <cell r="AK418">
            <v>215.06598028436582</v>
          </cell>
          <cell r="AL418">
            <v>18710.740284739826</v>
          </cell>
          <cell r="AM418"/>
          <cell r="AN418">
            <v>243.0975168133792</v>
          </cell>
          <cell r="AO418">
            <v>18232.313761003439</v>
          </cell>
        </row>
        <row r="419">
          <cell r="A419" t="str">
            <v>[...]</v>
          </cell>
          <cell r="C419"/>
          <cell r="D419"/>
          <cell r="E419">
            <v>0</v>
          </cell>
          <cell r="F419"/>
          <cell r="G419"/>
          <cell r="H419">
            <v>0</v>
          </cell>
          <cell r="I419"/>
          <cell r="J419"/>
          <cell r="K419">
            <v>0</v>
          </cell>
          <cell r="L419"/>
          <cell r="M419"/>
          <cell r="N419">
            <v>0</v>
          </cell>
          <cell r="O419"/>
          <cell r="P419"/>
          <cell r="Q419">
            <v>0</v>
          </cell>
          <cell r="R419"/>
          <cell r="S419"/>
          <cell r="T419">
            <v>0</v>
          </cell>
          <cell r="U419"/>
          <cell r="V419"/>
          <cell r="W419">
            <v>0</v>
          </cell>
          <cell r="X419"/>
          <cell r="Y419"/>
          <cell r="Z419">
            <v>0</v>
          </cell>
          <cell r="AA419"/>
          <cell r="AB419"/>
          <cell r="AC419">
            <v>0</v>
          </cell>
          <cell r="AD419"/>
          <cell r="AE419"/>
          <cell r="AF419">
            <v>0</v>
          </cell>
          <cell r="AG419"/>
          <cell r="AH419"/>
          <cell r="AI419">
            <v>0</v>
          </cell>
          <cell r="AJ419"/>
          <cell r="AK419"/>
          <cell r="AL419">
            <v>0</v>
          </cell>
          <cell r="AM419"/>
          <cell r="AN419"/>
          <cell r="AO419">
            <v>0</v>
          </cell>
        </row>
        <row r="420">
          <cell r="A420" t="str">
            <v>[...]</v>
          </cell>
          <cell r="C420"/>
          <cell r="D420"/>
          <cell r="E420">
            <v>0</v>
          </cell>
          <cell r="F420"/>
          <cell r="G420"/>
          <cell r="H420">
            <v>0</v>
          </cell>
          <cell r="I420"/>
          <cell r="J420"/>
          <cell r="K420">
            <v>0</v>
          </cell>
          <cell r="L420"/>
          <cell r="M420"/>
          <cell r="N420">
            <v>0</v>
          </cell>
          <cell r="O420"/>
          <cell r="P420"/>
          <cell r="Q420">
            <v>0</v>
          </cell>
          <cell r="R420"/>
          <cell r="S420"/>
          <cell r="T420">
            <v>0</v>
          </cell>
          <cell r="U420"/>
          <cell r="V420"/>
          <cell r="W420">
            <v>0</v>
          </cell>
          <cell r="X420"/>
          <cell r="Y420"/>
          <cell r="Z420">
            <v>0</v>
          </cell>
          <cell r="AA420"/>
          <cell r="AB420"/>
          <cell r="AC420">
            <v>0</v>
          </cell>
          <cell r="AD420"/>
          <cell r="AE420"/>
          <cell r="AF420">
            <v>0</v>
          </cell>
          <cell r="AG420"/>
          <cell r="AH420"/>
          <cell r="AI420">
            <v>0</v>
          </cell>
          <cell r="AJ420"/>
          <cell r="AK420"/>
          <cell r="AL420">
            <v>0</v>
          </cell>
          <cell r="AM420"/>
          <cell r="AN420"/>
          <cell r="AO420">
            <v>0</v>
          </cell>
        </row>
        <row r="421">
          <cell r="A421" t="str">
            <v>[...]</v>
          </cell>
          <cell r="C421"/>
          <cell r="D421"/>
          <cell r="E421">
            <v>0</v>
          </cell>
          <cell r="F421"/>
          <cell r="G421"/>
          <cell r="H421">
            <v>0</v>
          </cell>
          <cell r="I421"/>
          <cell r="J421"/>
          <cell r="K421">
            <v>0</v>
          </cell>
          <cell r="L421"/>
          <cell r="M421"/>
          <cell r="N421">
            <v>0</v>
          </cell>
          <cell r="O421"/>
          <cell r="P421"/>
          <cell r="Q421">
            <v>0</v>
          </cell>
          <cell r="R421"/>
          <cell r="S421"/>
          <cell r="T421">
            <v>0</v>
          </cell>
          <cell r="U421"/>
          <cell r="V421"/>
          <cell r="W421">
            <v>0</v>
          </cell>
          <cell r="X421"/>
          <cell r="Y421"/>
          <cell r="Z421">
            <v>0</v>
          </cell>
          <cell r="AA421"/>
          <cell r="AB421"/>
          <cell r="AC421">
            <v>0</v>
          </cell>
          <cell r="AD421"/>
          <cell r="AE421"/>
          <cell r="AF421">
            <v>0</v>
          </cell>
          <cell r="AG421"/>
          <cell r="AH421"/>
          <cell r="AI421">
            <v>0</v>
          </cell>
          <cell r="AJ421"/>
          <cell r="AK421"/>
          <cell r="AL421">
            <v>0</v>
          </cell>
          <cell r="AM421"/>
          <cell r="AN421"/>
          <cell r="AO421">
            <v>0</v>
          </cell>
        </row>
        <row r="422">
          <cell r="A422" t="str">
            <v>TOTAL VARIABLES</v>
          </cell>
          <cell r="C422">
            <v>0.2036265062421545</v>
          </cell>
          <cell r="D422">
            <v>1541.5845250440068</v>
          </cell>
          <cell r="E422">
            <v>1950764.7723015603</v>
          </cell>
          <cell r="F422">
            <v>0.22631593754066803</v>
          </cell>
          <cell r="G422"/>
          <cell r="H422">
            <v>138808.8009291786</v>
          </cell>
          <cell r="I422">
            <v>0.22374965136599026</v>
          </cell>
          <cell r="J422"/>
          <cell r="K422">
            <v>138873.77460766333</v>
          </cell>
          <cell r="L422">
            <v>0.21297350818790425</v>
          </cell>
          <cell r="M422"/>
          <cell r="N422">
            <v>180349.90196342472</v>
          </cell>
          <cell r="O422">
            <v>0.21868478705834313</v>
          </cell>
          <cell r="P422"/>
          <cell r="Q422">
            <v>196646.94974109344</v>
          </cell>
          <cell r="R422">
            <v>0.19991917394763947</v>
          </cell>
          <cell r="S422"/>
          <cell r="T422">
            <v>191373.2902971693</v>
          </cell>
          <cell r="U422">
            <v>0.20603656905968748</v>
          </cell>
          <cell r="V422"/>
          <cell r="W422">
            <v>178233.43908084428</v>
          </cell>
          <cell r="X422">
            <v>0.20580748629239648</v>
          </cell>
          <cell r="Y422"/>
          <cell r="Z422">
            <v>168803.14719938132</v>
          </cell>
          <cell r="AA422">
            <v>0.20030756247052295</v>
          </cell>
          <cell r="AB422"/>
          <cell r="AC422">
            <v>159274.80747555231</v>
          </cell>
          <cell r="AD422">
            <v>0.1894655466303988</v>
          </cell>
          <cell r="AE422"/>
          <cell r="AF422">
            <v>157116.49801049809</v>
          </cell>
          <cell r="AG422">
            <v>0.18828726219869024</v>
          </cell>
          <cell r="AH422"/>
          <cell r="AI422">
            <v>156524.61181356822</v>
          </cell>
          <cell r="AJ422">
            <v>0.17925655244571317</v>
          </cell>
          <cell r="AK422"/>
          <cell r="AL422">
            <v>154028.77857608098</v>
          </cell>
          <cell r="AM422">
            <v>0.20345085370334576</v>
          </cell>
          <cell r="AN422"/>
          <cell r="AO422">
            <v>130730.77260710555</v>
          </cell>
        </row>
        <row r="423">
          <cell r="A423" t="str">
            <v>Salaires propriétaire</v>
          </cell>
          <cell r="C423"/>
          <cell r="D423"/>
          <cell r="E423">
            <v>169692.29</v>
          </cell>
          <cell r="F423"/>
          <cell r="G423"/>
          <cell r="H423">
            <v>13053.253076923074</v>
          </cell>
          <cell r="I423"/>
          <cell r="J423"/>
          <cell r="K423">
            <v>13053.253076923074</v>
          </cell>
          <cell r="L423"/>
          <cell r="M423"/>
          <cell r="N423">
            <v>13053.253076923074</v>
          </cell>
          <cell r="O423"/>
          <cell r="P423"/>
          <cell r="Q423">
            <v>13053.253076923074</v>
          </cell>
          <cell r="R423"/>
          <cell r="S423"/>
          <cell r="T423">
            <v>16316.566346153846</v>
          </cell>
          <cell r="U423"/>
          <cell r="V423"/>
          <cell r="W423">
            <v>13053.253076923074</v>
          </cell>
          <cell r="X423"/>
          <cell r="Y423"/>
          <cell r="Z423">
            <v>16316.566346153846</v>
          </cell>
          <cell r="AA423"/>
          <cell r="AB423"/>
          <cell r="AC423">
            <v>13053.253076923074</v>
          </cell>
          <cell r="AD423"/>
          <cell r="AE423"/>
          <cell r="AF423">
            <v>13053.253076923074</v>
          </cell>
          <cell r="AG423"/>
          <cell r="AH423"/>
          <cell r="AI423">
            <v>16316.566346153846</v>
          </cell>
          <cell r="AJ423"/>
          <cell r="AK423"/>
          <cell r="AL423">
            <v>13053.253076923074</v>
          </cell>
          <cell r="AM423"/>
          <cell r="AN423"/>
          <cell r="AO423">
            <v>16316.566346153846</v>
          </cell>
        </row>
        <row r="424">
          <cell r="A424" t="str">
            <v>Salaires cadres</v>
          </cell>
          <cell r="C424"/>
          <cell r="D424"/>
          <cell r="E424">
            <v>561384.08333333326</v>
          </cell>
          <cell r="F424"/>
          <cell r="G424"/>
          <cell r="H424">
            <v>56733.442307692305</v>
          </cell>
          <cell r="I424"/>
          <cell r="J424"/>
          <cell r="K424">
            <v>43849.358974358969</v>
          </cell>
          <cell r="L424"/>
          <cell r="M424"/>
          <cell r="N424">
            <v>43849.358974358969</v>
          </cell>
          <cell r="O424"/>
          <cell r="P424"/>
          <cell r="Q424">
            <v>43849.358974358969</v>
          </cell>
          <cell r="R424"/>
          <cell r="S424"/>
          <cell r="T424">
            <v>49426.282051282054</v>
          </cell>
          <cell r="U424"/>
          <cell r="V424"/>
          <cell r="W424">
            <v>43849.358974358969</v>
          </cell>
          <cell r="X424"/>
          <cell r="Y424"/>
          <cell r="Z424">
            <v>49426.282051282054</v>
          </cell>
          <cell r="AA424"/>
          <cell r="AB424"/>
          <cell r="AC424">
            <v>43849.358974358969</v>
          </cell>
          <cell r="AD424"/>
          <cell r="AE424"/>
          <cell r="AF424">
            <v>43849.358974358969</v>
          </cell>
          <cell r="AG424"/>
          <cell r="AH424"/>
          <cell r="AI424">
            <v>49426.282051282054</v>
          </cell>
          <cell r="AJ424"/>
          <cell r="AK424"/>
          <cell r="AL424">
            <v>43849.358974358969</v>
          </cell>
          <cell r="AM424"/>
          <cell r="AN424"/>
          <cell r="AO424">
            <v>49426.282051282054</v>
          </cell>
        </row>
        <row r="425">
          <cell r="A425" t="str">
            <v>Salaires commis</v>
          </cell>
          <cell r="C425"/>
          <cell r="D425"/>
          <cell r="E425">
            <v>942302.30421893334</v>
          </cell>
          <cell r="F425"/>
          <cell r="G425"/>
          <cell r="H425">
            <v>65834.93365786667</v>
          </cell>
          <cell r="I425"/>
          <cell r="J425"/>
          <cell r="K425">
            <v>73396.516991199998</v>
          </cell>
          <cell r="L425"/>
          <cell r="M425"/>
          <cell r="N425">
            <v>73396.516991199998</v>
          </cell>
          <cell r="O425"/>
          <cell r="P425"/>
          <cell r="Q425">
            <v>73396.516991199998</v>
          </cell>
          <cell r="R425"/>
          <cell r="S425"/>
          <cell r="T425">
            <v>90672.937905666651</v>
          </cell>
          <cell r="U425"/>
          <cell r="V425"/>
          <cell r="W425">
            <v>73396.516991199998</v>
          </cell>
          <cell r="X425"/>
          <cell r="Y425"/>
          <cell r="Z425">
            <v>90672.937905666651</v>
          </cell>
          <cell r="AA425"/>
          <cell r="AB425"/>
          <cell r="AC425">
            <v>73396.516991199998</v>
          </cell>
          <cell r="AD425"/>
          <cell r="AE425"/>
          <cell r="AF425">
            <v>73396.516991199998</v>
          </cell>
          <cell r="AG425"/>
          <cell r="AH425"/>
          <cell r="AI425">
            <v>90672.937905666651</v>
          </cell>
          <cell r="AJ425"/>
          <cell r="AK425"/>
          <cell r="AL425">
            <v>73396.516991199998</v>
          </cell>
          <cell r="AM425"/>
          <cell r="AN425"/>
          <cell r="AO425">
            <v>90672.937905666651</v>
          </cell>
        </row>
        <row r="426">
          <cell r="A426" t="str">
            <v>Salaires autres</v>
          </cell>
          <cell r="C426"/>
          <cell r="D426"/>
          <cell r="E426">
            <v>323527.80847400002</v>
          </cell>
          <cell r="F426"/>
          <cell r="G426"/>
          <cell r="H426">
            <v>24198.78543133333</v>
          </cell>
          <cell r="I426"/>
          <cell r="J426"/>
          <cell r="K426">
            <v>19891.452097999998</v>
          </cell>
          <cell r="L426"/>
          <cell r="M426"/>
          <cell r="N426">
            <v>35049.351564666664</v>
          </cell>
          <cell r="O426"/>
          <cell r="P426"/>
          <cell r="Q426">
            <v>35049.351564666664</v>
          </cell>
          <cell r="R426"/>
          <cell r="S426"/>
          <cell r="T426">
            <v>24864.315122499997</v>
          </cell>
          <cell r="U426"/>
          <cell r="V426"/>
          <cell r="W426">
            <v>19891.452097999998</v>
          </cell>
          <cell r="X426"/>
          <cell r="Y426"/>
          <cell r="Z426">
            <v>24864.315122499997</v>
          </cell>
          <cell r="AA426"/>
          <cell r="AB426"/>
          <cell r="AC426">
            <v>19891.452097999998</v>
          </cell>
          <cell r="AD426"/>
          <cell r="AE426"/>
          <cell r="AF426">
            <v>19891.452097999998</v>
          </cell>
          <cell r="AG426"/>
          <cell r="AH426"/>
          <cell r="AI426">
            <v>40022.214589166659</v>
          </cell>
          <cell r="AJ426"/>
          <cell r="AK426"/>
          <cell r="AL426">
            <v>35049.351564666664</v>
          </cell>
          <cell r="AM426"/>
          <cell r="AN426"/>
          <cell r="AO426">
            <v>24864.315122499997</v>
          </cell>
        </row>
        <row r="427">
          <cell r="A427" t="str">
            <v>Salaires spécialistes</v>
          </cell>
          <cell r="C427"/>
          <cell r="D427"/>
          <cell r="E427">
            <v>443650.36281249998</v>
          </cell>
          <cell r="F427"/>
          <cell r="G427"/>
          <cell r="H427">
            <v>26582.196004975034</v>
          </cell>
          <cell r="I427"/>
          <cell r="J427"/>
          <cell r="K427">
            <v>26214.917022316586</v>
          </cell>
          <cell r="L427"/>
          <cell r="M427"/>
          <cell r="N427">
            <v>29097.697573702389</v>
          </cell>
          <cell r="O427"/>
          <cell r="P427"/>
          <cell r="Q427">
            <v>42074.212906812798</v>
          </cell>
          <cell r="R427"/>
          <cell r="S427"/>
          <cell r="T427">
            <v>45535.035739912259</v>
          </cell>
          <cell r="U427"/>
          <cell r="V427"/>
          <cell r="W427">
            <v>34250.336052268896</v>
          </cell>
          <cell r="X427"/>
          <cell r="Y427"/>
          <cell r="Z427">
            <v>38569.755532328607</v>
          </cell>
          <cell r="AA427"/>
          <cell r="AB427"/>
          <cell r="AC427">
            <v>33775.083626791886</v>
          </cell>
          <cell r="AD427"/>
          <cell r="AE427"/>
          <cell r="AF427">
            <v>33080.915935609577</v>
          </cell>
          <cell r="AG427"/>
          <cell r="AH427"/>
          <cell r="AI427">
            <v>44587.883258591624</v>
          </cell>
          <cell r="AJ427"/>
          <cell r="AK427"/>
          <cell r="AL427">
            <v>49632.426279108688</v>
          </cell>
          <cell r="AM427"/>
          <cell r="AN427"/>
          <cell r="AO427">
            <v>40249.902880081616</v>
          </cell>
        </row>
        <row r="428">
          <cell r="A428" t="str">
            <v>[...]</v>
          </cell>
          <cell r="C428"/>
          <cell r="D428"/>
          <cell r="E428">
            <v>0</v>
          </cell>
          <cell r="F428"/>
          <cell r="G428"/>
          <cell r="H428">
            <v>0</v>
          </cell>
          <cell r="I428"/>
          <cell r="J428"/>
          <cell r="K428">
            <v>0</v>
          </cell>
          <cell r="L428"/>
          <cell r="M428"/>
          <cell r="N428">
            <v>0</v>
          </cell>
          <cell r="O428"/>
          <cell r="P428"/>
          <cell r="Q428">
            <v>0</v>
          </cell>
          <cell r="R428"/>
          <cell r="S428"/>
          <cell r="T428">
            <v>0</v>
          </cell>
          <cell r="U428"/>
          <cell r="V428"/>
          <cell r="W428">
            <v>0</v>
          </cell>
          <cell r="X428"/>
          <cell r="Y428"/>
          <cell r="Z428">
            <v>0</v>
          </cell>
          <cell r="AA428"/>
          <cell r="AB428"/>
          <cell r="AC428">
            <v>0</v>
          </cell>
          <cell r="AD428"/>
          <cell r="AE428"/>
          <cell r="AF428">
            <v>0</v>
          </cell>
          <cell r="AG428"/>
          <cell r="AH428"/>
          <cell r="AI428">
            <v>0</v>
          </cell>
          <cell r="AJ428"/>
          <cell r="AK428"/>
          <cell r="AL428">
            <v>0</v>
          </cell>
          <cell r="AM428"/>
          <cell r="AN428"/>
          <cell r="AO428">
            <v>0</v>
          </cell>
        </row>
        <row r="429">
          <cell r="A429" t="str">
            <v>[...]</v>
          </cell>
          <cell r="C429"/>
          <cell r="D429"/>
          <cell r="E429">
            <v>0</v>
          </cell>
          <cell r="F429"/>
          <cell r="G429"/>
          <cell r="H429">
            <v>0</v>
          </cell>
          <cell r="I429"/>
          <cell r="J429"/>
          <cell r="K429">
            <v>0</v>
          </cell>
          <cell r="L429"/>
          <cell r="M429"/>
          <cell r="N429">
            <v>0</v>
          </cell>
          <cell r="O429"/>
          <cell r="P429"/>
          <cell r="Q429">
            <v>0</v>
          </cell>
          <cell r="R429"/>
          <cell r="S429"/>
          <cell r="T429">
            <v>0</v>
          </cell>
          <cell r="U429"/>
          <cell r="V429"/>
          <cell r="W429">
            <v>0</v>
          </cell>
          <cell r="X429"/>
          <cell r="Y429"/>
          <cell r="Z429">
            <v>0</v>
          </cell>
          <cell r="AA429"/>
          <cell r="AB429"/>
          <cell r="AC429">
            <v>0</v>
          </cell>
          <cell r="AD429"/>
          <cell r="AE429"/>
          <cell r="AF429">
            <v>0</v>
          </cell>
          <cell r="AG429"/>
          <cell r="AH429"/>
          <cell r="AI429">
            <v>0</v>
          </cell>
          <cell r="AJ429"/>
          <cell r="AK429"/>
          <cell r="AL429">
            <v>0</v>
          </cell>
          <cell r="AM429"/>
          <cell r="AN429"/>
          <cell r="AO429">
            <v>0</v>
          </cell>
        </row>
        <row r="430">
          <cell r="A430" t="str">
            <v>[...]</v>
          </cell>
          <cell r="C430"/>
          <cell r="D430"/>
          <cell r="E430">
            <v>0</v>
          </cell>
          <cell r="F430"/>
          <cell r="G430"/>
          <cell r="H430">
            <v>0</v>
          </cell>
          <cell r="I430"/>
          <cell r="J430"/>
          <cell r="K430">
            <v>0</v>
          </cell>
          <cell r="L430"/>
          <cell r="M430"/>
          <cell r="N430">
            <v>0</v>
          </cell>
          <cell r="O430"/>
          <cell r="P430"/>
          <cell r="Q430">
            <v>0</v>
          </cell>
          <cell r="R430"/>
          <cell r="S430"/>
          <cell r="T430">
            <v>0</v>
          </cell>
          <cell r="U430"/>
          <cell r="V430"/>
          <cell r="W430">
            <v>0</v>
          </cell>
          <cell r="X430"/>
          <cell r="Y430"/>
          <cell r="Z430">
            <v>0</v>
          </cell>
          <cell r="AA430"/>
          <cell r="AB430"/>
          <cell r="AC430">
            <v>0</v>
          </cell>
          <cell r="AD430"/>
          <cell r="AE430"/>
          <cell r="AF430">
            <v>0</v>
          </cell>
          <cell r="AG430"/>
          <cell r="AH430"/>
          <cell r="AI430">
            <v>0</v>
          </cell>
          <cell r="AJ430"/>
          <cell r="AK430"/>
          <cell r="AL430">
            <v>0</v>
          </cell>
          <cell r="AM430"/>
          <cell r="AN430"/>
          <cell r="AO430">
            <v>0</v>
          </cell>
        </row>
        <row r="431">
          <cell r="A431" t="str">
            <v>Salaires en absences</v>
          </cell>
          <cell r="C431"/>
          <cell r="D431">
            <v>0.10981677069170581</v>
          </cell>
          <cell r="E431">
            <v>540304.00894794601</v>
          </cell>
          <cell r="F431"/>
          <cell r="G431"/>
          <cell r="H431">
            <v>39962.056021023025</v>
          </cell>
          <cell r="I431"/>
          <cell r="J431"/>
          <cell r="K431">
            <v>36975.584803543505</v>
          </cell>
          <cell r="L431"/>
          <cell r="M431"/>
          <cell r="N431">
            <v>44273.264722337386</v>
          </cell>
          <cell r="O431"/>
          <cell r="P431"/>
          <cell r="Q431">
            <v>48951.061701426923</v>
          </cell>
          <cell r="R431"/>
          <cell r="S431"/>
          <cell r="T431">
            <v>52145.808222932275</v>
          </cell>
          <cell r="U431"/>
          <cell r="V431"/>
          <cell r="W431">
            <v>42126.315484455015</v>
          </cell>
          <cell r="X431"/>
          <cell r="Y431"/>
          <cell r="Z431">
            <v>46596.231715034242</v>
          </cell>
          <cell r="AA431"/>
          <cell r="AB431"/>
          <cell r="AC431">
            <v>43344.28868950122</v>
          </cell>
          <cell r="AD431"/>
          <cell r="AE431"/>
          <cell r="AF431">
            <v>43632.246377594391</v>
          </cell>
          <cell r="AG431"/>
          <cell r="AH431"/>
          <cell r="AI431">
            <v>51646.651814801051</v>
          </cell>
          <cell r="AJ431"/>
          <cell r="AK431"/>
          <cell r="AL431">
            <v>49577.056426335628</v>
          </cell>
          <cell r="AM431"/>
          <cell r="AN431"/>
          <cell r="AO431">
            <v>41073.442968961375</v>
          </cell>
        </row>
        <row r="432">
          <cell r="A432" t="str">
            <v>Déduction à la source</v>
          </cell>
          <cell r="C432"/>
          <cell r="D432">
            <v>0.133521712382867</v>
          </cell>
          <cell r="E432">
            <v>656933.50867679785</v>
          </cell>
          <cell r="F432"/>
          <cell r="G432"/>
          <cell r="H432">
            <v>48588.226703975131</v>
          </cell>
          <cell r="I432"/>
          <cell r="J432"/>
          <cell r="K432">
            <v>44957.09870386788</v>
          </cell>
          <cell r="L432"/>
          <cell r="M432"/>
          <cell r="N432">
            <v>53830.048737291276</v>
          </cell>
          <cell r="O432"/>
          <cell r="P432"/>
          <cell r="Q432">
            <v>59517.590438739338</v>
          </cell>
          <cell r="R432"/>
          <cell r="S432"/>
          <cell r="T432">
            <v>63401.951848146724</v>
          </cell>
          <cell r="U432"/>
          <cell r="V432"/>
          <cell r="W432">
            <v>51219.661117663367</v>
          </cell>
          <cell r="X432"/>
          <cell r="Y432"/>
          <cell r="Z432">
            <v>56654.449133698028</v>
          </cell>
          <cell r="AA432"/>
          <cell r="AB432"/>
          <cell r="AC432">
            <v>52700.544838336289</v>
          </cell>
          <cell r="AD432"/>
          <cell r="AE432"/>
          <cell r="AF432">
            <v>53050.660793903313</v>
          </cell>
          <cell r="AG432"/>
          <cell r="AH432"/>
          <cell r="AI432">
            <v>62795.048021520226</v>
          </cell>
          <cell r="AJ432"/>
          <cell r="AK432"/>
          <cell r="AL432">
            <v>60278.711778275923</v>
          </cell>
          <cell r="AM432"/>
          <cell r="AN432"/>
          <cell r="AO432">
            <v>49939.516561380355</v>
          </cell>
        </row>
        <row r="433">
          <cell r="A433" t="str">
            <v>Bénéfices marginaux</v>
          </cell>
          <cell r="C433"/>
          <cell r="D433">
            <v>6.879270833639016E-2</v>
          </cell>
          <cell r="E433">
            <v>338463.56860087189</v>
          </cell>
          <cell r="F433"/>
          <cell r="G433"/>
          <cell r="H433">
            <v>25033.499410526318</v>
          </cell>
          <cell r="I433"/>
          <cell r="J433"/>
          <cell r="K433">
            <v>23162.679114818882</v>
          </cell>
          <cell r="L433"/>
          <cell r="M433"/>
          <cell r="N433">
            <v>27734.177284213107</v>
          </cell>
          <cell r="O433"/>
          <cell r="P433"/>
          <cell r="Q433">
            <v>30664.497682567871</v>
          </cell>
          <cell r="R433"/>
          <cell r="S433"/>
          <cell r="T433">
            <v>32665.78823480603</v>
          </cell>
          <cell r="U433"/>
          <cell r="V433"/>
          <cell r="W433">
            <v>26389.260184535251</v>
          </cell>
          <cell r="X433"/>
          <cell r="Y433"/>
          <cell r="Z433">
            <v>29189.357488448764</v>
          </cell>
          <cell r="AA433"/>
          <cell r="AB433"/>
          <cell r="AC433">
            <v>27152.237231925432</v>
          </cell>
          <cell r="AD433"/>
          <cell r="AE433"/>
          <cell r="AF433">
            <v>27332.623061206701</v>
          </cell>
          <cell r="AG433"/>
          <cell r="AH433"/>
          <cell r="AI433">
            <v>32353.100828478895</v>
          </cell>
          <cell r="AJ433"/>
          <cell r="AK433"/>
          <cell r="AL433">
            <v>31056.640633589981</v>
          </cell>
          <cell r="AM433"/>
          <cell r="AN433"/>
          <cell r="AO433">
            <v>25729.707445754659</v>
          </cell>
        </row>
        <row r="434">
          <cell r="A434" t="str">
            <v>Csst</v>
          </cell>
          <cell r="C434"/>
          <cell r="D434">
            <v>2.9994007854122297E-2</v>
          </cell>
          <cell r="E434">
            <v>147572.02006507778</v>
          </cell>
          <cell r="F434"/>
          <cell r="G434"/>
          <cell r="H434">
            <v>10914.746578429194</v>
          </cell>
          <cell r="I434"/>
          <cell r="J434"/>
          <cell r="K434">
            <v>10099.05840449206</v>
          </cell>
          <cell r="L434"/>
          <cell r="M434"/>
          <cell r="N434">
            <v>12092.257325043693</v>
          </cell>
          <cell r="O434"/>
          <cell r="P434"/>
          <cell r="Q434">
            <v>13369.89350435449</v>
          </cell>
          <cell r="R434"/>
          <cell r="S434"/>
          <cell r="T434">
            <v>14242.467444148902</v>
          </cell>
          <cell r="U434"/>
          <cell r="V434"/>
          <cell r="W434">
            <v>11505.865903243219</v>
          </cell>
          <cell r="X434"/>
          <cell r="Y434"/>
          <cell r="Z434">
            <v>12726.724080758249</v>
          </cell>
          <cell r="AA434"/>
          <cell r="AB434"/>
          <cell r="AC434">
            <v>11838.528188321921</v>
          </cell>
          <cell r="AD434"/>
          <cell r="AE434"/>
          <cell r="AF434">
            <v>11917.177424717411</v>
          </cell>
          <cell r="AG434"/>
          <cell r="AH434"/>
          <cell r="AI434">
            <v>14106.133975848743</v>
          </cell>
          <cell r="AJ434"/>
          <cell r="AK434"/>
          <cell r="AL434">
            <v>13540.870037148939</v>
          </cell>
          <cell r="AM434"/>
          <cell r="AN434"/>
          <cell r="AO434">
            <v>11218.297198570946</v>
          </cell>
        </row>
        <row r="435">
          <cell r="A435" t="str">
            <v>[...]</v>
          </cell>
          <cell r="C435"/>
          <cell r="D435"/>
          <cell r="E435">
            <v>0</v>
          </cell>
          <cell r="F435"/>
          <cell r="G435"/>
          <cell r="H435">
            <v>0</v>
          </cell>
          <cell r="I435"/>
          <cell r="J435"/>
          <cell r="K435">
            <v>0</v>
          </cell>
          <cell r="L435"/>
          <cell r="M435"/>
          <cell r="N435">
            <v>0</v>
          </cell>
          <cell r="O435"/>
          <cell r="P435"/>
          <cell r="Q435">
            <v>0</v>
          </cell>
          <cell r="R435"/>
          <cell r="S435"/>
          <cell r="T435">
            <v>0</v>
          </cell>
          <cell r="U435"/>
          <cell r="V435"/>
          <cell r="W435">
            <v>0</v>
          </cell>
          <cell r="X435"/>
          <cell r="Y435"/>
          <cell r="Z435">
            <v>0</v>
          </cell>
          <cell r="AA435"/>
          <cell r="AB435"/>
          <cell r="AC435">
            <v>0</v>
          </cell>
          <cell r="AD435"/>
          <cell r="AE435"/>
          <cell r="AF435">
            <v>0</v>
          </cell>
          <cell r="AG435"/>
          <cell r="AH435"/>
          <cell r="AI435">
            <v>0</v>
          </cell>
          <cell r="AJ435"/>
          <cell r="AK435"/>
          <cell r="AL435">
            <v>0</v>
          </cell>
          <cell r="AM435"/>
          <cell r="AN435"/>
          <cell r="AO435">
            <v>0</v>
          </cell>
        </row>
        <row r="436">
          <cell r="A436" t="str">
            <v>TOTAL PERSONNEL</v>
          </cell>
          <cell r="C436">
            <v>0.43045737652368465</v>
          </cell>
          <cell r="D436"/>
          <cell r="E436">
            <v>4123829.95512946</v>
          </cell>
          <cell r="F436">
            <v>0.50689785033707491</v>
          </cell>
          <cell r="G436"/>
          <cell r="H436">
            <v>310901.13919274404</v>
          </cell>
          <cell r="I436">
            <v>0.4698178647576407</v>
          </cell>
          <cell r="J436"/>
          <cell r="K436">
            <v>291599.91918952094</v>
          </cell>
          <cell r="L436">
            <v>0.39249961480415063</v>
          </cell>
          <cell r="M436"/>
          <cell r="N436">
            <v>332375.92624973657</v>
          </cell>
          <cell r="O436">
            <v>0.40026190704474551</v>
          </cell>
          <cell r="P436"/>
          <cell r="Q436">
            <v>359925.73684105009</v>
          </cell>
          <cell r="R436">
            <v>0.40665427872236815</v>
          </cell>
          <cell r="S436"/>
          <cell r="T436">
            <v>389271.15291554877</v>
          </cell>
          <cell r="U436">
            <v>0.36492613634050231</v>
          </cell>
          <cell r="V436"/>
          <cell r="W436">
            <v>315682.01988264779</v>
          </cell>
          <cell r="X436">
            <v>0.44503407747466273</v>
          </cell>
          <cell r="Y436"/>
          <cell r="Z436">
            <v>365016.61937587045</v>
          </cell>
          <cell r="AA436">
            <v>0.40118312853492538</v>
          </cell>
          <cell r="AB436"/>
          <cell r="AC436">
            <v>319001.2637153588</v>
          </cell>
          <cell r="AD436">
            <v>0.3849258346664261</v>
          </cell>
          <cell r="AE436"/>
          <cell r="AF436">
            <v>319204.20473351341</v>
          </cell>
          <cell r="AG436">
            <v>0.48348754510645198</v>
          </cell>
          <cell r="AH436"/>
          <cell r="AI436">
            <v>401926.81879150972</v>
          </cell>
          <cell r="AJ436">
            <v>0.42994237250608697</v>
          </cell>
          <cell r="AK436"/>
          <cell r="AL436">
            <v>369434.18576160783</v>
          </cell>
          <cell r="AM436">
            <v>0.54389823054615627</v>
          </cell>
          <cell r="AN436"/>
          <cell r="AO436">
            <v>349490.96848035156</v>
          </cell>
        </row>
        <row r="437">
          <cell r="A437" t="str">
            <v>Publicité 2</v>
          </cell>
          <cell r="C437"/>
          <cell r="D437"/>
          <cell r="E437">
            <v>169155.5</v>
          </cell>
          <cell r="F437"/>
          <cell r="G437"/>
          <cell r="H437">
            <v>23533</v>
          </cell>
          <cell r="I437"/>
          <cell r="J437"/>
          <cell r="K437">
            <v>7412.5</v>
          </cell>
          <cell r="L437"/>
          <cell r="M437"/>
          <cell r="N437">
            <v>9895</v>
          </cell>
          <cell r="O437"/>
          <cell r="P437"/>
          <cell r="Q437">
            <v>29100</v>
          </cell>
          <cell r="R437"/>
          <cell r="S437"/>
          <cell r="T437">
            <v>18310</v>
          </cell>
          <cell r="U437"/>
          <cell r="V437"/>
          <cell r="W437">
            <v>9930</v>
          </cell>
          <cell r="X437"/>
          <cell r="Y437"/>
          <cell r="Z437">
            <v>13160</v>
          </cell>
          <cell r="AA437"/>
          <cell r="AB437"/>
          <cell r="AC437">
            <v>5740</v>
          </cell>
          <cell r="AD437"/>
          <cell r="AE437"/>
          <cell r="AF437">
            <v>7125</v>
          </cell>
          <cell r="AG437"/>
          <cell r="AH437"/>
          <cell r="AI437">
            <v>12750</v>
          </cell>
          <cell r="AJ437"/>
          <cell r="AK437"/>
          <cell r="AL437">
            <v>21250</v>
          </cell>
          <cell r="AM437"/>
          <cell r="AN437"/>
          <cell r="AO437">
            <v>10950</v>
          </cell>
        </row>
        <row r="438">
          <cell r="A438" t="str">
            <v>Service gratuit 2</v>
          </cell>
          <cell r="C438"/>
          <cell r="D438"/>
          <cell r="E438">
            <v>54544.5739536685</v>
          </cell>
          <cell r="F438"/>
          <cell r="G438"/>
          <cell r="H438">
            <v>4545.3811628057083</v>
          </cell>
          <cell r="I438"/>
          <cell r="J438"/>
          <cell r="K438">
            <v>4545.3811628057083</v>
          </cell>
          <cell r="L438"/>
          <cell r="M438"/>
          <cell r="N438">
            <v>4545.3811628057083</v>
          </cell>
          <cell r="O438"/>
          <cell r="P438"/>
          <cell r="Q438">
            <v>4545.3811628057083</v>
          </cell>
          <cell r="R438"/>
          <cell r="S438"/>
          <cell r="T438">
            <v>4545.3811628057083</v>
          </cell>
          <cell r="U438"/>
          <cell r="V438"/>
          <cell r="W438">
            <v>4545.3811628057083</v>
          </cell>
          <cell r="X438"/>
          <cell r="Y438"/>
          <cell r="Z438">
            <v>4545.3811628057083</v>
          </cell>
          <cell r="AA438"/>
          <cell r="AB438"/>
          <cell r="AC438">
            <v>4545.3811628057083</v>
          </cell>
          <cell r="AD438"/>
          <cell r="AE438"/>
          <cell r="AF438">
            <v>4545.3811628057083</v>
          </cell>
          <cell r="AG438"/>
          <cell r="AH438"/>
          <cell r="AI438">
            <v>4545.3811628057083</v>
          </cell>
          <cell r="AJ438"/>
          <cell r="AK438"/>
          <cell r="AL438">
            <v>4545.3811628057083</v>
          </cell>
          <cell r="AM438"/>
          <cell r="AN438"/>
          <cell r="AO438">
            <v>4545.3811628057083</v>
          </cell>
        </row>
        <row r="439">
          <cell r="A439" t="str">
            <v>Frais véhicules de cie</v>
          </cell>
          <cell r="C439"/>
          <cell r="D439"/>
          <cell r="E439">
            <v>296511.17600000009</v>
          </cell>
          <cell r="F439"/>
          <cell r="G439"/>
          <cell r="H439">
            <v>22709.26466666667</v>
          </cell>
          <cell r="I439"/>
          <cell r="J439"/>
          <cell r="K439">
            <v>22709.26466666667</v>
          </cell>
          <cell r="L439"/>
          <cell r="M439"/>
          <cell r="N439">
            <v>25709.26466666667</v>
          </cell>
          <cell r="O439"/>
          <cell r="P439"/>
          <cell r="Q439">
            <v>27709.26466666667</v>
          </cell>
          <cell r="R439"/>
          <cell r="S439"/>
          <cell r="T439">
            <v>27709.26466666667</v>
          </cell>
          <cell r="U439"/>
          <cell r="V439"/>
          <cell r="W439">
            <v>22709.26466666667</v>
          </cell>
          <cell r="X439"/>
          <cell r="Y439"/>
          <cell r="Z439">
            <v>22709.26466666667</v>
          </cell>
          <cell r="AA439"/>
          <cell r="AB439"/>
          <cell r="AC439">
            <v>22709.26466666667</v>
          </cell>
          <cell r="AD439"/>
          <cell r="AE439"/>
          <cell r="AF439">
            <v>22709.26466666667</v>
          </cell>
          <cell r="AG439"/>
          <cell r="AH439"/>
          <cell r="AI439">
            <v>25709.26466666667</v>
          </cell>
          <cell r="AJ439"/>
          <cell r="AK439"/>
          <cell r="AL439">
            <v>30709.264666666666</v>
          </cell>
          <cell r="AM439"/>
          <cell r="AN439"/>
          <cell r="AO439">
            <v>22709.26466666667</v>
          </cell>
        </row>
        <row r="440">
          <cell r="A440" t="str">
            <v>Informatique</v>
          </cell>
          <cell r="C440"/>
          <cell r="D440"/>
          <cell r="E440">
            <v>292230</v>
          </cell>
          <cell r="F440"/>
          <cell r="G440"/>
          <cell r="H440">
            <v>34390</v>
          </cell>
          <cell r="I440"/>
          <cell r="J440"/>
          <cell r="K440">
            <v>23440</v>
          </cell>
          <cell r="L440"/>
          <cell r="M440"/>
          <cell r="N440">
            <v>23440</v>
          </cell>
          <cell r="O440"/>
          <cell r="P440"/>
          <cell r="Q440">
            <v>23440</v>
          </cell>
          <cell r="R440"/>
          <cell r="S440"/>
          <cell r="T440">
            <v>23440</v>
          </cell>
          <cell r="U440"/>
          <cell r="V440"/>
          <cell r="W440">
            <v>23440</v>
          </cell>
          <cell r="X440"/>
          <cell r="Y440"/>
          <cell r="Z440">
            <v>23440</v>
          </cell>
          <cell r="AA440"/>
          <cell r="AB440"/>
          <cell r="AC440">
            <v>23440</v>
          </cell>
          <cell r="AD440"/>
          <cell r="AE440"/>
          <cell r="AF440">
            <v>23440</v>
          </cell>
          <cell r="AG440"/>
          <cell r="AH440"/>
          <cell r="AI440">
            <v>23440</v>
          </cell>
          <cell r="AJ440"/>
          <cell r="AK440"/>
          <cell r="AL440">
            <v>23440</v>
          </cell>
          <cell r="AM440"/>
          <cell r="AN440"/>
          <cell r="AO440">
            <v>23440</v>
          </cell>
        </row>
        <row r="441">
          <cell r="A441" t="str">
            <v>Frais de déplacement</v>
          </cell>
          <cell r="C441"/>
          <cell r="D441"/>
          <cell r="E441">
            <v>57000</v>
          </cell>
          <cell r="F441"/>
          <cell r="G441"/>
          <cell r="H441">
            <v>4750</v>
          </cell>
          <cell r="I441"/>
          <cell r="J441"/>
          <cell r="K441">
            <v>4750</v>
          </cell>
          <cell r="L441"/>
          <cell r="M441"/>
          <cell r="N441">
            <v>4750</v>
          </cell>
          <cell r="O441"/>
          <cell r="P441"/>
          <cell r="Q441">
            <v>4750</v>
          </cell>
          <cell r="R441"/>
          <cell r="S441"/>
          <cell r="T441">
            <v>4750</v>
          </cell>
          <cell r="U441"/>
          <cell r="V441"/>
          <cell r="W441">
            <v>4750</v>
          </cell>
          <cell r="X441"/>
          <cell r="Y441"/>
          <cell r="Z441">
            <v>4750</v>
          </cell>
          <cell r="AA441"/>
          <cell r="AB441"/>
          <cell r="AC441">
            <v>4750</v>
          </cell>
          <cell r="AD441"/>
          <cell r="AE441"/>
          <cell r="AF441">
            <v>4750</v>
          </cell>
          <cell r="AG441"/>
          <cell r="AH441"/>
          <cell r="AI441">
            <v>4750</v>
          </cell>
          <cell r="AJ441"/>
          <cell r="AK441"/>
          <cell r="AL441">
            <v>4750</v>
          </cell>
          <cell r="AM441"/>
          <cell r="AN441"/>
          <cell r="AO441">
            <v>4750</v>
          </cell>
        </row>
        <row r="442">
          <cell r="A442" t="str">
            <v>Services extérieurs</v>
          </cell>
          <cell r="C442"/>
          <cell r="D442"/>
          <cell r="E442">
            <v>474592</v>
          </cell>
          <cell r="F442"/>
          <cell r="G442"/>
          <cell r="H442">
            <v>41625.695350967435</v>
          </cell>
          <cell r="I442"/>
          <cell r="J442"/>
          <cell r="K442">
            <v>37183.201815916793</v>
          </cell>
          <cell r="L442"/>
          <cell r="M442"/>
          <cell r="N442">
            <v>36945.776346529616</v>
          </cell>
          <cell r="O442"/>
          <cell r="P442"/>
          <cell r="Q442">
            <v>34872.261139771297</v>
          </cell>
          <cell r="R442"/>
          <cell r="S442"/>
          <cell r="T442">
            <v>38534.809416782649</v>
          </cell>
          <cell r="U442"/>
          <cell r="V442"/>
          <cell r="W442">
            <v>37576.658137768012</v>
          </cell>
          <cell r="X442"/>
          <cell r="Y442"/>
          <cell r="Z442">
            <v>37935.628112932754</v>
          </cell>
          <cell r="AA442"/>
          <cell r="AB442"/>
          <cell r="AC442">
            <v>35726.434774047739</v>
          </cell>
          <cell r="AD442"/>
          <cell r="AE442"/>
          <cell r="AF442">
            <v>35341.529442293468</v>
          </cell>
          <cell r="AG442"/>
          <cell r="AH442"/>
          <cell r="AI442">
            <v>43468.873848883632</v>
          </cell>
          <cell r="AJ442"/>
          <cell r="AK442"/>
          <cell r="AL442">
            <v>41351.589150026848</v>
          </cell>
          <cell r="AM442"/>
          <cell r="AN442"/>
          <cell r="AO442">
            <v>54029.542464079801</v>
          </cell>
        </row>
        <row r="443">
          <cell r="A443"/>
          <cell r="C443"/>
          <cell r="D443"/>
          <cell r="E443">
            <v>0</v>
          </cell>
          <cell r="F443"/>
          <cell r="G443"/>
          <cell r="H443">
            <v>0</v>
          </cell>
          <cell r="I443"/>
          <cell r="J443"/>
          <cell r="K443">
            <v>0</v>
          </cell>
          <cell r="L443"/>
          <cell r="M443"/>
          <cell r="N443">
            <v>0</v>
          </cell>
          <cell r="O443"/>
          <cell r="P443"/>
          <cell r="Q443">
            <v>0</v>
          </cell>
          <cell r="R443"/>
          <cell r="S443"/>
          <cell r="T443">
            <v>0</v>
          </cell>
          <cell r="U443"/>
          <cell r="V443"/>
          <cell r="W443">
            <v>0</v>
          </cell>
          <cell r="X443"/>
          <cell r="Y443"/>
          <cell r="Z443">
            <v>0</v>
          </cell>
          <cell r="AA443"/>
          <cell r="AB443"/>
          <cell r="AC443">
            <v>0</v>
          </cell>
          <cell r="AD443"/>
          <cell r="AE443"/>
          <cell r="AF443">
            <v>0</v>
          </cell>
          <cell r="AG443"/>
          <cell r="AH443"/>
          <cell r="AI443">
            <v>0</v>
          </cell>
          <cell r="AJ443"/>
          <cell r="AK443"/>
          <cell r="AL443">
            <v>0</v>
          </cell>
          <cell r="AM443"/>
          <cell r="AN443"/>
          <cell r="AO443">
            <v>0</v>
          </cell>
        </row>
        <row r="444">
          <cell r="A444" t="str">
            <v>Fournitures autres</v>
          </cell>
          <cell r="C444"/>
          <cell r="D444"/>
          <cell r="E444">
            <v>62040</v>
          </cell>
          <cell r="F444"/>
          <cell r="G444"/>
          <cell r="H444">
            <v>5170</v>
          </cell>
          <cell r="I444"/>
          <cell r="J444"/>
          <cell r="K444">
            <v>5170</v>
          </cell>
          <cell r="L444"/>
          <cell r="M444"/>
          <cell r="N444">
            <v>5170</v>
          </cell>
          <cell r="O444"/>
          <cell r="P444"/>
          <cell r="Q444">
            <v>5170</v>
          </cell>
          <cell r="R444"/>
          <cell r="S444"/>
          <cell r="T444">
            <v>5170</v>
          </cell>
          <cell r="U444"/>
          <cell r="V444"/>
          <cell r="W444">
            <v>5170</v>
          </cell>
          <cell r="X444"/>
          <cell r="Y444"/>
          <cell r="Z444">
            <v>5170</v>
          </cell>
          <cell r="AA444"/>
          <cell r="AB444"/>
          <cell r="AC444">
            <v>5170</v>
          </cell>
          <cell r="AD444"/>
          <cell r="AE444"/>
          <cell r="AF444">
            <v>5170</v>
          </cell>
          <cell r="AG444"/>
          <cell r="AH444"/>
          <cell r="AI444">
            <v>5170</v>
          </cell>
          <cell r="AJ444"/>
          <cell r="AK444"/>
          <cell r="AL444">
            <v>5170</v>
          </cell>
          <cell r="AM444"/>
          <cell r="AN444"/>
          <cell r="AO444">
            <v>5170</v>
          </cell>
        </row>
        <row r="445">
          <cell r="A445" t="str">
            <v>Uniformes</v>
          </cell>
          <cell r="C445"/>
          <cell r="D445"/>
          <cell r="E445">
            <v>27000</v>
          </cell>
          <cell r="F445"/>
          <cell r="G445"/>
          <cell r="H445">
            <v>1000</v>
          </cell>
          <cell r="I445"/>
          <cell r="J445"/>
          <cell r="K445">
            <v>1000</v>
          </cell>
          <cell r="L445"/>
          <cell r="M445"/>
          <cell r="N445">
            <v>1000</v>
          </cell>
          <cell r="O445"/>
          <cell r="P445"/>
          <cell r="Q445">
            <v>16000</v>
          </cell>
          <cell r="R445"/>
          <cell r="S445"/>
          <cell r="T445">
            <v>1000</v>
          </cell>
          <cell r="U445"/>
          <cell r="V445"/>
          <cell r="W445">
            <v>1000</v>
          </cell>
          <cell r="X445"/>
          <cell r="Y445"/>
          <cell r="Z445">
            <v>1000</v>
          </cell>
          <cell r="AA445"/>
          <cell r="AB445"/>
          <cell r="AC445">
            <v>1000</v>
          </cell>
          <cell r="AD445"/>
          <cell r="AE445"/>
          <cell r="AF445">
            <v>1000</v>
          </cell>
          <cell r="AG445"/>
          <cell r="AH445"/>
          <cell r="AI445">
            <v>1000</v>
          </cell>
          <cell r="AJ445"/>
          <cell r="AK445"/>
          <cell r="AL445">
            <v>1000</v>
          </cell>
          <cell r="AM445"/>
          <cell r="AN445"/>
          <cell r="AO445">
            <v>1000</v>
          </cell>
        </row>
        <row r="446">
          <cell r="A446" t="str">
            <v>Papeterie</v>
          </cell>
          <cell r="C446"/>
          <cell r="D446"/>
          <cell r="E446">
            <v>27642</v>
          </cell>
          <cell r="F446"/>
          <cell r="G446"/>
          <cell r="H446">
            <v>2303.5</v>
          </cell>
          <cell r="I446"/>
          <cell r="J446"/>
          <cell r="K446">
            <v>2303.5</v>
          </cell>
          <cell r="L446"/>
          <cell r="M446"/>
          <cell r="N446">
            <v>2303.5</v>
          </cell>
          <cell r="O446"/>
          <cell r="P446"/>
          <cell r="Q446">
            <v>2303.5</v>
          </cell>
          <cell r="R446"/>
          <cell r="S446"/>
          <cell r="T446">
            <v>2303.5</v>
          </cell>
          <cell r="U446"/>
          <cell r="V446"/>
          <cell r="W446">
            <v>2303.5</v>
          </cell>
          <cell r="X446"/>
          <cell r="Y446"/>
          <cell r="Z446">
            <v>2303.5</v>
          </cell>
          <cell r="AA446"/>
          <cell r="AB446"/>
          <cell r="AC446">
            <v>2303.5</v>
          </cell>
          <cell r="AD446"/>
          <cell r="AE446"/>
          <cell r="AF446">
            <v>2303.5</v>
          </cell>
          <cell r="AG446"/>
          <cell r="AH446"/>
          <cell r="AI446">
            <v>2303.5</v>
          </cell>
          <cell r="AJ446"/>
          <cell r="AK446"/>
          <cell r="AL446">
            <v>2303.5</v>
          </cell>
          <cell r="AM446"/>
          <cell r="AN446"/>
          <cell r="AO446">
            <v>2303.5</v>
          </cell>
        </row>
        <row r="447">
          <cell r="A447" t="str">
            <v>Téléphone</v>
          </cell>
          <cell r="C447"/>
          <cell r="D447"/>
          <cell r="E447">
            <v>10762.5</v>
          </cell>
          <cell r="F447"/>
          <cell r="G447"/>
          <cell r="H447">
            <v>896.875</v>
          </cell>
          <cell r="I447"/>
          <cell r="J447"/>
          <cell r="K447">
            <v>896.875</v>
          </cell>
          <cell r="L447"/>
          <cell r="M447"/>
          <cell r="N447">
            <v>896.875</v>
          </cell>
          <cell r="O447"/>
          <cell r="P447"/>
          <cell r="Q447">
            <v>896.875</v>
          </cell>
          <cell r="R447"/>
          <cell r="S447"/>
          <cell r="T447">
            <v>896.875</v>
          </cell>
          <cell r="U447"/>
          <cell r="V447"/>
          <cell r="W447">
            <v>896.875</v>
          </cell>
          <cell r="X447"/>
          <cell r="Y447"/>
          <cell r="Z447">
            <v>896.875</v>
          </cell>
          <cell r="AA447"/>
          <cell r="AB447"/>
          <cell r="AC447">
            <v>896.875</v>
          </cell>
          <cell r="AD447"/>
          <cell r="AE447"/>
          <cell r="AF447">
            <v>896.875</v>
          </cell>
          <cell r="AG447"/>
          <cell r="AH447"/>
          <cell r="AI447">
            <v>896.875</v>
          </cell>
          <cell r="AJ447"/>
          <cell r="AK447"/>
          <cell r="AL447">
            <v>896.875</v>
          </cell>
          <cell r="AM447"/>
          <cell r="AN447"/>
          <cell r="AO447">
            <v>896.875</v>
          </cell>
        </row>
        <row r="448">
          <cell r="A448" t="str">
            <v>Frais postaux</v>
          </cell>
          <cell r="C448"/>
          <cell r="D448"/>
          <cell r="E448">
            <v>8546.9999999999982</v>
          </cell>
          <cell r="F448"/>
          <cell r="G448"/>
          <cell r="H448">
            <v>712.24999999999989</v>
          </cell>
          <cell r="I448"/>
          <cell r="J448"/>
          <cell r="K448">
            <v>712.24999999999989</v>
          </cell>
          <cell r="L448"/>
          <cell r="M448"/>
          <cell r="N448">
            <v>712.24999999999989</v>
          </cell>
          <cell r="O448"/>
          <cell r="P448"/>
          <cell r="Q448">
            <v>712.24999999999989</v>
          </cell>
          <cell r="R448"/>
          <cell r="S448"/>
          <cell r="T448">
            <v>712.24999999999989</v>
          </cell>
          <cell r="U448"/>
          <cell r="V448"/>
          <cell r="W448">
            <v>712.24999999999989</v>
          </cell>
          <cell r="X448"/>
          <cell r="Y448"/>
          <cell r="Z448">
            <v>712.24999999999989</v>
          </cell>
          <cell r="AA448"/>
          <cell r="AB448"/>
          <cell r="AC448">
            <v>712.24999999999989</v>
          </cell>
          <cell r="AD448"/>
          <cell r="AE448"/>
          <cell r="AF448">
            <v>712.24999999999989</v>
          </cell>
          <cell r="AG448"/>
          <cell r="AH448"/>
          <cell r="AI448">
            <v>712.24999999999989</v>
          </cell>
          <cell r="AJ448"/>
          <cell r="AK448"/>
          <cell r="AL448">
            <v>712.24999999999989</v>
          </cell>
          <cell r="AM448"/>
          <cell r="AN448"/>
          <cell r="AO448">
            <v>712.24999999999989</v>
          </cell>
        </row>
        <row r="449">
          <cell r="A449" t="str">
            <v>Divers</v>
          </cell>
          <cell r="C449"/>
          <cell r="D449"/>
          <cell r="E449">
            <v>4500</v>
          </cell>
          <cell r="F449"/>
          <cell r="G449"/>
          <cell r="H449">
            <v>375</v>
          </cell>
          <cell r="I449"/>
          <cell r="J449"/>
          <cell r="K449">
            <v>375</v>
          </cell>
          <cell r="L449"/>
          <cell r="M449"/>
          <cell r="N449">
            <v>375</v>
          </cell>
          <cell r="O449"/>
          <cell r="P449"/>
          <cell r="Q449">
            <v>375</v>
          </cell>
          <cell r="R449"/>
          <cell r="S449"/>
          <cell r="T449">
            <v>375</v>
          </cell>
          <cell r="U449"/>
          <cell r="V449"/>
          <cell r="W449">
            <v>375</v>
          </cell>
          <cell r="X449"/>
          <cell r="Y449"/>
          <cell r="Z449">
            <v>375</v>
          </cell>
          <cell r="AA449"/>
          <cell r="AB449"/>
          <cell r="AC449">
            <v>375</v>
          </cell>
          <cell r="AD449"/>
          <cell r="AE449"/>
          <cell r="AF449">
            <v>375</v>
          </cell>
          <cell r="AG449"/>
          <cell r="AH449"/>
          <cell r="AI449">
            <v>375</v>
          </cell>
          <cell r="AJ449"/>
          <cell r="AK449"/>
          <cell r="AL449">
            <v>375</v>
          </cell>
          <cell r="AM449"/>
          <cell r="AN449"/>
          <cell r="AO449">
            <v>375</v>
          </cell>
        </row>
        <row r="450">
          <cell r="A450" t="str">
            <v>Formation</v>
          </cell>
          <cell r="C450"/>
          <cell r="D450"/>
          <cell r="E450">
            <v>54000</v>
          </cell>
          <cell r="F450"/>
          <cell r="G450"/>
          <cell r="H450">
            <v>4500</v>
          </cell>
          <cell r="I450"/>
          <cell r="J450"/>
          <cell r="K450">
            <v>4500</v>
          </cell>
          <cell r="L450"/>
          <cell r="M450"/>
          <cell r="N450">
            <v>4500</v>
          </cell>
          <cell r="O450"/>
          <cell r="P450"/>
          <cell r="Q450">
            <v>4500</v>
          </cell>
          <cell r="R450"/>
          <cell r="S450"/>
          <cell r="T450">
            <v>4500</v>
          </cell>
          <cell r="U450"/>
          <cell r="V450"/>
          <cell r="W450">
            <v>4500</v>
          </cell>
          <cell r="X450"/>
          <cell r="Y450"/>
          <cell r="Z450">
            <v>4500</v>
          </cell>
          <cell r="AA450"/>
          <cell r="AB450"/>
          <cell r="AC450">
            <v>4500</v>
          </cell>
          <cell r="AD450"/>
          <cell r="AE450"/>
          <cell r="AF450">
            <v>4500</v>
          </cell>
          <cell r="AG450"/>
          <cell r="AH450"/>
          <cell r="AI450">
            <v>4500</v>
          </cell>
          <cell r="AJ450"/>
          <cell r="AK450"/>
          <cell r="AL450">
            <v>4500</v>
          </cell>
          <cell r="AM450"/>
          <cell r="AN450"/>
          <cell r="AO450">
            <v>4500</v>
          </cell>
        </row>
        <row r="451">
          <cell r="A451" t="str">
            <v>Frais bancaires</v>
          </cell>
          <cell r="C451"/>
          <cell r="D451"/>
          <cell r="E451">
            <v>99084.945900144638</v>
          </cell>
          <cell r="F451"/>
          <cell r="G451"/>
          <cell r="H451">
            <v>6343.6460926935779</v>
          </cell>
          <cell r="I451"/>
          <cell r="J451"/>
          <cell r="K451">
            <v>6419.4076382719613</v>
          </cell>
          <cell r="L451"/>
          <cell r="M451"/>
          <cell r="N451">
            <v>8758.4530820832806</v>
          </cell>
          <cell r="O451"/>
          <cell r="P451"/>
          <cell r="Q451">
            <v>9300.4877333164586</v>
          </cell>
          <cell r="R451"/>
          <cell r="S451"/>
          <cell r="T451">
            <v>9900.6556835894953</v>
          </cell>
          <cell r="U451"/>
          <cell r="V451"/>
          <cell r="W451">
            <v>8947.0931687321008</v>
          </cell>
          <cell r="X451"/>
          <cell r="Y451"/>
          <cell r="Z451">
            <v>8483.1364627937146</v>
          </cell>
          <cell r="AA451"/>
          <cell r="AB451"/>
          <cell r="AC451">
            <v>8224.0705039813256</v>
          </cell>
          <cell r="AD451"/>
          <cell r="AE451"/>
          <cell r="AF451">
            <v>8576.8660091462734</v>
          </cell>
          <cell r="AG451"/>
          <cell r="AH451"/>
          <cell r="AI451">
            <v>8598.026452038388</v>
          </cell>
          <cell r="AJ451"/>
          <cell r="AK451"/>
          <cell r="AL451">
            <v>8887.178724094967</v>
          </cell>
          <cell r="AM451"/>
          <cell r="AN451"/>
          <cell r="AO451">
            <v>6645.9243494031098</v>
          </cell>
        </row>
        <row r="452">
          <cell r="A452" t="str">
            <v>[...]</v>
          </cell>
          <cell r="C452"/>
          <cell r="D452"/>
          <cell r="E452">
            <v>0</v>
          </cell>
          <cell r="F452"/>
          <cell r="G452"/>
          <cell r="H452">
            <v>0</v>
          </cell>
          <cell r="I452"/>
          <cell r="J452"/>
          <cell r="K452">
            <v>0</v>
          </cell>
          <cell r="L452"/>
          <cell r="M452"/>
          <cell r="N452">
            <v>0</v>
          </cell>
          <cell r="O452"/>
          <cell r="P452"/>
          <cell r="Q452">
            <v>0</v>
          </cell>
          <cell r="R452"/>
          <cell r="S452"/>
          <cell r="T452">
            <v>0</v>
          </cell>
          <cell r="U452"/>
          <cell r="V452"/>
          <cell r="W452">
            <v>0</v>
          </cell>
          <cell r="X452"/>
          <cell r="Y452"/>
          <cell r="Z452">
            <v>0</v>
          </cell>
          <cell r="AA452"/>
          <cell r="AB452"/>
          <cell r="AC452">
            <v>0</v>
          </cell>
          <cell r="AD452"/>
          <cell r="AE452"/>
          <cell r="AF452">
            <v>0</v>
          </cell>
          <cell r="AG452"/>
          <cell r="AH452"/>
          <cell r="AI452">
            <v>0</v>
          </cell>
          <cell r="AJ452"/>
          <cell r="AK452"/>
          <cell r="AL452">
            <v>0</v>
          </cell>
          <cell r="AM452"/>
          <cell r="AN452"/>
          <cell r="AO452">
            <v>0</v>
          </cell>
        </row>
        <row r="453">
          <cell r="A453" t="str">
            <v>[...]</v>
          </cell>
          <cell r="C453"/>
          <cell r="D453"/>
          <cell r="E453">
            <v>0</v>
          </cell>
          <cell r="F453"/>
          <cell r="G453"/>
          <cell r="H453">
            <v>0</v>
          </cell>
          <cell r="I453"/>
          <cell r="J453"/>
          <cell r="K453">
            <v>0</v>
          </cell>
          <cell r="L453"/>
          <cell r="M453"/>
          <cell r="N453">
            <v>0</v>
          </cell>
          <cell r="O453"/>
          <cell r="P453"/>
          <cell r="Q453">
            <v>0</v>
          </cell>
          <cell r="R453"/>
          <cell r="S453"/>
          <cell r="T453">
            <v>0</v>
          </cell>
          <cell r="U453"/>
          <cell r="V453"/>
          <cell r="W453">
            <v>0</v>
          </cell>
          <cell r="X453"/>
          <cell r="Y453"/>
          <cell r="Z453">
            <v>0</v>
          </cell>
          <cell r="AA453"/>
          <cell r="AB453"/>
          <cell r="AC453">
            <v>0</v>
          </cell>
          <cell r="AD453"/>
          <cell r="AE453"/>
          <cell r="AF453">
            <v>0</v>
          </cell>
          <cell r="AG453"/>
          <cell r="AH453"/>
          <cell r="AI453">
            <v>0</v>
          </cell>
          <cell r="AJ453"/>
          <cell r="AK453"/>
          <cell r="AL453">
            <v>0</v>
          </cell>
          <cell r="AM453"/>
          <cell r="AN453"/>
          <cell r="AO453">
            <v>0</v>
          </cell>
        </row>
        <row r="454">
          <cell r="A454" t="str">
            <v>[...]</v>
          </cell>
          <cell r="C454"/>
          <cell r="D454"/>
          <cell r="E454">
            <v>0</v>
          </cell>
          <cell r="F454"/>
          <cell r="G454"/>
          <cell r="H454">
            <v>0</v>
          </cell>
          <cell r="I454"/>
          <cell r="J454"/>
          <cell r="K454">
            <v>0</v>
          </cell>
          <cell r="L454"/>
          <cell r="M454"/>
          <cell r="N454">
            <v>0</v>
          </cell>
          <cell r="O454"/>
          <cell r="P454"/>
          <cell r="Q454">
            <v>0</v>
          </cell>
          <cell r="R454"/>
          <cell r="S454"/>
          <cell r="T454">
            <v>0</v>
          </cell>
          <cell r="U454"/>
          <cell r="V454"/>
          <cell r="W454">
            <v>0</v>
          </cell>
          <cell r="X454"/>
          <cell r="Y454"/>
          <cell r="Z454">
            <v>0</v>
          </cell>
          <cell r="AA454"/>
          <cell r="AB454"/>
          <cell r="AC454">
            <v>0</v>
          </cell>
          <cell r="AD454"/>
          <cell r="AE454"/>
          <cell r="AF454">
            <v>0</v>
          </cell>
          <cell r="AG454"/>
          <cell r="AH454"/>
          <cell r="AI454">
            <v>0</v>
          </cell>
          <cell r="AJ454"/>
          <cell r="AK454"/>
          <cell r="AL454">
            <v>0</v>
          </cell>
          <cell r="AM454"/>
          <cell r="AN454"/>
          <cell r="AO454">
            <v>0</v>
          </cell>
        </row>
        <row r="455">
          <cell r="A455" t="str">
            <v>TOTAL SEMI-FIXES</v>
          </cell>
          <cell r="C455">
            <v>0.17093846766648549</v>
          </cell>
          <cell r="D455"/>
          <cell r="E455">
            <v>1637609.6958538131</v>
          </cell>
          <cell r="F455">
            <v>0.24921643766420359</v>
          </cell>
          <cell r="G455"/>
          <cell r="H455">
            <v>152854.61227313339</v>
          </cell>
          <cell r="I455">
            <v>0.19562438325732601</v>
          </cell>
          <cell r="J455"/>
          <cell r="K455">
            <v>121417.38028366114</v>
          </cell>
          <cell r="L455">
            <v>0.15233666207946711</v>
          </cell>
          <cell r="M455"/>
          <cell r="N455">
            <v>129001.50025808526</v>
          </cell>
          <cell r="O455">
            <v>0.18201775759832567</v>
          </cell>
          <cell r="P455"/>
          <cell r="Q455">
            <v>163675.01970256012</v>
          </cell>
          <cell r="R455">
            <v>0.14849542431701637</v>
          </cell>
          <cell r="S455"/>
          <cell r="T455">
            <v>142147.73592984452</v>
          </cell>
          <cell r="U455">
            <v>0.14664464592191453</v>
          </cell>
          <cell r="V455"/>
          <cell r="W455">
            <v>126856.02213597248</v>
          </cell>
          <cell r="X455">
            <v>0.15847494911235285</v>
          </cell>
          <cell r="Y455"/>
          <cell r="Z455">
            <v>129981.03540519884</v>
          </cell>
          <cell r="AA455">
            <v>0.15103136292350713</v>
          </cell>
          <cell r="AB455"/>
          <cell r="AC455">
            <v>120092.77610750144</v>
          </cell>
          <cell r="AD455">
            <v>0.14645037178889106</v>
          </cell>
          <cell r="AE455"/>
          <cell r="AF455">
            <v>121445.66628091212</v>
          </cell>
          <cell r="AG455">
            <v>0.16626720241613949</v>
          </cell>
          <cell r="AH455"/>
          <cell r="AI455">
            <v>138219.17113039439</v>
          </cell>
          <cell r="AJ455">
            <v>0.17444110827147541</v>
          </cell>
          <cell r="AK455"/>
          <cell r="AL455">
            <v>149891.03870359418</v>
          </cell>
          <cell r="AM455">
            <v>0.22103184963081532</v>
          </cell>
          <cell r="AN455"/>
          <cell r="AO455">
            <v>142027.73764295527</v>
          </cell>
        </row>
        <row r="456">
          <cell r="A456" t="str">
            <v>Loyer</v>
          </cell>
          <cell r="C456"/>
          <cell r="D456"/>
          <cell r="E456">
            <v>954000</v>
          </cell>
          <cell r="F456"/>
          <cell r="G456"/>
          <cell r="H456">
            <v>79500</v>
          </cell>
          <cell r="I456"/>
          <cell r="J456"/>
          <cell r="K456">
            <v>79500</v>
          </cell>
          <cell r="L456"/>
          <cell r="M456"/>
          <cell r="N456">
            <v>79500</v>
          </cell>
          <cell r="O456"/>
          <cell r="P456"/>
          <cell r="Q456">
            <v>79500</v>
          </cell>
          <cell r="R456"/>
          <cell r="S456"/>
          <cell r="T456">
            <v>79500</v>
          </cell>
          <cell r="U456"/>
          <cell r="V456"/>
          <cell r="W456">
            <v>79500</v>
          </cell>
          <cell r="X456"/>
          <cell r="Y456"/>
          <cell r="Z456">
            <v>79500</v>
          </cell>
          <cell r="AA456"/>
          <cell r="AB456"/>
          <cell r="AC456">
            <v>79500</v>
          </cell>
          <cell r="AD456"/>
          <cell r="AE456"/>
          <cell r="AF456">
            <v>79500</v>
          </cell>
          <cell r="AG456"/>
          <cell r="AH456"/>
          <cell r="AI456">
            <v>79500</v>
          </cell>
          <cell r="AJ456"/>
          <cell r="AK456"/>
          <cell r="AL456">
            <v>79500</v>
          </cell>
          <cell r="AM456"/>
          <cell r="AN456"/>
          <cell r="AO456">
            <v>79500</v>
          </cell>
        </row>
        <row r="457">
          <cell r="A457" t="str">
            <v>Taxes foncières</v>
          </cell>
          <cell r="C457"/>
          <cell r="D457"/>
          <cell r="E457">
            <v>192000</v>
          </cell>
          <cell r="F457"/>
          <cell r="G457"/>
          <cell r="H457">
            <v>16000</v>
          </cell>
          <cell r="I457"/>
          <cell r="J457"/>
          <cell r="K457">
            <v>16000</v>
          </cell>
          <cell r="L457"/>
          <cell r="M457"/>
          <cell r="N457">
            <v>16000</v>
          </cell>
          <cell r="O457"/>
          <cell r="P457"/>
          <cell r="Q457">
            <v>16000</v>
          </cell>
          <cell r="R457"/>
          <cell r="S457"/>
          <cell r="T457">
            <v>16000</v>
          </cell>
          <cell r="U457"/>
          <cell r="V457"/>
          <cell r="W457">
            <v>16000</v>
          </cell>
          <cell r="X457"/>
          <cell r="Y457"/>
          <cell r="Z457">
            <v>16000</v>
          </cell>
          <cell r="AA457"/>
          <cell r="AB457"/>
          <cell r="AC457">
            <v>16000</v>
          </cell>
          <cell r="AD457"/>
          <cell r="AE457"/>
          <cell r="AF457">
            <v>16000</v>
          </cell>
          <cell r="AG457"/>
          <cell r="AH457"/>
          <cell r="AI457">
            <v>16000</v>
          </cell>
          <cell r="AJ457"/>
          <cell r="AK457"/>
          <cell r="AL457">
            <v>16000</v>
          </cell>
          <cell r="AM457"/>
          <cell r="AN457"/>
          <cell r="AO457">
            <v>16000</v>
          </cell>
        </row>
        <row r="458">
          <cell r="A458" t="str">
            <v>Taxes d`affaires</v>
          </cell>
          <cell r="C458"/>
          <cell r="D458"/>
          <cell r="E458">
            <v>18000</v>
          </cell>
          <cell r="F458"/>
          <cell r="G458"/>
          <cell r="H458">
            <v>1500</v>
          </cell>
          <cell r="I458"/>
          <cell r="J458"/>
          <cell r="K458">
            <v>1500</v>
          </cell>
          <cell r="L458"/>
          <cell r="M458"/>
          <cell r="N458">
            <v>1500</v>
          </cell>
          <cell r="O458"/>
          <cell r="P458"/>
          <cell r="Q458">
            <v>1500</v>
          </cell>
          <cell r="R458"/>
          <cell r="S458"/>
          <cell r="T458">
            <v>1500</v>
          </cell>
          <cell r="U458"/>
          <cell r="V458"/>
          <cell r="W458">
            <v>1500</v>
          </cell>
          <cell r="X458"/>
          <cell r="Y458"/>
          <cell r="Z458">
            <v>1500</v>
          </cell>
          <cell r="AA458"/>
          <cell r="AB458"/>
          <cell r="AC458">
            <v>1500</v>
          </cell>
          <cell r="AD458"/>
          <cell r="AE458"/>
          <cell r="AF458">
            <v>1500</v>
          </cell>
          <cell r="AG458"/>
          <cell r="AH458"/>
          <cell r="AI458">
            <v>1500</v>
          </cell>
          <cell r="AJ458"/>
          <cell r="AK458"/>
          <cell r="AL458">
            <v>1500</v>
          </cell>
          <cell r="AM458"/>
          <cell r="AN458"/>
          <cell r="AO458">
            <v>1500</v>
          </cell>
        </row>
        <row r="459">
          <cell r="A459" t="str">
            <v>Taxe sur le capital</v>
          </cell>
          <cell r="C459"/>
          <cell r="D459"/>
          <cell r="E459">
            <v>0</v>
          </cell>
          <cell r="F459"/>
          <cell r="G459"/>
          <cell r="H459"/>
          <cell r="I459"/>
          <cell r="J459"/>
          <cell r="K459"/>
          <cell r="L459"/>
          <cell r="M459"/>
          <cell r="N459"/>
          <cell r="O459"/>
          <cell r="P459"/>
          <cell r="Q459"/>
          <cell r="R459"/>
          <cell r="S459"/>
          <cell r="T459"/>
          <cell r="U459"/>
          <cell r="V459"/>
          <cell r="W459"/>
          <cell r="X459"/>
          <cell r="Y459"/>
          <cell r="Z459"/>
          <cell r="AA459"/>
          <cell r="AB459"/>
          <cell r="AC459"/>
          <cell r="AD459"/>
          <cell r="AE459"/>
          <cell r="AF459"/>
          <cell r="AG459"/>
          <cell r="AH459"/>
          <cell r="AI459"/>
          <cell r="AJ459"/>
          <cell r="AK459"/>
          <cell r="AL459"/>
          <cell r="AM459"/>
          <cell r="AN459"/>
          <cell r="AO459"/>
        </row>
        <row r="460">
          <cell r="A460" t="str">
            <v>Assurances</v>
          </cell>
          <cell r="C460"/>
          <cell r="D460"/>
          <cell r="E460">
            <v>52131</v>
          </cell>
          <cell r="F460"/>
          <cell r="G460"/>
          <cell r="H460">
            <v>4344.25</v>
          </cell>
          <cell r="I460"/>
          <cell r="J460"/>
          <cell r="K460">
            <v>4344.25</v>
          </cell>
          <cell r="L460"/>
          <cell r="M460"/>
          <cell r="N460">
            <v>4344.25</v>
          </cell>
          <cell r="O460"/>
          <cell r="P460"/>
          <cell r="Q460">
            <v>4344.25</v>
          </cell>
          <cell r="R460"/>
          <cell r="S460"/>
          <cell r="T460">
            <v>4344.25</v>
          </cell>
          <cell r="U460"/>
          <cell r="V460"/>
          <cell r="W460">
            <v>4344.25</v>
          </cell>
          <cell r="X460"/>
          <cell r="Y460"/>
          <cell r="Z460">
            <v>4344.25</v>
          </cell>
          <cell r="AA460"/>
          <cell r="AB460"/>
          <cell r="AC460">
            <v>4344.25</v>
          </cell>
          <cell r="AD460"/>
          <cell r="AE460"/>
          <cell r="AF460">
            <v>4344.25</v>
          </cell>
          <cell r="AG460"/>
          <cell r="AH460"/>
          <cell r="AI460">
            <v>4344.25</v>
          </cell>
          <cell r="AJ460"/>
          <cell r="AK460"/>
          <cell r="AL460">
            <v>4344.25</v>
          </cell>
          <cell r="AM460"/>
          <cell r="AN460"/>
          <cell r="AO460">
            <v>4344.25</v>
          </cell>
        </row>
        <row r="461">
          <cell r="A461" t="str">
            <v>Chauffage, éclairage</v>
          </cell>
          <cell r="C461"/>
          <cell r="D461"/>
          <cell r="E461">
            <v>90399.999999999956</v>
          </cell>
          <cell r="F461"/>
          <cell r="G461"/>
          <cell r="H461">
            <v>7533.3333333333321</v>
          </cell>
          <cell r="I461"/>
          <cell r="J461"/>
          <cell r="K461">
            <v>7533.3333333333321</v>
          </cell>
          <cell r="L461"/>
          <cell r="M461"/>
          <cell r="N461">
            <v>7533.3333333333321</v>
          </cell>
          <cell r="O461"/>
          <cell r="P461"/>
          <cell r="Q461">
            <v>7533.3333333333321</v>
          </cell>
          <cell r="R461"/>
          <cell r="S461"/>
          <cell r="T461">
            <v>7533.3333333333321</v>
          </cell>
          <cell r="U461"/>
          <cell r="V461"/>
          <cell r="W461">
            <v>7533.3333333333321</v>
          </cell>
          <cell r="X461"/>
          <cell r="Y461"/>
          <cell r="Z461">
            <v>7533.3333333333321</v>
          </cell>
          <cell r="AA461"/>
          <cell r="AB461"/>
          <cell r="AC461">
            <v>7533.3333333333321</v>
          </cell>
          <cell r="AD461"/>
          <cell r="AE461"/>
          <cell r="AF461">
            <v>7533.3333333333321</v>
          </cell>
          <cell r="AG461"/>
          <cell r="AH461"/>
          <cell r="AI461">
            <v>7533.3333333333321</v>
          </cell>
          <cell r="AJ461"/>
          <cell r="AK461"/>
          <cell r="AL461">
            <v>7533.3333333333321</v>
          </cell>
          <cell r="AM461"/>
          <cell r="AN461"/>
          <cell r="AO461">
            <v>7533.3333333333321</v>
          </cell>
        </row>
        <row r="462">
          <cell r="A462" t="str">
            <v>Honoraires</v>
          </cell>
          <cell r="C462"/>
          <cell r="D462"/>
          <cell r="E462">
            <v>37360.33</v>
          </cell>
          <cell r="F462"/>
          <cell r="G462"/>
          <cell r="H462">
            <v>6923.33</v>
          </cell>
          <cell r="I462"/>
          <cell r="J462"/>
          <cell r="K462">
            <v>2767</v>
          </cell>
          <cell r="L462"/>
          <cell r="M462"/>
          <cell r="N462">
            <v>2767</v>
          </cell>
          <cell r="O462"/>
          <cell r="P462"/>
          <cell r="Q462">
            <v>2767</v>
          </cell>
          <cell r="R462"/>
          <cell r="S462"/>
          <cell r="T462">
            <v>2767</v>
          </cell>
          <cell r="U462"/>
          <cell r="V462"/>
          <cell r="W462">
            <v>2767</v>
          </cell>
          <cell r="X462"/>
          <cell r="Y462"/>
          <cell r="Z462">
            <v>2767</v>
          </cell>
          <cell r="AA462"/>
          <cell r="AB462"/>
          <cell r="AC462">
            <v>2767</v>
          </cell>
          <cell r="AD462"/>
          <cell r="AE462"/>
          <cell r="AF462">
            <v>2767</v>
          </cell>
          <cell r="AG462"/>
          <cell r="AH462"/>
          <cell r="AI462">
            <v>2767</v>
          </cell>
          <cell r="AJ462"/>
          <cell r="AK462"/>
          <cell r="AL462">
            <v>2767</v>
          </cell>
          <cell r="AM462"/>
          <cell r="AN462"/>
          <cell r="AO462">
            <v>2767</v>
          </cell>
        </row>
        <row r="463">
          <cell r="A463" t="str">
            <v>Réparation équipement</v>
          </cell>
          <cell r="C463"/>
          <cell r="D463"/>
          <cell r="E463">
            <v>16374.74808917444</v>
          </cell>
          <cell r="F463"/>
          <cell r="G463"/>
          <cell r="H463">
            <v>1364.5623407645369</v>
          </cell>
          <cell r="I463"/>
          <cell r="J463"/>
          <cell r="K463">
            <v>1364.5623407645369</v>
          </cell>
          <cell r="L463"/>
          <cell r="M463"/>
          <cell r="N463">
            <v>1364.5623407645369</v>
          </cell>
          <cell r="O463"/>
          <cell r="P463"/>
          <cell r="Q463">
            <v>1364.5623407645369</v>
          </cell>
          <cell r="R463"/>
          <cell r="S463"/>
          <cell r="T463">
            <v>1364.5623407645369</v>
          </cell>
          <cell r="U463"/>
          <cell r="V463"/>
          <cell r="W463">
            <v>1364.5623407645369</v>
          </cell>
          <cell r="X463"/>
          <cell r="Y463"/>
          <cell r="Z463">
            <v>1364.5623407645369</v>
          </cell>
          <cell r="AA463"/>
          <cell r="AB463"/>
          <cell r="AC463">
            <v>1364.5623407645369</v>
          </cell>
          <cell r="AD463"/>
          <cell r="AE463"/>
          <cell r="AF463">
            <v>1364.5623407645369</v>
          </cell>
          <cell r="AG463"/>
          <cell r="AH463"/>
          <cell r="AI463">
            <v>1364.5623407645369</v>
          </cell>
          <cell r="AJ463"/>
          <cell r="AK463"/>
          <cell r="AL463">
            <v>1364.5623407645369</v>
          </cell>
          <cell r="AM463"/>
          <cell r="AN463"/>
          <cell r="AO463">
            <v>1364.5623407645369</v>
          </cell>
        </row>
        <row r="464">
          <cell r="A464" t="str">
            <v>Location équipement</v>
          </cell>
          <cell r="C464"/>
          <cell r="D464"/>
          <cell r="E464">
            <v>15000</v>
          </cell>
          <cell r="F464"/>
          <cell r="G464"/>
          <cell r="H464">
            <v>1250</v>
          </cell>
          <cell r="I464"/>
          <cell r="J464"/>
          <cell r="K464">
            <v>1250</v>
          </cell>
          <cell r="L464"/>
          <cell r="M464"/>
          <cell r="N464">
            <v>1250</v>
          </cell>
          <cell r="O464"/>
          <cell r="P464"/>
          <cell r="Q464">
            <v>1250</v>
          </cell>
          <cell r="R464"/>
          <cell r="S464"/>
          <cell r="T464">
            <v>1250</v>
          </cell>
          <cell r="U464"/>
          <cell r="V464"/>
          <cell r="W464">
            <v>1250</v>
          </cell>
          <cell r="X464"/>
          <cell r="Y464"/>
          <cell r="Z464">
            <v>1250</v>
          </cell>
          <cell r="AA464"/>
          <cell r="AB464"/>
          <cell r="AC464">
            <v>1250</v>
          </cell>
          <cell r="AD464"/>
          <cell r="AE464"/>
          <cell r="AF464">
            <v>1250</v>
          </cell>
          <cell r="AG464"/>
          <cell r="AH464"/>
          <cell r="AI464">
            <v>1250</v>
          </cell>
          <cell r="AJ464"/>
          <cell r="AK464"/>
          <cell r="AL464">
            <v>1250</v>
          </cell>
          <cell r="AM464"/>
          <cell r="AN464"/>
          <cell r="AO464">
            <v>1250</v>
          </cell>
        </row>
        <row r="465">
          <cell r="A465" t="str">
            <v>Dons</v>
          </cell>
          <cell r="C465"/>
          <cell r="D465"/>
          <cell r="E465">
            <v>0</v>
          </cell>
          <cell r="F465"/>
          <cell r="G465"/>
          <cell r="H465"/>
          <cell r="I465"/>
          <cell r="J465"/>
          <cell r="K465"/>
          <cell r="L465"/>
          <cell r="M465"/>
          <cell r="N465"/>
          <cell r="O465"/>
          <cell r="P465"/>
          <cell r="Q465"/>
          <cell r="R465"/>
          <cell r="S465"/>
          <cell r="T465"/>
          <cell r="U465"/>
          <cell r="V465"/>
          <cell r="W465"/>
          <cell r="X465"/>
          <cell r="Y465"/>
          <cell r="Z465"/>
          <cell r="AA465"/>
          <cell r="AB465"/>
          <cell r="AC465"/>
          <cell r="AD465"/>
          <cell r="AE465"/>
          <cell r="AF465"/>
          <cell r="AG465"/>
          <cell r="AH465"/>
          <cell r="AI465"/>
          <cell r="AJ465"/>
          <cell r="AK465"/>
          <cell r="AL465"/>
          <cell r="AM465"/>
          <cell r="AN465"/>
          <cell r="AO465"/>
        </row>
        <row r="466">
          <cell r="A466" t="str">
            <v>[...]</v>
          </cell>
          <cell r="C466"/>
          <cell r="D466"/>
          <cell r="E466">
            <v>0</v>
          </cell>
          <cell r="F466"/>
          <cell r="G466"/>
          <cell r="H466"/>
          <cell r="I466"/>
          <cell r="J466"/>
          <cell r="K466"/>
          <cell r="L466"/>
          <cell r="M466"/>
          <cell r="N466"/>
          <cell r="O466"/>
          <cell r="P466"/>
          <cell r="Q466"/>
          <cell r="R466"/>
          <cell r="S466"/>
          <cell r="T466"/>
          <cell r="U466"/>
          <cell r="V466"/>
          <cell r="W466"/>
          <cell r="X466"/>
          <cell r="Y466"/>
          <cell r="Z466"/>
          <cell r="AA466"/>
          <cell r="AB466"/>
          <cell r="AC466"/>
          <cell r="AD466"/>
          <cell r="AE466"/>
          <cell r="AF466"/>
          <cell r="AG466"/>
          <cell r="AH466"/>
          <cell r="AI466"/>
          <cell r="AJ466"/>
          <cell r="AK466"/>
          <cell r="AL466"/>
          <cell r="AM466"/>
          <cell r="AN466"/>
          <cell r="AO466"/>
        </row>
        <row r="467">
          <cell r="A467" t="str">
            <v>[...]</v>
          </cell>
          <cell r="C467"/>
          <cell r="D467"/>
          <cell r="E467">
            <v>0</v>
          </cell>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v>
          </cell>
          <cell r="C468"/>
          <cell r="D468"/>
          <cell r="E468">
            <v>0</v>
          </cell>
          <cell r="F468"/>
          <cell r="G468"/>
          <cell r="H468"/>
          <cell r="I468"/>
          <cell r="J468"/>
          <cell r="K468"/>
          <cell r="L468"/>
          <cell r="M468"/>
          <cell r="N468"/>
          <cell r="O468"/>
          <cell r="P468"/>
          <cell r="Q468"/>
          <cell r="R468"/>
          <cell r="S468"/>
          <cell r="T468"/>
          <cell r="U468"/>
          <cell r="V468"/>
          <cell r="W468"/>
          <cell r="X468"/>
          <cell r="Y468"/>
          <cell r="Z468"/>
          <cell r="AA468"/>
          <cell r="AB468"/>
          <cell r="AC468"/>
          <cell r="AD468"/>
          <cell r="AE468"/>
          <cell r="AF468"/>
          <cell r="AG468"/>
          <cell r="AH468"/>
          <cell r="AI468"/>
          <cell r="AJ468"/>
          <cell r="AK468"/>
          <cell r="AL468"/>
          <cell r="AM468"/>
          <cell r="AN468"/>
          <cell r="AO468"/>
        </row>
        <row r="469">
          <cell r="A469" t="str">
            <v>TOTAL DÉPENSES FIXES</v>
          </cell>
          <cell r="C469">
            <v>0.14355427707680501</v>
          </cell>
          <cell r="D469"/>
          <cell r="E469">
            <v>1375266.0780891746</v>
          </cell>
          <cell r="F469">
            <v>0.1930663561468329</v>
          </cell>
          <cell r="G469"/>
          <cell r="H469">
            <v>118415.47567409786</v>
          </cell>
          <cell r="I469">
            <v>0.18409123019937373</v>
          </cell>
          <cell r="J469"/>
          <cell r="K469">
            <v>114259.14567409786</v>
          </cell>
          <cell r="L469">
            <v>0.13492755378209431</v>
          </cell>
          <cell r="M469"/>
          <cell r="N469">
            <v>114259.14567409786</v>
          </cell>
          <cell r="O469">
            <v>0.12706394365183893</v>
          </cell>
          <cell r="P469"/>
          <cell r="Q469">
            <v>114259.14567409786</v>
          </cell>
          <cell r="R469">
            <v>0.11936145312471813</v>
          </cell>
          <cell r="S469"/>
          <cell r="T469">
            <v>114259.14567409786</v>
          </cell>
          <cell r="U469">
            <v>0.13208274765827763</v>
          </cell>
          <cell r="V469"/>
          <cell r="W469">
            <v>114259.14567409786</v>
          </cell>
          <cell r="X469">
            <v>0.13930657068453647</v>
          </cell>
          <cell r="Y469"/>
          <cell r="Z469">
            <v>114259.14567409786</v>
          </cell>
          <cell r="AA469">
            <v>0.143694858733111</v>
          </cell>
          <cell r="AB469"/>
          <cell r="AC469">
            <v>114259.14567409786</v>
          </cell>
          <cell r="AD469">
            <v>0.13778420323000609</v>
          </cell>
          <cell r="AE469"/>
          <cell r="AF469">
            <v>114259.14567409786</v>
          </cell>
          <cell r="AG469">
            <v>0.13744510509159635</v>
          </cell>
          <cell r="AH469"/>
          <cell r="AI469">
            <v>114259.14567409786</v>
          </cell>
          <cell r="AJ469">
            <v>0.13297320622986419</v>
          </cell>
          <cell r="AK469"/>
          <cell r="AL469">
            <v>114259.14567409786</v>
          </cell>
          <cell r="AM469">
            <v>0.1778167470995782</v>
          </cell>
          <cell r="AN469"/>
          <cell r="AO469">
            <v>114259.14567409786</v>
          </cell>
        </row>
        <row r="470">
          <cell r="A470">
            <v>0</v>
          </cell>
          <cell r="C470"/>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cell r="AD470"/>
          <cell r="AE470"/>
          <cell r="AF470"/>
          <cell r="AG470"/>
          <cell r="AH470"/>
          <cell r="AI470"/>
          <cell r="AJ470"/>
          <cell r="AK470"/>
          <cell r="AL470"/>
          <cell r="AM470"/>
          <cell r="AN470"/>
          <cell r="AO470"/>
        </row>
        <row r="471">
          <cell r="A471" t="str">
            <v>TOTAL DES DÉPENSES</v>
          </cell>
          <cell r="C471">
            <v>0.94857662750912952</v>
          </cell>
          <cell r="D471"/>
          <cell r="E471">
            <v>9087470.5013740063</v>
          </cell>
          <cell r="F471">
            <v>1.1754965816887795</v>
          </cell>
          <cell r="G471"/>
          <cell r="H471">
            <v>720980.02806915389</v>
          </cell>
          <cell r="I471">
            <v>1.0732831295803307</v>
          </cell>
          <cell r="J471"/>
          <cell r="K471">
            <v>666150.21975494327</v>
          </cell>
          <cell r="L471">
            <v>0.89273733885361639</v>
          </cell>
          <cell r="M471"/>
          <cell r="N471">
            <v>755986.47414534446</v>
          </cell>
          <cell r="O471">
            <v>0.92802839535325321</v>
          </cell>
          <cell r="P471"/>
          <cell r="Q471">
            <v>834506.8519588015</v>
          </cell>
          <cell r="R471">
            <v>0.87443033011174198</v>
          </cell>
          <cell r="S471"/>
          <cell r="T471">
            <v>837051.32481666037</v>
          </cell>
          <cell r="U471">
            <v>0.84969009898038195</v>
          </cell>
          <cell r="V471"/>
          <cell r="W471">
            <v>735030.6267735624</v>
          </cell>
          <cell r="X471">
            <v>0.94862308356394842</v>
          </cell>
          <cell r="Y471"/>
          <cell r="Z471">
            <v>778059.94765454833</v>
          </cell>
          <cell r="AA471">
            <v>0.89621691266206649</v>
          </cell>
          <cell r="AB471"/>
          <cell r="AC471">
            <v>712627.9929725104</v>
          </cell>
          <cell r="AD471">
            <v>0.85862595631572203</v>
          </cell>
          <cell r="AE471"/>
          <cell r="AF471">
            <v>712025.51469902147</v>
          </cell>
          <cell r="AG471">
            <v>0.97548711481287786</v>
          </cell>
          <cell r="AH471"/>
          <cell r="AI471">
            <v>810929.74740957003</v>
          </cell>
          <cell r="AJ471">
            <v>0.91661323945313966</v>
          </cell>
          <cell r="AK471"/>
          <cell r="AL471">
            <v>787613.14871538081</v>
          </cell>
          <cell r="AM471">
            <v>1.1461976809798955</v>
          </cell>
          <cell r="AN471"/>
          <cell r="AO471">
            <v>736508.62440451025</v>
          </cell>
        </row>
        <row r="472">
          <cell r="A472" t="str">
            <v>Revenus autres</v>
          </cell>
          <cell r="C472"/>
          <cell r="D472"/>
          <cell r="E472">
            <v>80000</v>
          </cell>
          <cell r="F472"/>
          <cell r="G472"/>
          <cell r="H472">
            <v>0</v>
          </cell>
          <cell r="I472"/>
          <cell r="J472"/>
          <cell r="K472">
            <v>0</v>
          </cell>
          <cell r="L472"/>
          <cell r="M472"/>
          <cell r="N472">
            <v>20000</v>
          </cell>
          <cell r="O472"/>
          <cell r="P472"/>
          <cell r="Q472">
            <v>0</v>
          </cell>
          <cell r="R472"/>
          <cell r="S472"/>
          <cell r="T472">
            <v>0</v>
          </cell>
          <cell r="U472"/>
          <cell r="V472"/>
          <cell r="W472">
            <v>20000</v>
          </cell>
          <cell r="X472"/>
          <cell r="Y472"/>
          <cell r="Z472">
            <v>0</v>
          </cell>
          <cell r="AA472"/>
          <cell r="AB472"/>
          <cell r="AC472">
            <v>0</v>
          </cell>
          <cell r="AD472"/>
          <cell r="AE472"/>
          <cell r="AF472">
            <v>20000</v>
          </cell>
          <cell r="AG472"/>
          <cell r="AH472"/>
          <cell r="AI472">
            <v>0</v>
          </cell>
          <cell r="AJ472"/>
          <cell r="AK472"/>
          <cell r="AL472">
            <v>0</v>
          </cell>
          <cell r="AM472"/>
          <cell r="AN472"/>
          <cell r="AO472">
            <v>20000</v>
          </cell>
        </row>
        <row r="473">
          <cell r="A473" t="str">
            <v>Holdbacks</v>
          </cell>
          <cell r="C473"/>
          <cell r="D473"/>
          <cell r="E473">
            <v>971329.00248800265</v>
          </cell>
          <cell r="F473"/>
          <cell r="G473"/>
          <cell r="H473">
            <v>62754.401846134992</v>
          </cell>
          <cell r="I473"/>
          <cell r="J473"/>
          <cell r="K473">
            <v>68211.306354494562</v>
          </cell>
          <cell r="L473"/>
          <cell r="M473"/>
          <cell r="N473">
            <v>100952.73340465195</v>
          </cell>
          <cell r="O473"/>
          <cell r="P473"/>
          <cell r="Q473">
            <v>103681.18565883172</v>
          </cell>
          <cell r="R473"/>
          <cell r="S473"/>
          <cell r="T473">
            <v>107773.86404010141</v>
          </cell>
          <cell r="U473"/>
          <cell r="V473"/>
          <cell r="W473">
            <v>96860.055023382272</v>
          </cell>
          <cell r="X473"/>
          <cell r="Y473"/>
          <cell r="Z473">
            <v>85946.246006663147</v>
          </cell>
          <cell r="AA473"/>
          <cell r="AB473"/>
          <cell r="AC473">
            <v>77760.889244123799</v>
          </cell>
          <cell r="AD473"/>
          <cell r="AE473"/>
          <cell r="AF473">
            <v>75032.436989944021</v>
          </cell>
          <cell r="AG473"/>
          <cell r="AH473"/>
          <cell r="AI473">
            <v>73668.210862854117</v>
          </cell>
          <cell r="AJ473"/>
          <cell r="AK473"/>
          <cell r="AL473">
            <v>64118.627973224888</v>
          </cell>
          <cell r="AM473"/>
          <cell r="AN473"/>
          <cell r="AO473">
            <v>54569.045083595651</v>
          </cell>
        </row>
        <row r="474">
          <cell r="A474" t="str">
            <v>Programme neuf 1</v>
          </cell>
          <cell r="C474"/>
          <cell r="D474"/>
          <cell r="E474">
            <v>140000</v>
          </cell>
          <cell r="F474"/>
          <cell r="G474"/>
          <cell r="H474">
            <v>0</v>
          </cell>
          <cell r="I474"/>
          <cell r="J474"/>
          <cell r="K474">
            <v>0</v>
          </cell>
          <cell r="L474"/>
          <cell r="M474"/>
          <cell r="N474">
            <v>35000</v>
          </cell>
          <cell r="O474"/>
          <cell r="P474"/>
          <cell r="Q474">
            <v>0</v>
          </cell>
          <cell r="R474"/>
          <cell r="S474"/>
          <cell r="T474">
            <v>0</v>
          </cell>
          <cell r="U474"/>
          <cell r="V474"/>
          <cell r="W474">
            <v>35000</v>
          </cell>
          <cell r="X474"/>
          <cell r="Y474"/>
          <cell r="Z474">
            <v>0</v>
          </cell>
          <cell r="AA474"/>
          <cell r="AB474"/>
          <cell r="AC474">
            <v>0</v>
          </cell>
          <cell r="AD474"/>
          <cell r="AE474"/>
          <cell r="AF474">
            <v>35000</v>
          </cell>
          <cell r="AG474"/>
          <cell r="AH474"/>
          <cell r="AI474">
            <v>0</v>
          </cell>
          <cell r="AJ474"/>
          <cell r="AK474"/>
          <cell r="AL474">
            <v>0</v>
          </cell>
          <cell r="AM474"/>
          <cell r="AN474"/>
          <cell r="AO474">
            <v>35000</v>
          </cell>
        </row>
        <row r="475">
          <cell r="A475" t="str">
            <v>Programme neuf 2</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Programme neuf 3</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Programme used 1</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Programme used 2</v>
          </cell>
          <cell r="C478"/>
          <cell r="D478"/>
          <cell r="E478">
            <v>0</v>
          </cell>
          <cell r="F478"/>
          <cell r="G478"/>
          <cell r="H478">
            <v>0</v>
          </cell>
          <cell r="I478"/>
          <cell r="J478"/>
          <cell r="K478">
            <v>0</v>
          </cell>
          <cell r="L478"/>
          <cell r="M478"/>
          <cell r="N478">
            <v>0</v>
          </cell>
          <cell r="O478"/>
          <cell r="P478"/>
          <cell r="Q478">
            <v>0</v>
          </cell>
          <cell r="R478"/>
          <cell r="S478"/>
          <cell r="T478">
            <v>0</v>
          </cell>
          <cell r="U478"/>
          <cell r="V478"/>
          <cell r="W478">
            <v>0</v>
          </cell>
          <cell r="X478"/>
          <cell r="Y478"/>
          <cell r="Z478">
            <v>0</v>
          </cell>
          <cell r="AA478"/>
          <cell r="AB478"/>
          <cell r="AC478">
            <v>0</v>
          </cell>
          <cell r="AD478"/>
          <cell r="AE478"/>
          <cell r="AF478">
            <v>0</v>
          </cell>
          <cell r="AG478"/>
          <cell r="AH478"/>
          <cell r="AI478">
            <v>0</v>
          </cell>
          <cell r="AJ478"/>
          <cell r="AK478"/>
          <cell r="AL478">
            <v>0</v>
          </cell>
          <cell r="AM478"/>
          <cell r="AN478"/>
          <cell r="AO478">
            <v>0</v>
          </cell>
        </row>
        <row r="479">
          <cell r="A479" t="str">
            <v>Programme used 3</v>
          </cell>
          <cell r="C479"/>
          <cell r="D479"/>
          <cell r="E479">
            <v>0</v>
          </cell>
          <cell r="F479"/>
          <cell r="G479"/>
          <cell r="H479">
            <v>0</v>
          </cell>
          <cell r="I479"/>
          <cell r="J479"/>
          <cell r="K479">
            <v>0</v>
          </cell>
          <cell r="L479"/>
          <cell r="M479"/>
          <cell r="N479">
            <v>0</v>
          </cell>
          <cell r="O479"/>
          <cell r="P479"/>
          <cell r="Q479">
            <v>0</v>
          </cell>
          <cell r="R479"/>
          <cell r="S479"/>
          <cell r="T479">
            <v>0</v>
          </cell>
          <cell r="U479"/>
          <cell r="V479"/>
          <cell r="W479">
            <v>0</v>
          </cell>
          <cell r="X479"/>
          <cell r="Y479"/>
          <cell r="Z479">
            <v>0</v>
          </cell>
          <cell r="AA479"/>
          <cell r="AB479"/>
          <cell r="AC479">
            <v>0</v>
          </cell>
          <cell r="AD479"/>
          <cell r="AE479"/>
          <cell r="AF479">
            <v>0</v>
          </cell>
          <cell r="AG479"/>
          <cell r="AH479"/>
          <cell r="AI479">
            <v>0</v>
          </cell>
          <cell r="AJ479"/>
          <cell r="AK479"/>
          <cell r="AL479">
            <v>0</v>
          </cell>
          <cell r="AM479"/>
          <cell r="AN479"/>
          <cell r="AO479">
            <v>0</v>
          </cell>
        </row>
        <row r="480">
          <cell r="A480" t="str">
            <v>[...]</v>
          </cell>
          <cell r="C480"/>
          <cell r="D480"/>
          <cell r="E480">
            <v>0</v>
          </cell>
          <cell r="F480"/>
          <cell r="G480"/>
          <cell r="H480"/>
          <cell r="I480"/>
          <cell r="J480"/>
          <cell r="K480"/>
          <cell r="L480"/>
          <cell r="M480"/>
          <cell r="N480"/>
          <cell r="O480"/>
          <cell r="P480"/>
          <cell r="Q480"/>
          <cell r="R480"/>
          <cell r="S480"/>
          <cell r="T480"/>
          <cell r="U480"/>
          <cell r="V480"/>
          <cell r="W480"/>
          <cell r="X480"/>
          <cell r="Y480"/>
          <cell r="Z480"/>
          <cell r="AA480"/>
          <cell r="AB480"/>
          <cell r="AC480"/>
          <cell r="AD480"/>
          <cell r="AE480"/>
          <cell r="AF480"/>
          <cell r="AG480"/>
          <cell r="AH480"/>
          <cell r="AI480"/>
          <cell r="AJ480"/>
          <cell r="AK480"/>
          <cell r="AL480"/>
          <cell r="AM480"/>
          <cell r="AN480"/>
          <cell r="AO480"/>
        </row>
        <row r="481">
          <cell r="A481" t="str">
            <v>[...]</v>
          </cell>
          <cell r="C481"/>
          <cell r="D481"/>
          <cell r="E481">
            <v>0</v>
          </cell>
          <cell r="F481"/>
          <cell r="G481"/>
          <cell r="H481"/>
          <cell r="I481"/>
          <cell r="J481"/>
          <cell r="K481"/>
          <cell r="L481"/>
          <cell r="M481"/>
          <cell r="N481"/>
          <cell r="O481"/>
          <cell r="P481"/>
          <cell r="Q481"/>
          <cell r="R481"/>
          <cell r="S481"/>
          <cell r="T481"/>
          <cell r="U481"/>
          <cell r="V481"/>
          <cell r="W481"/>
          <cell r="X481"/>
          <cell r="Y481"/>
          <cell r="Z481"/>
          <cell r="AA481"/>
          <cell r="AB481"/>
          <cell r="AC481"/>
          <cell r="AD481"/>
          <cell r="AE481"/>
          <cell r="AF481"/>
          <cell r="AG481"/>
          <cell r="AH481"/>
          <cell r="AI481"/>
          <cell r="AJ481"/>
          <cell r="AK481"/>
          <cell r="AL481"/>
          <cell r="AM481"/>
          <cell r="AN481"/>
          <cell r="AO481"/>
        </row>
        <row r="482">
          <cell r="A482" t="str">
            <v>[...]</v>
          </cell>
          <cell r="C482"/>
          <cell r="D482"/>
          <cell r="E482">
            <v>0</v>
          </cell>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t="str">
            <v>Frais administration</v>
          </cell>
          <cell r="C483"/>
          <cell r="D483"/>
          <cell r="E483">
            <v>571542.79999999993</v>
          </cell>
          <cell r="F483"/>
          <cell r="G483"/>
          <cell r="H483">
            <v>36404</v>
          </cell>
          <cell r="I483"/>
          <cell r="J483"/>
          <cell r="K483">
            <v>38224.199999999997</v>
          </cell>
          <cell r="L483"/>
          <cell r="M483"/>
          <cell r="N483">
            <v>55971.149999999994</v>
          </cell>
          <cell r="O483"/>
          <cell r="P483"/>
          <cell r="Q483">
            <v>57791.349999999991</v>
          </cell>
          <cell r="R483"/>
          <cell r="S483"/>
          <cell r="T483">
            <v>60066.599999999991</v>
          </cell>
          <cell r="U483"/>
          <cell r="V483"/>
          <cell r="W483">
            <v>55516.099999999991</v>
          </cell>
          <cell r="X483"/>
          <cell r="Y483"/>
          <cell r="Z483">
            <v>50965.599999999991</v>
          </cell>
          <cell r="AA483"/>
          <cell r="AB483"/>
          <cell r="AC483">
            <v>47780.25</v>
          </cell>
          <cell r="AD483"/>
          <cell r="AE483"/>
          <cell r="AF483">
            <v>46870.149999999994</v>
          </cell>
          <cell r="AG483"/>
          <cell r="AH483"/>
          <cell r="AI483">
            <v>45960.049999999996</v>
          </cell>
          <cell r="AJ483"/>
          <cell r="AK483"/>
          <cell r="AL483">
            <v>40954.5</v>
          </cell>
          <cell r="AM483"/>
          <cell r="AN483"/>
          <cell r="AO483">
            <v>35038.85</v>
          </cell>
        </row>
        <row r="484">
          <cell r="A484" t="str">
            <v>TOTAL AUTRES REVENUS</v>
          </cell>
          <cell r="C484">
            <v>0.18401369103560486</v>
          </cell>
          <cell r="D484"/>
          <cell r="E484">
            <v>1762871.8024880025</v>
          </cell>
          <cell r="F484">
            <v>0.16166933601200112</v>
          </cell>
          <cell r="G484"/>
          <cell r="H484">
            <v>99158.401846134992</v>
          </cell>
          <cell r="I484">
            <v>0.17148599515683247</v>
          </cell>
          <cell r="J484"/>
          <cell r="K484">
            <v>106435.50635449456</v>
          </cell>
          <cell r="L484">
            <v>0.2502589268201898</v>
          </cell>
          <cell r="M484"/>
          <cell r="N484">
            <v>211923.88340465195</v>
          </cell>
          <cell r="O484">
            <v>0.17956844549490231</v>
          </cell>
          <cell r="P484"/>
          <cell r="Q484">
            <v>161472.53565883171</v>
          </cell>
          <cell r="R484">
            <v>0.17533547588475507</v>
          </cell>
          <cell r="S484"/>
          <cell r="T484">
            <v>167840.46404010139</v>
          </cell>
          <cell r="U484">
            <v>0.23972533833242782</v>
          </cell>
          <cell r="V484"/>
          <cell r="W484">
            <v>207376.15502338228</v>
          </cell>
          <cell r="X484">
            <v>0.1669251038133861</v>
          </cell>
          <cell r="Y484"/>
          <cell r="Z484">
            <v>136911.84600666314</v>
          </cell>
          <cell r="AA484">
            <v>0.157883346339143</v>
          </cell>
          <cell r="AB484"/>
          <cell r="AC484">
            <v>125541.1392441238</v>
          </cell>
          <cell r="AD484">
            <v>0.21332543538579832</v>
          </cell>
          <cell r="AE484"/>
          <cell r="AF484">
            <v>176902.58698994401</v>
          </cell>
          <cell r="AG484">
            <v>0.1439037443279895</v>
          </cell>
          <cell r="AH484"/>
          <cell r="AI484">
            <v>119628.26086285411</v>
          </cell>
          <cell r="AJ484">
            <v>0.12228264645924031</v>
          </cell>
          <cell r="AK484"/>
          <cell r="AL484">
            <v>105073.12797322488</v>
          </cell>
          <cell r="AM484">
            <v>0.22504724113748797</v>
          </cell>
          <cell r="AN484"/>
          <cell r="AO484">
            <v>144607.89508359565</v>
          </cell>
        </row>
        <row r="485">
          <cell r="A485">
            <v>0</v>
          </cell>
          <cell r="C485"/>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t="str">
            <v>BAIIA OPÉRATIONNEL</v>
          </cell>
          <cell r="C486" t="str">
            <v>%vte</v>
          </cell>
          <cell r="D486">
            <v>3.399850395569895E-2</v>
          </cell>
          <cell r="E486">
            <v>2255513.479543719</v>
          </cell>
          <cell r="F486" t="str">
            <v>%vte</v>
          </cell>
          <cell r="G486">
            <v>-2.0004316106804641E-3</v>
          </cell>
          <cell r="H486">
            <v>-8480.8140929176443</v>
          </cell>
          <cell r="I486" t="str">
            <v>%vte</v>
          </cell>
          <cell r="J486">
            <v>1.4007886724083396E-2</v>
          </cell>
          <cell r="K486">
            <v>60951.168132057719</v>
          </cell>
          <cell r="L486" t="str">
            <v>%vte</v>
          </cell>
          <cell r="M486">
            <v>5.0478617732755707E-2</v>
          </cell>
          <cell r="N486">
            <v>302755.88681522926</v>
          </cell>
          <cell r="O486" t="str">
            <v>%vte</v>
          </cell>
          <cell r="P486">
            <v>3.6080872506932607E-2</v>
          </cell>
          <cell r="Q486">
            <v>226191.24203129997</v>
          </cell>
          <cell r="R486" t="str">
            <v>%vte</v>
          </cell>
          <cell r="S486">
            <v>4.3132905077894482E-2</v>
          </cell>
          <cell r="T486">
            <v>288042.44573866099</v>
          </cell>
          <cell r="U486" t="str">
            <v>%vte</v>
          </cell>
          <cell r="V486">
            <v>5.2947084990005694E-2</v>
          </cell>
          <cell r="W486">
            <v>337402.83285486407</v>
          </cell>
          <cell r="X486" t="str">
            <v>%vte</v>
          </cell>
          <cell r="Y486">
            <v>2.960463307003371E-2</v>
          </cell>
          <cell r="Z486">
            <v>179051.15465884571</v>
          </cell>
          <cell r="AA486" t="str">
            <v>%vte</v>
          </cell>
          <cell r="AB486">
            <v>3.6324809909450147E-2</v>
          </cell>
          <cell r="AC486">
            <v>208064.39024419695</v>
          </cell>
          <cell r="AD486" t="str">
            <v>%vte</v>
          </cell>
          <cell r="AE486">
            <v>5.3262964382482306E-2</v>
          </cell>
          <cell r="AF486">
            <v>294138.64942079596</v>
          </cell>
          <cell r="AG486" t="str">
            <v>%vte</v>
          </cell>
          <cell r="AH486">
            <v>2.4513677859063332E-2</v>
          </cell>
          <cell r="AI486">
            <v>140006.00598241508</v>
          </cell>
          <cell r="AJ486" t="str">
            <v>%vte</v>
          </cell>
          <cell r="AK486">
            <v>3.4019364823057459E-2</v>
          </cell>
          <cell r="AL486">
            <v>176724.40487892544</v>
          </cell>
          <cell r="AM486" t="str">
            <v>%vte</v>
          </cell>
          <cell r="AN486">
            <v>1.1980193536549947E-2</v>
          </cell>
          <cell r="AO486">
            <v>50666.112879343447</v>
          </cell>
        </row>
        <row r="487">
          <cell r="A487"/>
          <cell r="C487"/>
          <cell r="D487"/>
          <cell r="E487"/>
          <cell r="F487"/>
          <cell r="G487"/>
          <cell r="H487"/>
          <cell r="I487"/>
          <cell r="J487"/>
          <cell r="K487"/>
          <cell r="L487"/>
          <cell r="M487"/>
          <cell r="N487"/>
          <cell r="O487"/>
          <cell r="P487"/>
          <cell r="Q487"/>
          <cell r="R487"/>
          <cell r="S487"/>
          <cell r="T487"/>
          <cell r="U487"/>
          <cell r="V487"/>
          <cell r="W487"/>
          <cell r="X487"/>
          <cell r="Y487"/>
          <cell r="Z487"/>
          <cell r="AA487"/>
          <cell r="AB487"/>
          <cell r="AC487"/>
          <cell r="AD487"/>
          <cell r="AE487"/>
          <cell r="AF487"/>
          <cell r="AG487"/>
          <cell r="AH487"/>
          <cell r="AI487"/>
          <cell r="AJ487"/>
          <cell r="AK487"/>
          <cell r="AL487"/>
          <cell r="AM487"/>
          <cell r="AN487"/>
          <cell r="AO487"/>
        </row>
        <row r="488">
          <cell r="A488"/>
          <cell r="C488" t="str">
            <v>CALCUL DU PROFIT NET</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cell r="C489"/>
          <cell r="D489"/>
          <cell r="E489"/>
          <cell r="F489"/>
          <cell r="G489"/>
          <cell r="H489"/>
          <cell r="I489"/>
          <cell r="J489"/>
          <cell r="K489"/>
          <cell r="L489"/>
          <cell r="M489"/>
          <cell r="N489"/>
          <cell r="O489"/>
          <cell r="P489"/>
          <cell r="Q489"/>
          <cell r="R489"/>
          <cell r="S489"/>
          <cell r="T489"/>
          <cell r="U489"/>
          <cell r="V489"/>
          <cell r="W489"/>
          <cell r="X489"/>
          <cell r="Y489"/>
          <cell r="Z489"/>
          <cell r="AA489"/>
          <cell r="AB489"/>
          <cell r="AC489"/>
          <cell r="AD489"/>
          <cell r="AE489"/>
          <cell r="AF489"/>
          <cell r="AG489"/>
          <cell r="AH489"/>
          <cell r="AI489"/>
          <cell r="AJ489"/>
          <cell r="AK489"/>
          <cell r="AL489"/>
          <cell r="AM489"/>
          <cell r="AN489"/>
          <cell r="AO489"/>
        </row>
        <row r="490">
          <cell r="A490"/>
          <cell r="C490"/>
          <cell r="D490"/>
          <cell r="E490"/>
          <cell r="F490"/>
          <cell r="G490"/>
          <cell r="H490"/>
          <cell r="I490"/>
          <cell r="J490"/>
          <cell r="K490"/>
          <cell r="L490"/>
          <cell r="M490"/>
          <cell r="N490"/>
          <cell r="O490"/>
          <cell r="P490"/>
          <cell r="Q490"/>
          <cell r="R490"/>
          <cell r="S490"/>
          <cell r="T490"/>
          <cell r="U490"/>
          <cell r="V490"/>
          <cell r="W490"/>
          <cell r="X490"/>
          <cell r="Y490"/>
          <cell r="Z490"/>
          <cell r="AA490"/>
          <cell r="AB490"/>
          <cell r="AC490"/>
          <cell r="AD490"/>
          <cell r="AE490"/>
          <cell r="AF490"/>
          <cell r="AG490"/>
          <cell r="AH490"/>
          <cell r="AI490"/>
          <cell r="AJ490"/>
          <cell r="AK490"/>
          <cell r="AL490"/>
          <cell r="AM490"/>
          <cell r="AN490"/>
          <cell r="AO490"/>
        </row>
        <row r="491">
          <cell r="A491"/>
          <cell r="C491"/>
          <cell r="D491"/>
          <cell r="E491"/>
          <cell r="F491"/>
          <cell r="G491"/>
          <cell r="H491"/>
          <cell r="I491"/>
          <cell r="J491"/>
          <cell r="K491"/>
          <cell r="L491"/>
          <cell r="M491"/>
          <cell r="N491"/>
          <cell r="O491"/>
          <cell r="P491"/>
          <cell r="Q491"/>
          <cell r="R491"/>
          <cell r="S491"/>
          <cell r="T491"/>
          <cell r="U491"/>
          <cell r="V491"/>
          <cell r="W491"/>
          <cell r="X491"/>
          <cell r="Y491"/>
          <cell r="Z491"/>
          <cell r="AA491"/>
          <cell r="AB491"/>
          <cell r="AC491"/>
          <cell r="AD491"/>
          <cell r="AE491"/>
          <cell r="AF491"/>
          <cell r="AG491"/>
          <cell r="AH491"/>
          <cell r="AI491"/>
          <cell r="AJ491"/>
          <cell r="AK491"/>
          <cell r="AL491"/>
          <cell r="AM491"/>
          <cell r="AN491"/>
          <cell r="AO491"/>
        </row>
        <row r="492">
          <cell r="A492"/>
          <cell r="C492" t="str">
            <v>%vte</v>
          </cell>
          <cell r="D492">
            <v>3.399850395569895E-2</v>
          </cell>
          <cell r="E492">
            <v>2255513.479543719</v>
          </cell>
          <cell r="F492" t="str">
            <v>%vte</v>
          </cell>
          <cell r="G492">
            <v>-2.0004316106804641E-3</v>
          </cell>
          <cell r="H492">
            <v>-8480.8140929176443</v>
          </cell>
          <cell r="I492" t="str">
            <v>%vte</v>
          </cell>
          <cell r="J492">
            <v>1.4007886724083396E-2</v>
          </cell>
          <cell r="K492">
            <v>60951.168132057719</v>
          </cell>
          <cell r="L492" t="str">
            <v>%vte</v>
          </cell>
          <cell r="M492">
            <v>5.0478617732755707E-2</v>
          </cell>
          <cell r="N492">
            <v>302755.88681522926</v>
          </cell>
          <cell r="O492" t="str">
            <v>%vte</v>
          </cell>
          <cell r="P492">
            <v>3.6080872506932607E-2</v>
          </cell>
          <cell r="Q492">
            <v>226191.24203129997</v>
          </cell>
          <cell r="R492" t="str">
            <v>%vte</v>
          </cell>
          <cell r="S492">
            <v>4.3132905077894482E-2</v>
          </cell>
          <cell r="T492">
            <v>288042.44573866099</v>
          </cell>
          <cell r="U492" t="str">
            <v>%vte</v>
          </cell>
          <cell r="V492">
            <v>5.2947084990005694E-2</v>
          </cell>
          <cell r="W492">
            <v>337402.83285486407</v>
          </cell>
          <cell r="X492" t="str">
            <v>%vte</v>
          </cell>
          <cell r="Y492">
            <v>2.960463307003371E-2</v>
          </cell>
          <cell r="Z492">
            <v>179051.15465884571</v>
          </cell>
          <cell r="AA492" t="str">
            <v>%vte</v>
          </cell>
          <cell r="AB492">
            <v>3.6324809909450147E-2</v>
          </cell>
          <cell r="AC492">
            <v>208064.39024419695</v>
          </cell>
          <cell r="AD492" t="str">
            <v>%vte</v>
          </cell>
          <cell r="AE492">
            <v>5.3262964382482306E-2</v>
          </cell>
          <cell r="AF492">
            <v>294138.64942079596</v>
          </cell>
          <cell r="AG492" t="str">
            <v>%vte</v>
          </cell>
          <cell r="AH492">
            <v>2.4513677859063332E-2</v>
          </cell>
          <cell r="AI492">
            <v>140006.00598241508</v>
          </cell>
          <cell r="AJ492" t="str">
            <v>%vte</v>
          </cell>
          <cell r="AK492">
            <v>3.4019364823057459E-2</v>
          </cell>
          <cell r="AL492">
            <v>176724.40487892544</v>
          </cell>
          <cell r="AM492" t="str">
            <v>%vte</v>
          </cell>
          <cell r="AN492">
            <v>1.1980193536549947E-2</v>
          </cell>
          <cell r="AO492">
            <v>50666.112879343447</v>
          </cell>
        </row>
        <row r="493">
          <cell r="A493"/>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Amortissement</v>
          </cell>
          <cell r="C494"/>
          <cell r="D494"/>
          <cell r="E494">
            <v>114200.00000000001</v>
          </cell>
          <cell r="F494"/>
          <cell r="G494"/>
          <cell r="H494">
            <v>9516.6666666666661</v>
          </cell>
          <cell r="I494"/>
          <cell r="J494"/>
          <cell r="K494">
            <v>9516.6666666666661</v>
          </cell>
          <cell r="L494"/>
          <cell r="M494"/>
          <cell r="N494">
            <v>9516.6666666666661</v>
          </cell>
          <cell r="O494"/>
          <cell r="P494"/>
          <cell r="Q494">
            <v>9516.6666666666661</v>
          </cell>
          <cell r="R494"/>
          <cell r="S494"/>
          <cell r="T494">
            <v>9516.6666666666661</v>
          </cell>
          <cell r="U494"/>
          <cell r="V494"/>
          <cell r="W494">
            <v>9516.6666666666661</v>
          </cell>
          <cell r="X494"/>
          <cell r="Y494"/>
          <cell r="Z494">
            <v>9516.6666666666661</v>
          </cell>
          <cell r="AA494"/>
          <cell r="AB494"/>
          <cell r="AC494">
            <v>9516.6666666666661</v>
          </cell>
          <cell r="AD494"/>
          <cell r="AE494"/>
          <cell r="AF494">
            <v>9516.6666666666661</v>
          </cell>
          <cell r="AG494"/>
          <cell r="AH494"/>
          <cell r="AI494">
            <v>9516.6666666666661</v>
          </cell>
          <cell r="AJ494"/>
          <cell r="AK494"/>
          <cell r="AL494">
            <v>9516.6666666666661</v>
          </cell>
          <cell r="AM494"/>
          <cell r="AN494"/>
          <cell r="AO494">
            <v>9516.6666666666661</v>
          </cell>
        </row>
        <row r="495">
          <cell r="A495" t="str">
            <v>Intérêts sur marge</v>
          </cell>
          <cell r="C495"/>
          <cell r="D495"/>
          <cell r="E495">
            <v>0</v>
          </cell>
          <cell r="F495"/>
          <cell r="G495"/>
          <cell r="H495">
            <v>0</v>
          </cell>
          <cell r="I495"/>
          <cell r="J495"/>
          <cell r="K495">
            <v>0</v>
          </cell>
          <cell r="L495"/>
          <cell r="M495"/>
          <cell r="N495">
            <v>0</v>
          </cell>
          <cell r="O495"/>
          <cell r="P495"/>
          <cell r="Q495">
            <v>0</v>
          </cell>
          <cell r="R495"/>
          <cell r="S495"/>
          <cell r="T495">
            <v>0</v>
          </cell>
          <cell r="U495"/>
          <cell r="V495"/>
          <cell r="W495">
            <v>0</v>
          </cell>
          <cell r="X495"/>
          <cell r="Y495"/>
          <cell r="Z495">
            <v>0</v>
          </cell>
          <cell r="AA495"/>
          <cell r="AB495"/>
          <cell r="AC495">
            <v>0</v>
          </cell>
          <cell r="AD495"/>
          <cell r="AE495"/>
          <cell r="AF495">
            <v>0</v>
          </cell>
          <cell r="AG495"/>
          <cell r="AH495"/>
          <cell r="AI495">
            <v>0</v>
          </cell>
          <cell r="AJ495"/>
          <cell r="AK495"/>
          <cell r="AL495">
            <v>0</v>
          </cell>
          <cell r="AM495"/>
          <cell r="AN495"/>
          <cell r="AO495">
            <v>0</v>
          </cell>
        </row>
        <row r="496">
          <cell r="A496" t="str">
            <v>Intérêts sur prêt</v>
          </cell>
          <cell r="C496"/>
          <cell r="D496"/>
          <cell r="E496">
            <v>0</v>
          </cell>
          <cell r="F496"/>
          <cell r="G496"/>
          <cell r="H496">
            <v>0</v>
          </cell>
          <cell r="I496"/>
          <cell r="J496"/>
          <cell r="K496">
            <v>0</v>
          </cell>
          <cell r="L496"/>
          <cell r="M496"/>
          <cell r="N496">
            <v>0</v>
          </cell>
          <cell r="O496"/>
          <cell r="P496"/>
          <cell r="Q496">
            <v>0</v>
          </cell>
          <cell r="R496"/>
          <cell r="S496"/>
          <cell r="T496">
            <v>0</v>
          </cell>
          <cell r="U496"/>
          <cell r="V496"/>
          <cell r="W496">
            <v>0</v>
          </cell>
          <cell r="X496"/>
          <cell r="Y496"/>
          <cell r="Z496">
            <v>0</v>
          </cell>
          <cell r="AA496"/>
          <cell r="AB496"/>
          <cell r="AC496">
            <v>0</v>
          </cell>
          <cell r="AD496"/>
          <cell r="AE496"/>
          <cell r="AF496">
            <v>0</v>
          </cell>
          <cell r="AG496"/>
          <cell r="AH496"/>
          <cell r="AI496">
            <v>0</v>
          </cell>
          <cell r="AJ496"/>
          <cell r="AK496"/>
          <cell r="AL496">
            <v>0</v>
          </cell>
          <cell r="AM496"/>
          <cell r="AN496"/>
          <cell r="AO496">
            <v>0</v>
          </cell>
        </row>
        <row r="497">
          <cell r="A497" t="str">
            <v>Intérêts sur avance</v>
          </cell>
          <cell r="C497"/>
          <cell r="D497"/>
          <cell r="E497">
            <v>0</v>
          </cell>
          <cell r="F497"/>
          <cell r="G497"/>
          <cell r="H497"/>
          <cell r="I497"/>
          <cell r="J497"/>
          <cell r="K497"/>
          <cell r="L497"/>
          <cell r="M497"/>
          <cell r="N497"/>
          <cell r="O497"/>
          <cell r="P497"/>
          <cell r="Q497"/>
          <cell r="R497"/>
          <cell r="S497"/>
          <cell r="T497"/>
          <cell r="U497"/>
          <cell r="V497"/>
          <cell r="W497"/>
          <cell r="X497"/>
          <cell r="Y497"/>
          <cell r="Z497"/>
          <cell r="AA497"/>
          <cell r="AB497"/>
          <cell r="AC497"/>
          <cell r="AD497"/>
          <cell r="AE497"/>
          <cell r="AF497"/>
          <cell r="AG497"/>
          <cell r="AH497"/>
          <cell r="AI497"/>
          <cell r="AJ497"/>
          <cell r="AK497"/>
          <cell r="AL497"/>
          <cell r="AM497"/>
          <cell r="AN497"/>
          <cell r="AO497"/>
        </row>
        <row r="498">
          <cell r="A498" t="str">
            <v>[...]</v>
          </cell>
          <cell r="C498"/>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row>
        <row r="499">
          <cell r="A499" t="str">
            <v>Revenus d'intérêts floor plan</v>
          </cell>
          <cell r="C499"/>
          <cell r="D499"/>
          <cell r="E499">
            <v>0</v>
          </cell>
          <cell r="F499"/>
          <cell r="G499"/>
          <cell r="H499">
            <v>0</v>
          </cell>
          <cell r="I499"/>
          <cell r="J499"/>
          <cell r="K499">
            <v>0</v>
          </cell>
          <cell r="L499"/>
          <cell r="M499"/>
          <cell r="N499">
            <v>0</v>
          </cell>
          <cell r="O499"/>
          <cell r="P499"/>
          <cell r="Q499">
            <v>0</v>
          </cell>
          <cell r="R499"/>
          <cell r="S499"/>
          <cell r="T499">
            <v>0</v>
          </cell>
          <cell r="U499"/>
          <cell r="V499"/>
          <cell r="W499">
            <v>0</v>
          </cell>
          <cell r="X499"/>
          <cell r="Y499"/>
          <cell r="Z499">
            <v>0</v>
          </cell>
          <cell r="AA499"/>
          <cell r="AB499"/>
          <cell r="AC499">
            <v>0</v>
          </cell>
          <cell r="AD499"/>
          <cell r="AE499"/>
          <cell r="AF499">
            <v>0</v>
          </cell>
          <cell r="AG499"/>
          <cell r="AH499"/>
          <cell r="AI499">
            <v>0</v>
          </cell>
          <cell r="AJ499"/>
          <cell r="AK499"/>
          <cell r="AL499">
            <v>0</v>
          </cell>
          <cell r="AM499"/>
          <cell r="AN499"/>
          <cell r="AO499">
            <v>0</v>
          </cell>
        </row>
        <row r="500">
          <cell r="A500" t="str">
            <v>[...]</v>
          </cell>
          <cell r="C500"/>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cell r="AD500"/>
          <cell r="AE500"/>
          <cell r="AF500"/>
          <cell r="AG500"/>
          <cell r="AH500"/>
          <cell r="AI500"/>
          <cell r="AJ500"/>
          <cell r="AK500"/>
          <cell r="AL500"/>
          <cell r="AM500"/>
          <cell r="AN500"/>
          <cell r="AO500"/>
        </row>
        <row r="501">
          <cell r="A501"/>
          <cell r="C501" t="str">
            <v>%vte</v>
          </cell>
          <cell r="D501">
            <v>3.2277109166018392E-2</v>
          </cell>
          <cell r="E501">
            <v>2141313.479543719</v>
          </cell>
          <cell r="F501" t="str">
            <v>%vte</v>
          </cell>
          <cell r="G501">
            <v>-4.2451973395044584E-3</v>
          </cell>
          <cell r="H501">
            <v>-17997.480759584309</v>
          </cell>
          <cell r="I501" t="str">
            <v>%vte</v>
          </cell>
          <cell r="J501">
            <v>1.1820752453437444E-2</v>
          </cell>
          <cell r="K501">
            <v>51434.501465391055</v>
          </cell>
          <cell r="L501" t="str">
            <v>%vte</v>
          </cell>
          <cell r="M501">
            <v>4.8891899853179328E-2</v>
          </cell>
          <cell r="N501">
            <v>293239.22014856257</v>
          </cell>
          <cell r="O501" t="str">
            <v>%vte</v>
          </cell>
          <cell r="P501">
            <v>3.4562822410883973E-2</v>
          </cell>
          <cell r="Q501">
            <v>216674.57536463332</v>
          </cell>
          <cell r="R501" t="str">
            <v>%vte</v>
          </cell>
          <cell r="S501">
            <v>4.1707832189978082E-2</v>
          </cell>
          <cell r="T501">
            <v>278525.7790719943</v>
          </cell>
          <cell r="U501" t="str">
            <v>%vte</v>
          </cell>
          <cell r="V501">
            <v>5.1453677970989042E-2</v>
          </cell>
          <cell r="W501">
            <v>327886.16618819739</v>
          </cell>
          <cell r="X501" t="str">
            <v>%vte</v>
          </cell>
          <cell r="Y501">
            <v>2.8031130652507869E-2</v>
          </cell>
          <cell r="Z501">
            <v>169534.48799217906</v>
          </cell>
          <cell r="AA501" t="str">
            <v>%vte</v>
          </cell>
          <cell r="AB501">
            <v>3.4663347766732966E-2</v>
          </cell>
          <cell r="AC501">
            <v>198547.7235775303</v>
          </cell>
          <cell r="AD501" t="str">
            <v>%vte</v>
          </cell>
          <cell r="AE501">
            <v>5.153967545494844E-2</v>
          </cell>
          <cell r="AF501">
            <v>284621.98275412928</v>
          </cell>
          <cell r="AG501" t="str">
            <v>%vte</v>
          </cell>
          <cell r="AH501">
            <v>2.2847402906629833E-2</v>
          </cell>
          <cell r="AI501">
            <v>130489.33931574841</v>
          </cell>
          <cell r="AJ501" t="str">
            <v>%vte</v>
          </cell>
          <cell r="AK501">
            <v>3.2187410965555066E-2</v>
          </cell>
          <cell r="AL501">
            <v>167207.73821225879</v>
          </cell>
          <cell r="AM501" t="str">
            <v>%vte</v>
          </cell>
          <cell r="AN501">
            <v>9.7299418000291703E-3</v>
          </cell>
          <cell r="AO501">
            <v>41149.446212676783</v>
          </cell>
        </row>
      </sheetData>
      <sheetData sheetId="3">
        <row r="3">
          <cell r="C3"/>
          <cell r="D3"/>
          <cell r="E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36609711.23999998</v>
          </cell>
          <cell r="F8"/>
          <cell r="G8"/>
          <cell r="H8">
            <v>2918214.9299999899</v>
          </cell>
          <cell r="I8"/>
          <cell r="J8"/>
          <cell r="K8">
            <v>2075892.06</v>
          </cell>
          <cell r="L8"/>
          <cell r="M8"/>
          <cell r="N8">
            <v>2855728.5699999901</v>
          </cell>
          <cell r="O8"/>
          <cell r="P8"/>
          <cell r="Q8">
            <v>2860821</v>
          </cell>
          <cell r="R8"/>
          <cell r="S8"/>
          <cell r="T8">
            <v>3181778.77</v>
          </cell>
          <cell r="U8"/>
          <cell r="V8"/>
          <cell r="W8">
            <v>2263466.9500000002</v>
          </cell>
          <cell r="X8"/>
          <cell r="Y8"/>
          <cell r="Z8">
            <v>4089468.26</v>
          </cell>
          <cell r="AA8"/>
          <cell r="AB8"/>
          <cell r="AC8">
            <v>3610810.15</v>
          </cell>
          <cell r="AD8"/>
          <cell r="AE8"/>
          <cell r="AF8">
            <v>3303841.7</v>
          </cell>
          <cell r="AG8"/>
          <cell r="AH8"/>
          <cell r="AI8">
            <v>2861489.76</v>
          </cell>
          <cell r="AJ8"/>
          <cell r="AK8"/>
          <cell r="AL8">
            <v>4142859.5</v>
          </cell>
          <cell r="AM8"/>
          <cell r="AN8"/>
          <cell r="AO8">
            <v>2445339.59</v>
          </cell>
        </row>
        <row r="9">
          <cell r="A9" t="str">
            <v>Véhicules neufsAutos détail</v>
          </cell>
          <cell r="C9">
            <v>127</v>
          </cell>
          <cell r="D9">
            <v>1912.2985039370042</v>
          </cell>
          <cell r="E9">
            <v>242861.90999999954</v>
          </cell>
          <cell r="F9">
            <v>8</v>
          </cell>
          <cell r="G9">
            <v>1716.8587499999876</v>
          </cell>
          <cell r="H9">
            <v>13734.869999999901</v>
          </cell>
          <cell r="I9">
            <v>4</v>
          </cell>
          <cell r="J9">
            <v>1345.9624999999976</v>
          </cell>
          <cell r="K9">
            <v>5383.8499999999904</v>
          </cell>
          <cell r="L9">
            <v>11</v>
          </cell>
          <cell r="M9">
            <v>1848.9036363636274</v>
          </cell>
          <cell r="N9">
            <v>20337.9399999999</v>
          </cell>
          <cell r="O9">
            <v>24</v>
          </cell>
          <cell r="P9">
            <v>1996.3658333333376</v>
          </cell>
          <cell r="Q9">
            <v>47912.780000000101</v>
          </cell>
          <cell r="R9">
            <v>10</v>
          </cell>
          <cell r="S9">
            <v>2530.125</v>
          </cell>
          <cell r="T9">
            <v>25301.25</v>
          </cell>
          <cell r="U9">
            <v>12</v>
          </cell>
          <cell r="V9">
            <v>2183.5041666666666</v>
          </cell>
          <cell r="W9">
            <v>26202.05</v>
          </cell>
          <cell r="X9">
            <v>13</v>
          </cell>
          <cell r="Y9">
            <v>1905.2107692307693</v>
          </cell>
          <cell r="Z9">
            <v>24767.74</v>
          </cell>
          <cell r="AA9">
            <v>15</v>
          </cell>
          <cell r="AB9">
            <v>2442.5653333333266</v>
          </cell>
          <cell r="AC9">
            <v>36638.479999999901</v>
          </cell>
          <cell r="AD9">
            <v>7</v>
          </cell>
          <cell r="AE9">
            <v>688.43142857142868</v>
          </cell>
          <cell r="AF9">
            <v>4819.0200000000004</v>
          </cell>
          <cell r="AG9">
            <v>11</v>
          </cell>
          <cell r="AH9">
            <v>1392.1181818181726</v>
          </cell>
          <cell r="AI9">
            <v>15313.299999999899</v>
          </cell>
          <cell r="AJ9">
            <v>10</v>
          </cell>
          <cell r="AK9">
            <v>1542.29599999999</v>
          </cell>
          <cell r="AL9">
            <v>15422.959999999901</v>
          </cell>
          <cell r="AM9">
            <v>2</v>
          </cell>
          <cell r="AN9">
            <v>3513.834999999995</v>
          </cell>
          <cell r="AO9">
            <v>7027.6699999999901</v>
          </cell>
        </row>
        <row r="10">
          <cell r="A10" t="str">
            <v>Véhicules neufsCamions détail</v>
          </cell>
          <cell r="C10">
            <v>511</v>
          </cell>
          <cell r="D10">
            <v>2254.2628767123242</v>
          </cell>
          <cell r="E10">
            <v>1151928.3299999977</v>
          </cell>
          <cell r="F10">
            <v>40</v>
          </cell>
          <cell r="G10">
            <v>2500.5232499999752</v>
          </cell>
          <cell r="H10">
            <v>100020.929999999</v>
          </cell>
          <cell r="I10">
            <v>26</v>
          </cell>
          <cell r="J10">
            <v>2574.7484615384578</v>
          </cell>
          <cell r="K10">
            <v>66943.459999999905</v>
          </cell>
          <cell r="L10">
            <v>40</v>
          </cell>
          <cell r="M10">
            <v>2175.1205</v>
          </cell>
          <cell r="N10">
            <v>87004.82</v>
          </cell>
          <cell r="O10">
            <v>32</v>
          </cell>
          <cell r="P10">
            <v>2603.3337499999998</v>
          </cell>
          <cell r="Q10">
            <v>83306.679999999993</v>
          </cell>
          <cell r="R10">
            <v>42</v>
          </cell>
          <cell r="S10">
            <v>2234.1590476190499</v>
          </cell>
          <cell r="T10">
            <v>93834.680000000095</v>
          </cell>
          <cell r="U10">
            <v>29</v>
          </cell>
          <cell r="V10">
            <v>1971.4127586206932</v>
          </cell>
          <cell r="W10">
            <v>57170.970000000103</v>
          </cell>
          <cell r="X10">
            <v>63</v>
          </cell>
          <cell r="Y10">
            <v>2276.0850793650793</v>
          </cell>
          <cell r="Z10">
            <v>143393.35999999999</v>
          </cell>
          <cell r="AA10">
            <v>49</v>
          </cell>
          <cell r="AB10">
            <v>2254.3873469387754</v>
          </cell>
          <cell r="AC10">
            <v>110464.98</v>
          </cell>
          <cell r="AD10">
            <v>56</v>
          </cell>
          <cell r="AE10">
            <v>2636.2428571428572</v>
          </cell>
          <cell r="AF10">
            <v>147629.6</v>
          </cell>
          <cell r="AG10">
            <v>37</v>
          </cell>
          <cell r="AH10">
            <v>2420.7516216216159</v>
          </cell>
          <cell r="AI10">
            <v>89567.809999999794</v>
          </cell>
          <cell r="AJ10">
            <v>60</v>
          </cell>
          <cell r="AK10">
            <v>1856.0264999999833</v>
          </cell>
          <cell r="AL10">
            <v>111361.58999999901</v>
          </cell>
          <cell r="AM10">
            <v>37</v>
          </cell>
          <cell r="AN10">
            <v>1654.8499999999974</v>
          </cell>
          <cell r="AO10">
            <v>61229.449999999903</v>
          </cell>
        </row>
        <row r="11">
          <cell r="A11" t="str">
            <v>Véhicules neufsSprinter</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row>
        <row r="12">
          <cell r="A12" t="str">
            <v>Véhicules neufsMoto détail</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row>
        <row r="13">
          <cell r="A13" t="str">
            <v>Véhicules neufs[...]</v>
          </cell>
          <cell r="C13"/>
          <cell r="D13"/>
          <cell r="E13"/>
          <cell r="F13"/>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row>
        <row r="14">
          <cell r="A14" t="str">
            <v>Véhicules neufs[...]</v>
          </cell>
          <cell r="C14"/>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row>
        <row r="15">
          <cell r="A15" t="str">
            <v>Véhicules neufs[...]</v>
          </cell>
          <cell r="C15"/>
          <cell r="D15"/>
          <cell r="E15"/>
          <cell r="F15"/>
          <cell r="G15"/>
          <cell r="H15"/>
          <cell r="I15"/>
          <cell r="J15"/>
          <cell r="K15"/>
          <cell r="L15"/>
          <cell r="M15"/>
          <cell r="N15"/>
          <cell r="O15"/>
          <cell r="P15"/>
          <cell r="Q15"/>
          <cell r="R15"/>
          <cell r="S15"/>
          <cell r="T15"/>
          <cell r="U15"/>
          <cell r="V15"/>
          <cell r="W15"/>
          <cell r="X15"/>
          <cell r="Y15"/>
          <cell r="Z15"/>
          <cell r="AA15"/>
          <cell r="AB15"/>
          <cell r="AC15"/>
          <cell r="AD15"/>
          <cell r="AE15"/>
          <cell r="AF15"/>
          <cell r="AG15"/>
          <cell r="AH15"/>
          <cell r="AI15"/>
          <cell r="AJ15"/>
          <cell r="AK15"/>
          <cell r="AL15"/>
          <cell r="AM15"/>
          <cell r="AN15"/>
          <cell r="AO15"/>
        </row>
        <row r="16">
          <cell r="A16" t="str">
            <v>Véhicules neufsTotal Neufs</v>
          </cell>
          <cell r="C16">
            <v>638</v>
          </cell>
          <cell r="D16">
            <v>2186.191598746077</v>
          </cell>
          <cell r="E16">
            <v>1394790.2399999972</v>
          </cell>
          <cell r="F16">
            <v>48</v>
          </cell>
          <cell r="G16">
            <v>2369.9124999999772</v>
          </cell>
          <cell r="H16">
            <v>113755.79999999891</v>
          </cell>
          <cell r="I16">
            <v>30</v>
          </cell>
          <cell r="J16">
            <v>2410.9103333333301</v>
          </cell>
          <cell r="K16">
            <v>72327.309999999896</v>
          </cell>
          <cell r="L16">
            <v>51</v>
          </cell>
          <cell r="M16">
            <v>2104.7599999999984</v>
          </cell>
          <cell r="N16">
            <v>107342.75999999991</v>
          </cell>
          <cell r="O16">
            <v>56</v>
          </cell>
          <cell r="P16">
            <v>2343.2046428571443</v>
          </cell>
          <cell r="Q16">
            <v>131219.46000000008</v>
          </cell>
          <cell r="R16">
            <v>52</v>
          </cell>
          <cell r="S16">
            <v>2291.0755769230786</v>
          </cell>
          <cell r="T16">
            <v>119135.93000000009</v>
          </cell>
          <cell r="U16">
            <v>41</v>
          </cell>
          <cell r="V16">
            <v>2033.4882926829293</v>
          </cell>
          <cell r="W16">
            <v>83373.020000000106</v>
          </cell>
          <cell r="X16">
            <v>76</v>
          </cell>
          <cell r="Y16">
            <v>2212.6460526315786</v>
          </cell>
          <cell r="Z16">
            <v>168161.09999999998</v>
          </cell>
          <cell r="AA16">
            <v>64</v>
          </cell>
          <cell r="AB16">
            <v>2298.4915624999985</v>
          </cell>
          <cell r="AC16">
            <v>147103.4599999999</v>
          </cell>
          <cell r="AD16">
            <v>63</v>
          </cell>
          <cell r="AE16">
            <v>2419.8193650793651</v>
          </cell>
          <cell r="AF16">
            <v>152448.62</v>
          </cell>
          <cell r="AG16">
            <v>48</v>
          </cell>
          <cell r="AH16">
            <v>2185.0231249999938</v>
          </cell>
          <cell r="AI16">
            <v>104881.10999999969</v>
          </cell>
          <cell r="AJ16">
            <v>70</v>
          </cell>
          <cell r="AK16">
            <v>1811.2078571428417</v>
          </cell>
          <cell r="AL16">
            <v>126784.54999999891</v>
          </cell>
          <cell r="AM16">
            <v>39</v>
          </cell>
          <cell r="AN16">
            <v>1750.1825641025614</v>
          </cell>
          <cell r="AO16">
            <v>68257.119999999893</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38</v>
          </cell>
          <cell r="D18">
            <v>1468.0957894736835</v>
          </cell>
          <cell r="E18">
            <v>55787.63999999997</v>
          </cell>
          <cell r="F18">
            <v>2</v>
          </cell>
          <cell r="G18">
            <v>2429.645</v>
          </cell>
          <cell r="H18">
            <v>4859.29</v>
          </cell>
          <cell r="I18">
            <v>2</v>
          </cell>
          <cell r="J18">
            <v>1540.699999999995</v>
          </cell>
          <cell r="K18">
            <v>3081.3999999999901</v>
          </cell>
          <cell r="L18">
            <v>4</v>
          </cell>
          <cell r="M18">
            <v>370.869999999995</v>
          </cell>
          <cell r="N18">
            <v>1483.47999999998</v>
          </cell>
          <cell r="O18">
            <v>2</v>
          </cell>
          <cell r="P18">
            <v>495.50500000000102</v>
          </cell>
          <cell r="Q18">
            <v>991.01000000000204</v>
          </cell>
          <cell r="R18">
            <v>5</v>
          </cell>
          <cell r="S18">
            <v>2015.8520000000001</v>
          </cell>
          <cell r="T18">
            <v>10079.26</v>
          </cell>
          <cell r="U18">
            <v>6</v>
          </cell>
          <cell r="V18">
            <v>1300.1783333333333</v>
          </cell>
          <cell r="W18">
            <v>7801.07</v>
          </cell>
          <cell r="X18">
            <v>5</v>
          </cell>
          <cell r="Y18">
            <v>1374.508</v>
          </cell>
          <cell r="Z18">
            <v>6872.54</v>
          </cell>
          <cell r="AA18">
            <v>3</v>
          </cell>
          <cell r="AB18">
            <v>942.82666666667001</v>
          </cell>
          <cell r="AC18">
            <v>2828.48000000001</v>
          </cell>
          <cell r="AD18">
            <v>1</v>
          </cell>
          <cell r="AE18">
            <v>1212.3399999999999</v>
          </cell>
          <cell r="AF18">
            <v>1212.3399999999999</v>
          </cell>
          <cell r="AG18">
            <v>3</v>
          </cell>
          <cell r="AH18">
            <v>1277.78666666666</v>
          </cell>
          <cell r="AI18">
            <v>3833.3599999999801</v>
          </cell>
          <cell r="AJ18">
            <v>2</v>
          </cell>
          <cell r="AK18">
            <v>2386.710000000005</v>
          </cell>
          <cell r="AL18">
            <v>4773.4200000000101</v>
          </cell>
          <cell r="AM18">
            <v>3</v>
          </cell>
          <cell r="AN18">
            <v>2657.33</v>
          </cell>
          <cell r="AO18">
            <v>7971.99</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22</v>
          </cell>
          <cell r="D20">
            <v>2142.7154545454537</v>
          </cell>
          <cell r="E20">
            <v>47139.739999999983</v>
          </cell>
          <cell r="F20">
            <v>4</v>
          </cell>
          <cell r="G20">
            <v>2065.4675000000052</v>
          </cell>
          <cell r="H20">
            <v>8261.8700000000208</v>
          </cell>
          <cell r="I20">
            <v>8</v>
          </cell>
          <cell r="J20">
            <v>2662.0949999999998</v>
          </cell>
          <cell r="K20">
            <v>21296.76</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2</v>
          </cell>
          <cell r="AB20">
            <v>905.91499999999996</v>
          </cell>
          <cell r="AC20">
            <v>1811.83</v>
          </cell>
          <cell r="AD20">
            <v>3</v>
          </cell>
          <cell r="AE20">
            <v>626.18666666666331</v>
          </cell>
          <cell r="AF20">
            <v>1878.5599999999899</v>
          </cell>
          <cell r="AG20">
            <v>3</v>
          </cell>
          <cell r="AH20">
            <v>2106.1833333333266</v>
          </cell>
          <cell r="AI20">
            <v>6318.5499999999802</v>
          </cell>
          <cell r="AJ20">
            <v>2</v>
          </cell>
          <cell r="AK20">
            <v>3786.084999999995</v>
          </cell>
          <cell r="AL20">
            <v>7572.1699999999901</v>
          </cell>
          <cell r="AM20">
            <v>0</v>
          </cell>
          <cell r="AN20">
            <v>0</v>
          </cell>
          <cell r="AO20">
            <v>0</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109828.40999999983</v>
          </cell>
          <cell r="F22"/>
          <cell r="G22"/>
          <cell r="H22">
            <v>4956</v>
          </cell>
          <cell r="I22"/>
          <cell r="J22"/>
          <cell r="K22">
            <v>6750.4500000000098</v>
          </cell>
          <cell r="L22"/>
          <cell r="M22"/>
          <cell r="N22">
            <v>13000.4</v>
          </cell>
          <cell r="O22"/>
          <cell r="P22"/>
          <cell r="Q22">
            <v>5903.28999999997</v>
          </cell>
          <cell r="R22"/>
          <cell r="S22"/>
          <cell r="T22">
            <v>11767.32</v>
          </cell>
          <cell r="U22"/>
          <cell r="V22"/>
          <cell r="W22">
            <v>6139.6</v>
          </cell>
          <cell r="X22"/>
          <cell r="Y22"/>
          <cell r="Z22">
            <v>12602.3499999999</v>
          </cell>
          <cell r="AA22"/>
          <cell r="AB22"/>
          <cell r="AC22">
            <v>9461.7300000000396</v>
          </cell>
          <cell r="AD22"/>
          <cell r="AE22"/>
          <cell r="AF22">
            <v>11637.4199999999</v>
          </cell>
          <cell r="AG22"/>
          <cell r="AH22"/>
          <cell r="AI22">
            <v>9560</v>
          </cell>
          <cell r="AJ22"/>
          <cell r="AK22"/>
          <cell r="AL22">
            <v>10650.01</v>
          </cell>
          <cell r="AM22"/>
          <cell r="AN22"/>
          <cell r="AO22">
            <v>7399.8400000000202</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14.756686390532545</v>
          </cell>
          <cell r="E24">
            <v>9975.52</v>
          </cell>
          <cell r="F24"/>
          <cell r="G24">
            <v>0</v>
          </cell>
          <cell r="H24">
            <v>0</v>
          </cell>
          <cell r="I24"/>
          <cell r="J24">
            <v>19.229687500000001</v>
          </cell>
          <cell r="K24">
            <v>615.35</v>
          </cell>
          <cell r="L24"/>
          <cell r="M24">
            <v>0</v>
          </cell>
          <cell r="N24">
            <v>0</v>
          </cell>
          <cell r="O24"/>
          <cell r="P24">
            <v>0</v>
          </cell>
          <cell r="Q24">
            <v>0</v>
          </cell>
          <cell r="R24"/>
          <cell r="S24">
            <v>11.182280701754387</v>
          </cell>
          <cell r="T24">
            <v>637.39</v>
          </cell>
          <cell r="U24"/>
          <cell r="V24">
            <v>14.402127659574468</v>
          </cell>
          <cell r="W24">
            <v>676.9</v>
          </cell>
          <cell r="X24"/>
          <cell r="Y24">
            <v>7.4635802469135797</v>
          </cell>
          <cell r="Z24">
            <v>604.54999999999995</v>
          </cell>
          <cell r="AA24"/>
          <cell r="AB24">
            <v>25.274776119402986</v>
          </cell>
          <cell r="AC24">
            <v>1693.41</v>
          </cell>
          <cell r="AD24"/>
          <cell r="AE24">
            <v>0</v>
          </cell>
          <cell r="AF24">
            <v>0</v>
          </cell>
          <cell r="AG24"/>
          <cell r="AH24">
            <v>38.216862745098041</v>
          </cell>
          <cell r="AI24">
            <v>1949.06</v>
          </cell>
          <cell r="AJ24"/>
          <cell r="AK24">
            <v>0</v>
          </cell>
          <cell r="AL24">
            <v>0</v>
          </cell>
          <cell r="AM24"/>
          <cell r="AN24">
            <v>90.449047619047619</v>
          </cell>
          <cell r="AO24">
            <v>3798.86</v>
          </cell>
        </row>
        <row r="25">
          <cell r="A25" t="str">
            <v>Véhicules neufsRev. Protections</v>
          </cell>
          <cell r="C25"/>
          <cell r="D25">
            <v>956.66136094674562</v>
          </cell>
          <cell r="E25">
            <v>646703.08000000007</v>
          </cell>
          <cell r="F25"/>
          <cell r="G25">
            <v>1179.3872000000001</v>
          </cell>
          <cell r="H25">
            <v>58969.36</v>
          </cell>
          <cell r="I25"/>
          <cell r="J25">
            <v>984.25156249999998</v>
          </cell>
          <cell r="K25">
            <v>31496.05</v>
          </cell>
          <cell r="L25"/>
          <cell r="M25">
            <v>606.028909090909</v>
          </cell>
          <cell r="N25">
            <v>33331.589999999997</v>
          </cell>
          <cell r="O25"/>
          <cell r="P25">
            <v>931.86034482758623</v>
          </cell>
          <cell r="Q25">
            <v>54047.9</v>
          </cell>
          <cell r="R25"/>
          <cell r="S25">
            <v>1090.3154385964913</v>
          </cell>
          <cell r="T25">
            <v>62147.98</v>
          </cell>
          <cell r="U25"/>
          <cell r="V25">
            <v>1023.1253191489361</v>
          </cell>
          <cell r="W25">
            <v>48086.89</v>
          </cell>
          <cell r="X25"/>
          <cell r="Y25">
            <v>985.36333333333323</v>
          </cell>
          <cell r="Z25">
            <v>79814.429999999993</v>
          </cell>
          <cell r="AA25"/>
          <cell r="AB25">
            <v>940.25194029850741</v>
          </cell>
          <cell r="AC25">
            <v>62996.88</v>
          </cell>
          <cell r="AD25"/>
          <cell r="AE25">
            <v>952.71765625</v>
          </cell>
          <cell r="AF25">
            <v>60973.93</v>
          </cell>
          <cell r="AG25"/>
          <cell r="AH25">
            <v>968.1554901960784</v>
          </cell>
          <cell r="AI25">
            <v>49375.93</v>
          </cell>
          <cell r="AJ25"/>
          <cell r="AK25">
            <v>995.15555555555557</v>
          </cell>
          <cell r="AL25">
            <v>71651.199999999997</v>
          </cell>
          <cell r="AM25"/>
          <cell r="AN25">
            <v>805.02238095238101</v>
          </cell>
          <cell r="AO25">
            <v>33810.94</v>
          </cell>
        </row>
        <row r="26">
          <cell r="A26" t="str">
            <v>Véhicules neufsRev. Autres</v>
          </cell>
          <cell r="C26"/>
          <cell r="D26">
            <v>5.3130325443786974</v>
          </cell>
          <cell r="E26">
            <v>3591.6099999999997</v>
          </cell>
          <cell r="F26"/>
          <cell r="G26">
            <v>0</v>
          </cell>
          <cell r="H26">
            <v>0</v>
          </cell>
          <cell r="I26"/>
          <cell r="J26">
            <v>13.862500000000001</v>
          </cell>
          <cell r="K26">
            <v>443.6</v>
          </cell>
          <cell r="L26"/>
          <cell r="M26">
            <v>5.7529090909090916</v>
          </cell>
          <cell r="N26">
            <v>316.41000000000003</v>
          </cell>
          <cell r="O26"/>
          <cell r="P26">
            <v>0</v>
          </cell>
          <cell r="Q26">
            <v>0</v>
          </cell>
          <cell r="R26"/>
          <cell r="S26">
            <v>4.6777192982456137</v>
          </cell>
          <cell r="T26">
            <v>266.63</v>
          </cell>
          <cell r="U26"/>
          <cell r="V26">
            <v>0</v>
          </cell>
          <cell r="W26">
            <v>0</v>
          </cell>
          <cell r="X26"/>
          <cell r="Y26">
            <v>2.3029629629629627</v>
          </cell>
          <cell r="Z26">
            <v>186.54</v>
          </cell>
          <cell r="AA26"/>
          <cell r="AB26">
            <v>5.9568656716417916</v>
          </cell>
          <cell r="AC26">
            <v>399.11</v>
          </cell>
          <cell r="AD26"/>
          <cell r="AE26">
            <v>0</v>
          </cell>
          <cell r="AF26">
            <v>0</v>
          </cell>
          <cell r="AG26"/>
          <cell r="AH26">
            <v>0</v>
          </cell>
          <cell r="AI26">
            <v>0</v>
          </cell>
          <cell r="AJ26"/>
          <cell r="AK26">
            <v>13.881805555555555</v>
          </cell>
          <cell r="AL26">
            <v>999.49</v>
          </cell>
          <cell r="AM26"/>
          <cell r="AN26">
            <v>23.329285714285714</v>
          </cell>
          <cell r="AO26">
            <v>979.83</v>
          </cell>
        </row>
        <row r="27">
          <cell r="A27" t="str">
            <v>Véhicules neufsTotal F&amp;I</v>
          </cell>
          <cell r="C27">
            <v>676</v>
          </cell>
          <cell r="D27">
            <v>976.73107988165691</v>
          </cell>
          <cell r="E27">
            <v>660270.21000000008</v>
          </cell>
          <cell r="F27">
            <v>50</v>
          </cell>
          <cell r="G27">
            <v>1179.3872000000001</v>
          </cell>
          <cell r="H27">
            <v>58969.36</v>
          </cell>
          <cell r="I27">
            <v>32</v>
          </cell>
          <cell r="J27">
            <v>1017.3437499999999</v>
          </cell>
          <cell r="K27">
            <v>32554.999999999996</v>
          </cell>
          <cell r="L27">
            <v>55</v>
          </cell>
          <cell r="M27">
            <v>611.78181818181815</v>
          </cell>
          <cell r="N27">
            <v>33648</v>
          </cell>
          <cell r="O27">
            <v>58</v>
          </cell>
          <cell r="P27">
            <v>931.86034482758623</v>
          </cell>
          <cell r="Q27">
            <v>54047.9</v>
          </cell>
          <cell r="R27">
            <v>57</v>
          </cell>
          <cell r="S27">
            <v>1106.1754385964912</v>
          </cell>
          <cell r="T27">
            <v>63052</v>
          </cell>
          <cell r="U27">
            <v>47</v>
          </cell>
          <cell r="V27">
            <v>1037.5274468085106</v>
          </cell>
          <cell r="W27">
            <v>48763.79</v>
          </cell>
          <cell r="X27">
            <v>81</v>
          </cell>
          <cell r="Y27">
            <v>995.12987654320978</v>
          </cell>
          <cell r="Z27">
            <v>80605.51999999999</v>
          </cell>
          <cell r="AA27">
            <v>67</v>
          </cell>
          <cell r="AB27">
            <v>971.48358208955221</v>
          </cell>
          <cell r="AC27">
            <v>65089.4</v>
          </cell>
          <cell r="AD27">
            <v>64</v>
          </cell>
          <cell r="AE27">
            <v>952.71765625</v>
          </cell>
          <cell r="AF27">
            <v>60973.93</v>
          </cell>
          <cell r="AG27">
            <v>51</v>
          </cell>
          <cell r="AH27">
            <v>1006.3723529411765</v>
          </cell>
          <cell r="AI27">
            <v>51324.99</v>
          </cell>
          <cell r="AJ27">
            <v>72</v>
          </cell>
          <cell r="AK27">
            <v>1009.0373611111112</v>
          </cell>
          <cell r="AL27">
            <v>72650.69</v>
          </cell>
          <cell r="AM27">
            <v>42</v>
          </cell>
          <cell r="AN27">
            <v>918.80071428571443</v>
          </cell>
          <cell r="AO27">
            <v>38589.630000000005</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698</v>
          </cell>
          <cell r="D30">
            <v>3249.0204011461274</v>
          </cell>
          <cell r="E30">
            <v>2267816.239999997</v>
          </cell>
          <cell r="F30">
            <v>54</v>
          </cell>
          <cell r="G30">
            <v>3533.3762962962765</v>
          </cell>
          <cell r="H30">
            <v>190802.31999999893</v>
          </cell>
          <cell r="I30">
            <v>40</v>
          </cell>
          <cell r="J30">
            <v>3400.2729999999974</v>
          </cell>
          <cell r="K30">
            <v>136010.9199999999</v>
          </cell>
          <cell r="L30">
            <v>55</v>
          </cell>
          <cell r="M30">
            <v>2826.8116363636341</v>
          </cell>
          <cell r="N30">
            <v>155474.63999999987</v>
          </cell>
          <cell r="O30">
            <v>58</v>
          </cell>
          <cell r="P30">
            <v>3313.1320689655181</v>
          </cell>
          <cell r="Q30">
            <v>192161.66000000006</v>
          </cell>
          <cell r="R30">
            <v>57</v>
          </cell>
          <cell r="S30">
            <v>3579.552807017546</v>
          </cell>
          <cell r="T30">
            <v>204034.51000000013</v>
          </cell>
          <cell r="U30">
            <v>47</v>
          </cell>
          <cell r="V30">
            <v>3108.0314893617046</v>
          </cell>
          <cell r="W30">
            <v>146077.48000000013</v>
          </cell>
          <cell r="X30">
            <v>81</v>
          </cell>
          <cell r="Y30">
            <v>3311.6235802469114</v>
          </cell>
          <cell r="Z30">
            <v>268241.50999999983</v>
          </cell>
          <cell r="AA30">
            <v>69</v>
          </cell>
          <cell r="AB30">
            <v>3279.636231884057</v>
          </cell>
          <cell r="AC30">
            <v>226294.89999999994</v>
          </cell>
          <cell r="AD30">
            <v>67</v>
          </cell>
          <cell r="AE30">
            <v>3405.2368656716399</v>
          </cell>
          <cell r="AF30">
            <v>228150.86999999988</v>
          </cell>
          <cell r="AG30">
            <v>54</v>
          </cell>
          <cell r="AH30">
            <v>3257.7409259259198</v>
          </cell>
          <cell r="AI30">
            <v>175918.00999999966</v>
          </cell>
          <cell r="AJ30">
            <v>74</v>
          </cell>
          <cell r="AK30">
            <v>3005.8221621621474</v>
          </cell>
          <cell r="AL30">
            <v>222430.83999999892</v>
          </cell>
          <cell r="AM30">
            <v>42</v>
          </cell>
          <cell r="AN30">
            <v>2909.9661904761888</v>
          </cell>
          <cell r="AO30">
            <v>122218.57999999993</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0.32111321730619591</v>
          </cell>
          <cell r="D34">
            <v>689.05285502958588</v>
          </cell>
          <cell r="E34">
            <v>465799.73000000004</v>
          </cell>
          <cell r="F34">
            <v>0.36865267311267397</v>
          </cell>
          <cell r="G34">
            <v>874.55539999999996</v>
          </cell>
          <cell r="H34">
            <v>43727.77</v>
          </cell>
          <cell r="I34">
            <v>0.35924126006133822</v>
          </cell>
          <cell r="J34">
            <v>846.56</v>
          </cell>
          <cell r="K34">
            <v>27089.919999999998</v>
          </cell>
          <cell r="L34">
            <v>0.28209804914697073</v>
          </cell>
          <cell r="M34">
            <v>558.17581818181816</v>
          </cell>
          <cell r="N34">
            <v>30699.67</v>
          </cell>
          <cell r="O34">
            <v>0.3081529775970086</v>
          </cell>
          <cell r="P34">
            <v>702.43189655172421</v>
          </cell>
          <cell r="Q34">
            <v>40741.050000000003</v>
          </cell>
          <cell r="R34">
            <v>0.33936869186974045</v>
          </cell>
          <cell r="S34">
            <v>769.32614035087715</v>
          </cell>
          <cell r="T34">
            <v>43851.59</v>
          </cell>
          <cell r="U34">
            <v>0.34423485882886201</v>
          </cell>
          <cell r="V34">
            <v>667.77234042553187</v>
          </cell>
          <cell r="W34">
            <v>31385.3</v>
          </cell>
          <cell r="X34">
            <v>0.2987177779082924</v>
          </cell>
          <cell r="Y34">
            <v>645.50197530864205</v>
          </cell>
          <cell r="Z34">
            <v>52285.66</v>
          </cell>
          <cell r="AA34">
            <v>0.31853546349096812</v>
          </cell>
          <cell r="AB34">
            <v>712.81552238805966</v>
          </cell>
          <cell r="AC34">
            <v>47758.64</v>
          </cell>
          <cell r="AD34">
            <v>0.27814436405968052</v>
          </cell>
          <cell r="AE34">
            <v>667.81140625</v>
          </cell>
          <cell r="AF34">
            <v>42739.93</v>
          </cell>
          <cell r="AG34">
            <v>0.37945868659434318</v>
          </cell>
          <cell r="AH34">
            <v>808.87549019607843</v>
          </cell>
          <cell r="AI34">
            <v>41252.65</v>
          </cell>
          <cell r="AJ34">
            <v>0.2766923965153939</v>
          </cell>
          <cell r="AK34">
            <v>505.57069444444437</v>
          </cell>
          <cell r="AL34">
            <v>36401.089999999997</v>
          </cell>
          <cell r="AM34">
            <v>0.36556192247292452</v>
          </cell>
          <cell r="AN34">
            <v>663.48714285714289</v>
          </cell>
          <cell r="AO34">
            <v>27866.46</v>
          </cell>
        </row>
        <row r="35">
          <cell r="A35" t="str">
            <v>Véhicules neufsComm. F&amp;I</v>
          </cell>
          <cell r="C35">
            <v>0.25728074268260565</v>
          </cell>
          <cell r="D35">
            <v>251.29409763313609</v>
          </cell>
          <cell r="E35">
            <v>169874.81</v>
          </cell>
          <cell r="F35">
            <v>0.30000105139346939</v>
          </cell>
          <cell r="G35">
            <v>353.81739999999996</v>
          </cell>
          <cell r="H35">
            <v>17690.87</v>
          </cell>
          <cell r="I35">
            <v>0.24998525572108743</v>
          </cell>
          <cell r="J35">
            <v>254.32093750000001</v>
          </cell>
          <cell r="K35">
            <v>8138.27</v>
          </cell>
          <cell r="L35">
            <v>0.30698941987636708</v>
          </cell>
          <cell r="M35">
            <v>187.81054545454546</v>
          </cell>
          <cell r="N35">
            <v>10329.58</v>
          </cell>
          <cell r="O35">
            <v>0.20000869599003845</v>
          </cell>
          <cell r="P35">
            <v>186.3801724137931</v>
          </cell>
          <cell r="Q35">
            <v>10810.05</v>
          </cell>
          <cell r="R35">
            <v>0.29999762101122884</v>
          </cell>
          <cell r="S35">
            <v>331.85</v>
          </cell>
          <cell r="T35">
            <v>18915.45</v>
          </cell>
          <cell r="U35">
            <v>0.29928477667547992</v>
          </cell>
          <cell r="V35">
            <v>310.51617021276599</v>
          </cell>
          <cell r="W35">
            <v>14594.26</v>
          </cell>
          <cell r="X35">
            <v>0.25000198497571885</v>
          </cell>
          <cell r="Y35">
            <v>248.78444444444446</v>
          </cell>
          <cell r="Z35">
            <v>20151.54</v>
          </cell>
          <cell r="AA35">
            <v>0.2499947764152074</v>
          </cell>
          <cell r="AB35">
            <v>242.8658208955224</v>
          </cell>
          <cell r="AC35">
            <v>16272.01</v>
          </cell>
          <cell r="AD35">
            <v>0.26000357857858269</v>
          </cell>
          <cell r="AE35">
            <v>247.71</v>
          </cell>
          <cell r="AF35">
            <v>15853.44</v>
          </cell>
          <cell r="AG35">
            <v>0.26999966293222855</v>
          </cell>
          <cell r="AH35">
            <v>271.72019607843134</v>
          </cell>
          <cell r="AI35">
            <v>13857.73</v>
          </cell>
          <cell r="AJ35">
            <v>0.26999660980508233</v>
          </cell>
          <cell r="AK35">
            <v>272.43666666666667</v>
          </cell>
          <cell r="AL35">
            <v>19615.439999999999</v>
          </cell>
          <cell r="AM35">
            <v>9.4485746559373585E-2</v>
          </cell>
          <cell r="AN35">
            <v>86.813571428571436</v>
          </cell>
          <cell r="AO35">
            <v>3646.17</v>
          </cell>
        </row>
        <row r="36">
          <cell r="A36" t="str">
            <v>Véhicules neufsFrais de livraison</v>
          </cell>
          <cell r="C36"/>
          <cell r="D36">
            <v>105.38633136094676</v>
          </cell>
          <cell r="E36">
            <v>71241.16</v>
          </cell>
          <cell r="F36"/>
          <cell r="G36">
            <v>88.648399999999995</v>
          </cell>
          <cell r="H36">
            <v>4432.42</v>
          </cell>
          <cell r="I36"/>
          <cell r="J36">
            <v>98.328437500000007</v>
          </cell>
          <cell r="K36">
            <v>3146.51</v>
          </cell>
          <cell r="L36"/>
          <cell r="M36">
            <v>35.17581818181818</v>
          </cell>
          <cell r="N36">
            <v>1934.67</v>
          </cell>
          <cell r="O36"/>
          <cell r="P36">
            <v>166.21517241379308</v>
          </cell>
          <cell r="Q36">
            <v>9640.48</v>
          </cell>
          <cell r="R36"/>
          <cell r="S36">
            <v>138.49438596491228</v>
          </cell>
          <cell r="T36">
            <v>7894.18</v>
          </cell>
          <cell r="U36"/>
          <cell r="V36">
            <v>111.73617021276597</v>
          </cell>
          <cell r="W36">
            <v>5251.6</v>
          </cell>
          <cell r="X36"/>
          <cell r="Y36">
            <v>112.60814814814815</v>
          </cell>
          <cell r="Z36">
            <v>9121.26</v>
          </cell>
          <cell r="AA36"/>
          <cell r="AB36">
            <v>78.424925373134329</v>
          </cell>
          <cell r="AC36">
            <v>5254.47</v>
          </cell>
          <cell r="AD36"/>
          <cell r="AE36">
            <v>130.02187499999999</v>
          </cell>
          <cell r="AF36">
            <v>8321.4</v>
          </cell>
          <cell r="AG36"/>
          <cell r="AH36">
            <v>127.63843137254902</v>
          </cell>
          <cell r="AI36">
            <v>6509.56</v>
          </cell>
          <cell r="AJ36"/>
          <cell r="AK36">
            <v>73.221249999999998</v>
          </cell>
          <cell r="AL36">
            <v>5271.93</v>
          </cell>
          <cell r="AM36"/>
          <cell r="AN36">
            <v>106.25428571428571</v>
          </cell>
          <cell r="AO36">
            <v>4462.68</v>
          </cell>
        </row>
        <row r="37">
          <cell r="A37" t="str">
            <v>Véhicules neufsService gratuit 1</v>
          </cell>
          <cell r="C37"/>
          <cell r="D37">
            <v>4.9730325443786985</v>
          </cell>
          <cell r="E37">
            <v>3361.7700000000004</v>
          </cell>
          <cell r="F37"/>
          <cell r="G37">
            <v>1.8593999999999999</v>
          </cell>
          <cell r="H37">
            <v>92.97</v>
          </cell>
          <cell r="I37"/>
          <cell r="J37">
            <v>30.533124999999998</v>
          </cell>
          <cell r="K37">
            <v>977.06</v>
          </cell>
          <cell r="L37"/>
          <cell r="M37">
            <v>10.110181818181816</v>
          </cell>
          <cell r="N37">
            <v>556.05999999999995</v>
          </cell>
          <cell r="O37"/>
          <cell r="P37">
            <v>6.0170689655172414</v>
          </cell>
          <cell r="Q37">
            <v>348.99</v>
          </cell>
          <cell r="R37"/>
          <cell r="S37">
            <v>6.6315789473684203E-2</v>
          </cell>
          <cell r="T37">
            <v>3.78</v>
          </cell>
          <cell r="U37"/>
          <cell r="V37">
            <v>5.4995744680851066</v>
          </cell>
          <cell r="W37">
            <v>258.48</v>
          </cell>
          <cell r="X37"/>
          <cell r="Y37">
            <v>0</v>
          </cell>
          <cell r="Z37">
            <v>0</v>
          </cell>
          <cell r="AA37"/>
          <cell r="AB37">
            <v>8.5468656716417915</v>
          </cell>
          <cell r="AC37">
            <v>572.64</v>
          </cell>
          <cell r="AD37"/>
          <cell r="AE37">
            <v>0</v>
          </cell>
          <cell r="AF37">
            <v>0</v>
          </cell>
          <cell r="AG37"/>
          <cell r="AH37">
            <v>4.0194117647058825</v>
          </cell>
          <cell r="AI37">
            <v>204.99</v>
          </cell>
          <cell r="AJ37"/>
          <cell r="AK37">
            <v>3.7194444444444446</v>
          </cell>
          <cell r="AL37">
            <v>267.8</v>
          </cell>
          <cell r="AM37"/>
          <cell r="AN37">
            <v>1.8809523809523809</v>
          </cell>
          <cell r="AO37">
            <v>79</v>
          </cell>
        </row>
        <row r="38">
          <cell r="A38" t="str">
            <v>Véhicules neufsEntretien stock</v>
          </cell>
          <cell r="C38"/>
          <cell r="D38">
            <v>119.19736686390532</v>
          </cell>
          <cell r="E38">
            <v>80577.42</v>
          </cell>
          <cell r="F38"/>
          <cell r="G38">
            <v>115.9442</v>
          </cell>
          <cell r="H38">
            <v>5797.21</v>
          </cell>
          <cell r="I38"/>
          <cell r="J38">
            <v>268.93781250000001</v>
          </cell>
          <cell r="K38">
            <v>8606.01</v>
          </cell>
          <cell r="L38"/>
          <cell r="M38">
            <v>117.53781818181818</v>
          </cell>
          <cell r="N38">
            <v>6464.58</v>
          </cell>
          <cell r="O38"/>
          <cell r="P38">
            <v>133.99603448275863</v>
          </cell>
          <cell r="Q38">
            <v>7771.77</v>
          </cell>
          <cell r="R38"/>
          <cell r="S38">
            <v>167.94543859649121</v>
          </cell>
          <cell r="T38">
            <v>9572.89</v>
          </cell>
          <cell r="U38"/>
          <cell r="V38">
            <v>168.73936170212767</v>
          </cell>
          <cell r="W38">
            <v>7930.75</v>
          </cell>
          <cell r="X38"/>
          <cell r="Y38">
            <v>43.995185185185186</v>
          </cell>
          <cell r="Z38">
            <v>3563.61</v>
          </cell>
          <cell r="AA38"/>
          <cell r="AB38">
            <v>50.172238805970146</v>
          </cell>
          <cell r="AC38">
            <v>3361.54</v>
          </cell>
          <cell r="AD38"/>
          <cell r="AE38">
            <v>121.188125</v>
          </cell>
          <cell r="AF38">
            <v>7756.04</v>
          </cell>
          <cell r="AG38"/>
          <cell r="AH38">
            <v>94.619411764705887</v>
          </cell>
          <cell r="AI38">
            <v>4825.59</v>
          </cell>
          <cell r="AJ38"/>
          <cell r="AK38">
            <v>109.28874999999999</v>
          </cell>
          <cell r="AL38">
            <v>7868.79</v>
          </cell>
          <cell r="AM38"/>
          <cell r="AN38">
            <v>168.06285714285715</v>
          </cell>
          <cell r="AO38">
            <v>7058.64</v>
          </cell>
        </row>
        <row r="39">
          <cell r="A39" t="str">
            <v>Véhicules neufsPublicité 1</v>
          </cell>
          <cell r="C39"/>
          <cell r="D39">
            <v>152.67334319526623</v>
          </cell>
          <cell r="E39">
            <v>103207.17999999998</v>
          </cell>
          <cell r="F39"/>
          <cell r="G39">
            <v>91.287399999999991</v>
          </cell>
          <cell r="H39">
            <v>4564.37</v>
          </cell>
          <cell r="I39"/>
          <cell r="J39">
            <v>137.4765625</v>
          </cell>
          <cell r="K39">
            <v>4399.25</v>
          </cell>
          <cell r="L39"/>
          <cell r="M39">
            <v>367.98563636363633</v>
          </cell>
          <cell r="N39">
            <v>20239.21</v>
          </cell>
          <cell r="O39"/>
          <cell r="P39">
            <v>245.72724137931036</v>
          </cell>
          <cell r="Q39">
            <v>14252.18</v>
          </cell>
          <cell r="R39"/>
          <cell r="S39">
            <v>171.58052631578948</v>
          </cell>
          <cell r="T39">
            <v>9780.09</v>
          </cell>
          <cell r="U39"/>
          <cell r="V39">
            <v>108.28021276595744</v>
          </cell>
          <cell r="W39">
            <v>5089.17</v>
          </cell>
          <cell r="X39"/>
          <cell r="Y39">
            <v>45.389259259259262</v>
          </cell>
          <cell r="Z39">
            <v>3676.53</v>
          </cell>
          <cell r="AA39"/>
          <cell r="AB39">
            <v>86.991044776119395</v>
          </cell>
          <cell r="AC39">
            <v>5828.4</v>
          </cell>
          <cell r="AD39"/>
          <cell r="AE39">
            <v>124.21734375</v>
          </cell>
          <cell r="AF39">
            <v>7949.91</v>
          </cell>
          <cell r="AG39"/>
          <cell r="AH39">
            <v>233.87333333333336</v>
          </cell>
          <cell r="AI39">
            <v>11927.54</v>
          </cell>
          <cell r="AJ39"/>
          <cell r="AK39">
            <v>53.550416666666528</v>
          </cell>
          <cell r="AL39">
            <v>3855.6299999999901</v>
          </cell>
          <cell r="AM39"/>
          <cell r="AN39">
            <v>277.25952380952378</v>
          </cell>
          <cell r="AO39">
            <v>11644.9</v>
          </cell>
        </row>
        <row r="40">
          <cell r="A40" t="str">
            <v>Véhicules neufsIntérêt de gros</v>
          </cell>
          <cell r="C40"/>
          <cell r="D40">
            <v>224.57977810650891</v>
          </cell>
          <cell r="E40">
            <v>151815.93000000002</v>
          </cell>
          <cell r="F40"/>
          <cell r="G40">
            <v>538.39339999999993</v>
          </cell>
          <cell r="H40">
            <v>26919.67</v>
          </cell>
          <cell r="I40"/>
          <cell r="J40">
            <v>-353.66</v>
          </cell>
          <cell r="K40">
            <v>-11317.12</v>
          </cell>
          <cell r="L40"/>
          <cell r="M40">
            <v>437.24599999999998</v>
          </cell>
          <cell r="N40">
            <v>24048.53</v>
          </cell>
          <cell r="O40"/>
          <cell r="P40">
            <v>-85.485517241379313</v>
          </cell>
          <cell r="Q40">
            <v>-4958.16</v>
          </cell>
          <cell r="R40"/>
          <cell r="S40">
            <v>227.21438596491228</v>
          </cell>
          <cell r="T40">
            <v>12951.22</v>
          </cell>
          <cell r="U40"/>
          <cell r="V40">
            <v>280.19212765957451</v>
          </cell>
          <cell r="W40">
            <v>13169.03</v>
          </cell>
          <cell r="X40"/>
          <cell r="Y40">
            <v>273.39222222222224</v>
          </cell>
          <cell r="Z40">
            <v>22144.77</v>
          </cell>
          <cell r="AA40"/>
          <cell r="AB40">
            <v>22.367313432835818</v>
          </cell>
          <cell r="AC40">
            <v>1498.61</v>
          </cell>
          <cell r="AD40"/>
          <cell r="AE40">
            <v>37.670468749999998</v>
          </cell>
          <cell r="AF40">
            <v>2410.91</v>
          </cell>
          <cell r="AG40"/>
          <cell r="AH40">
            <v>425.86784313725485</v>
          </cell>
          <cell r="AI40">
            <v>21719.26</v>
          </cell>
          <cell r="AJ40"/>
          <cell r="AK40">
            <v>337.88694444444445</v>
          </cell>
          <cell r="AL40">
            <v>24327.86</v>
          </cell>
          <cell r="AM40"/>
          <cell r="AN40">
            <v>450.03214285714284</v>
          </cell>
          <cell r="AO40">
            <v>18901.349999999999</v>
          </cell>
        </row>
        <row r="41">
          <cell r="A41" t="str">
            <v>Véhicules neufs[...]</v>
          </cell>
          <cell r="C41"/>
          <cell r="D41"/>
          <cell r="E41"/>
          <cell r="F41"/>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row>
        <row r="42">
          <cell r="A42" t="str">
            <v>Véhicules neufs[...]</v>
          </cell>
          <cell r="C42"/>
          <cell r="D42"/>
          <cell r="E42"/>
          <cell r="F42"/>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row>
        <row r="43">
          <cell r="A43" t="str">
            <v>Véhicules neufs[...]</v>
          </cell>
          <cell r="C43"/>
          <cell r="D43"/>
          <cell r="E43"/>
          <cell r="F43"/>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row>
        <row r="44">
          <cell r="A44" t="str">
            <v>Véhicules neufsTOTAL VARIABLES</v>
          </cell>
          <cell r="C44" t="str">
            <v>% brut</v>
          </cell>
          <cell r="D44">
            <v>0.46118286903175254</v>
          </cell>
          <cell r="E44">
            <v>1045878.0000000001</v>
          </cell>
          <cell r="F44" t="str">
            <v>% brut</v>
          </cell>
          <cell r="G44">
            <v>0.54100641962844365</v>
          </cell>
          <cell r="H44">
            <v>103225.28</v>
          </cell>
          <cell r="I44" t="str">
            <v>% brut</v>
          </cell>
          <cell r="J44">
            <v>0.30173974266183945</v>
          </cell>
          <cell r="K44">
            <v>41039.9</v>
          </cell>
          <cell r="L44" t="str">
            <v>% brut</v>
          </cell>
          <cell r="M44">
            <v>0.60635162107466578</v>
          </cell>
          <cell r="N44">
            <v>94272.299999999988</v>
          </cell>
          <cell r="O44" t="str">
            <v>% brut</v>
          </cell>
          <cell r="P44">
            <v>0.40906370188517294</v>
          </cell>
          <cell r="Q44">
            <v>78606.359999999986</v>
          </cell>
          <cell r="R44" t="str">
            <v>% brut</v>
          </cell>
          <cell r="S44">
            <v>0.50466560779350478</v>
          </cell>
          <cell r="T44">
            <v>102969.2</v>
          </cell>
          <cell r="U44" t="str">
            <v>% brut</v>
          </cell>
          <cell r="V44">
            <v>0.53176293840775413</v>
          </cell>
          <cell r="W44">
            <v>77678.59</v>
          </cell>
          <cell r="X44" t="str">
            <v>% brut</v>
          </cell>
          <cell r="Y44">
            <v>0.4135950845191711</v>
          </cell>
          <cell r="Z44">
            <v>110943.37000000001</v>
          </cell>
          <cell r="AA44" t="str">
            <v>% brut</v>
          </cell>
          <cell r="AB44">
            <v>0.35593515364243739</v>
          </cell>
          <cell r="AC44">
            <v>80546.309999999983</v>
          </cell>
          <cell r="AD44" t="str">
            <v>% brut</v>
          </cell>
          <cell r="AE44">
            <v>0.37269912667876326</v>
          </cell>
          <cell r="AF44">
            <v>85031.63</v>
          </cell>
          <cell r="AG44" t="str">
            <v>% brut</v>
          </cell>
          <cell r="AH44">
            <v>0.57013673585780211</v>
          </cell>
          <cell r="AI44">
            <v>100297.31999999999</v>
          </cell>
          <cell r="AJ44" t="str">
            <v>% brut</v>
          </cell>
          <cell r="AK44">
            <v>0.43882646848791501</v>
          </cell>
          <cell r="AL44">
            <v>97608.54</v>
          </cell>
          <cell r="AM44" t="str">
            <v>% brut</v>
          </cell>
          <cell r="AN44">
            <v>0.60268414180560792</v>
          </cell>
          <cell r="AO44">
            <v>73659.199999999997</v>
          </cell>
        </row>
        <row r="45">
          <cell r="A45" t="str">
            <v>Véhicules neufsSalaires cadres</v>
          </cell>
          <cell r="C45"/>
          <cell r="D45"/>
          <cell r="E45">
            <v>243304.97000000003</v>
          </cell>
          <cell r="F45"/>
          <cell r="G45"/>
          <cell r="H45">
            <v>23989.06</v>
          </cell>
          <cell r="I45"/>
          <cell r="J45"/>
          <cell r="K45">
            <v>19757.52</v>
          </cell>
          <cell r="L45"/>
          <cell r="M45"/>
          <cell r="N45">
            <v>23707.52</v>
          </cell>
          <cell r="O45"/>
          <cell r="P45"/>
          <cell r="Q45">
            <v>22738.29</v>
          </cell>
          <cell r="R45"/>
          <cell r="S45"/>
          <cell r="T45">
            <v>18969.05</v>
          </cell>
          <cell r="U45"/>
          <cell r="V45"/>
          <cell r="W45">
            <v>17276.740000000002</v>
          </cell>
          <cell r="X45"/>
          <cell r="Y45"/>
          <cell r="Z45">
            <v>21170.97</v>
          </cell>
          <cell r="AA45"/>
          <cell r="AB45"/>
          <cell r="AC45">
            <v>18122.89</v>
          </cell>
          <cell r="AD45"/>
          <cell r="AE45"/>
          <cell r="AF45">
            <v>21495.49</v>
          </cell>
          <cell r="AG45"/>
          <cell r="AH45"/>
          <cell r="AI45">
            <v>20142.13</v>
          </cell>
          <cell r="AJ45"/>
          <cell r="AK45"/>
          <cell r="AL45">
            <v>16358.33</v>
          </cell>
          <cell r="AM45"/>
          <cell r="AN45"/>
          <cell r="AO45">
            <v>19576.98</v>
          </cell>
        </row>
        <row r="46">
          <cell r="A46" t="str">
            <v>Véhicules neufsSalaires commis</v>
          </cell>
          <cell r="C46"/>
          <cell r="D46"/>
          <cell r="E46">
            <v>171218.81</v>
          </cell>
          <cell r="F46"/>
          <cell r="G46"/>
          <cell r="H46">
            <v>13193.79</v>
          </cell>
          <cell r="I46"/>
          <cell r="J46"/>
          <cell r="K46">
            <v>12111.66</v>
          </cell>
          <cell r="L46"/>
          <cell r="M46"/>
          <cell r="N46">
            <v>12526.87</v>
          </cell>
          <cell r="O46"/>
          <cell r="P46"/>
          <cell r="Q46">
            <v>12985.89</v>
          </cell>
          <cell r="R46"/>
          <cell r="S46"/>
          <cell r="T46">
            <v>14463.37</v>
          </cell>
          <cell r="U46"/>
          <cell r="V46"/>
          <cell r="W46">
            <v>12517.38</v>
          </cell>
          <cell r="X46"/>
          <cell r="Y46"/>
          <cell r="Z46">
            <v>11846.53</v>
          </cell>
          <cell r="AA46"/>
          <cell r="AB46"/>
          <cell r="AC46">
            <v>15664.78</v>
          </cell>
          <cell r="AD46"/>
          <cell r="AE46"/>
          <cell r="AF46">
            <v>17579.27</v>
          </cell>
          <cell r="AG46"/>
          <cell r="AH46"/>
          <cell r="AI46">
            <v>20057.189999999999</v>
          </cell>
          <cell r="AJ46"/>
          <cell r="AK46"/>
          <cell r="AL46">
            <v>13068.19</v>
          </cell>
          <cell r="AM46"/>
          <cell r="AN46"/>
          <cell r="AO46">
            <v>15203.89</v>
          </cell>
        </row>
        <row r="47">
          <cell r="A47" t="str">
            <v>Véhicules neufsSalaires autres</v>
          </cell>
          <cell r="C47"/>
          <cell r="D47"/>
          <cell r="E47">
            <v>16771.800000000003</v>
          </cell>
          <cell r="F47"/>
          <cell r="G47"/>
          <cell r="H47">
            <v>1613</v>
          </cell>
          <cell r="I47"/>
          <cell r="J47"/>
          <cell r="K47">
            <v>2451</v>
          </cell>
          <cell r="L47"/>
          <cell r="M47"/>
          <cell r="N47">
            <v>-312</v>
          </cell>
          <cell r="O47"/>
          <cell r="P47"/>
          <cell r="Q47">
            <v>1208.75</v>
          </cell>
          <cell r="R47"/>
          <cell r="S47"/>
          <cell r="T47">
            <v>2903.5</v>
          </cell>
          <cell r="U47"/>
          <cell r="V47"/>
          <cell r="W47">
            <v>1819.6</v>
          </cell>
          <cell r="X47"/>
          <cell r="Y47"/>
          <cell r="Z47">
            <v>1963.25</v>
          </cell>
          <cell r="AA47"/>
          <cell r="AB47"/>
          <cell r="AC47">
            <v>1579.5</v>
          </cell>
          <cell r="AD47"/>
          <cell r="AE47"/>
          <cell r="AF47">
            <v>11.25</v>
          </cell>
          <cell r="AG47"/>
          <cell r="AH47"/>
          <cell r="AI47">
            <v>930.2</v>
          </cell>
          <cell r="AJ47"/>
          <cell r="AK47"/>
          <cell r="AL47">
            <v>1451.6</v>
          </cell>
          <cell r="AM47"/>
          <cell r="AN47"/>
          <cell r="AO47">
            <v>1152.1500000000001</v>
          </cell>
        </row>
        <row r="48">
          <cell r="A48" t="str">
            <v>Véhicules neufsSalaires spécialistes</v>
          </cell>
          <cell r="C48"/>
          <cell r="D48"/>
          <cell r="E48">
            <v>0</v>
          </cell>
          <cell r="F48"/>
          <cell r="G48"/>
          <cell r="H48">
            <v>0</v>
          </cell>
          <cell r="I48"/>
          <cell r="J48"/>
          <cell r="K48">
            <v>0</v>
          </cell>
          <cell r="L48"/>
          <cell r="M48"/>
          <cell r="N48">
            <v>0</v>
          </cell>
          <cell r="O48"/>
          <cell r="P48"/>
          <cell r="Q48">
            <v>0</v>
          </cell>
          <cell r="R48"/>
          <cell r="S48"/>
          <cell r="T48">
            <v>0</v>
          </cell>
          <cell r="U48"/>
          <cell r="V48"/>
          <cell r="W48">
            <v>0</v>
          </cell>
          <cell r="X48"/>
          <cell r="Y48"/>
          <cell r="Z48">
            <v>0</v>
          </cell>
          <cell r="AA48"/>
          <cell r="AB48"/>
          <cell r="AC48">
            <v>0</v>
          </cell>
          <cell r="AD48"/>
          <cell r="AE48"/>
          <cell r="AF48">
            <v>0</v>
          </cell>
          <cell r="AG48"/>
          <cell r="AH48"/>
          <cell r="AI48">
            <v>0</v>
          </cell>
          <cell r="AJ48"/>
          <cell r="AK48"/>
          <cell r="AL48">
            <v>0</v>
          </cell>
          <cell r="AM48"/>
          <cell r="AN48"/>
          <cell r="AO48">
            <v>0</v>
          </cell>
        </row>
        <row r="49">
          <cell r="A49" t="str">
            <v>Véhicules neufs[...]</v>
          </cell>
          <cell r="C49"/>
          <cell r="D49"/>
          <cell r="E49"/>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136704.35</v>
          </cell>
          <cell r="F52"/>
          <cell r="G52"/>
          <cell r="H52">
            <v>11297.5</v>
          </cell>
          <cell r="I52"/>
          <cell r="J52"/>
          <cell r="K52">
            <v>8944.73</v>
          </cell>
          <cell r="L52"/>
          <cell r="M52"/>
          <cell r="N52">
            <v>12291.71</v>
          </cell>
          <cell r="O52"/>
          <cell r="P52"/>
          <cell r="Q52">
            <v>12288.84</v>
          </cell>
          <cell r="R52"/>
          <cell r="S52"/>
          <cell r="T52">
            <v>14676.27</v>
          </cell>
          <cell r="U52"/>
          <cell r="V52"/>
          <cell r="W52">
            <v>11092.96</v>
          </cell>
          <cell r="X52"/>
          <cell r="Y52"/>
          <cell r="Z52">
            <v>10866.84</v>
          </cell>
          <cell r="AA52"/>
          <cell r="AB52"/>
          <cell r="AC52">
            <v>11090.84</v>
          </cell>
          <cell r="AD52"/>
          <cell r="AE52"/>
          <cell r="AF52">
            <v>9162.42</v>
          </cell>
          <cell r="AG52"/>
          <cell r="AH52"/>
          <cell r="AI52">
            <v>13521.92</v>
          </cell>
          <cell r="AJ52"/>
          <cell r="AK52"/>
          <cell r="AL52">
            <v>12767.3</v>
          </cell>
          <cell r="AM52"/>
          <cell r="AN52"/>
          <cell r="AO52">
            <v>8703.02</v>
          </cell>
        </row>
        <row r="53">
          <cell r="A53" t="str">
            <v>Véhicules neufsDéduction à la source</v>
          </cell>
          <cell r="C53"/>
          <cell r="D53"/>
          <cell r="E53">
            <v>170955.68</v>
          </cell>
          <cell r="F53"/>
          <cell r="G53"/>
          <cell r="H53">
            <v>14203.83</v>
          </cell>
          <cell r="I53"/>
          <cell r="J53"/>
          <cell r="K53">
            <v>12821.25</v>
          </cell>
          <cell r="L53"/>
          <cell r="M53"/>
          <cell r="N53">
            <v>14654.31</v>
          </cell>
          <cell r="O53"/>
          <cell r="P53"/>
          <cell r="Q53">
            <v>15510.75</v>
          </cell>
          <cell r="R53"/>
          <cell r="S53"/>
          <cell r="T53">
            <v>17960</v>
          </cell>
          <cell r="U53"/>
          <cell r="V53"/>
          <cell r="W53">
            <v>13743.57</v>
          </cell>
          <cell r="X53"/>
          <cell r="Y53"/>
          <cell r="Z53">
            <v>13752.02</v>
          </cell>
          <cell r="AA53"/>
          <cell r="AB53"/>
          <cell r="AC53">
            <v>13852.73</v>
          </cell>
          <cell r="AD53"/>
          <cell r="AE53"/>
          <cell r="AF53">
            <v>12339.01</v>
          </cell>
          <cell r="AG53"/>
          <cell r="AH53"/>
          <cell r="AI53">
            <v>15758.45</v>
          </cell>
          <cell r="AJ53"/>
          <cell r="AK53"/>
          <cell r="AL53">
            <v>15446.59</v>
          </cell>
          <cell r="AM53"/>
          <cell r="AN53"/>
          <cell r="AO53">
            <v>10913.17</v>
          </cell>
        </row>
        <row r="54">
          <cell r="A54" t="str">
            <v>Véhicules neufsBénéfices marginaux</v>
          </cell>
          <cell r="C54"/>
          <cell r="D54"/>
          <cell r="E54">
            <v>84834.499999999985</v>
          </cell>
          <cell r="F54"/>
          <cell r="G54"/>
          <cell r="H54">
            <v>7181.9</v>
          </cell>
          <cell r="I54"/>
          <cell r="J54"/>
          <cell r="K54">
            <v>4964.91</v>
          </cell>
          <cell r="L54"/>
          <cell r="M54"/>
          <cell r="N54">
            <v>7784.41</v>
          </cell>
          <cell r="O54"/>
          <cell r="P54"/>
          <cell r="Q54">
            <v>8178.51</v>
          </cell>
          <cell r="R54"/>
          <cell r="S54"/>
          <cell r="T54">
            <v>8486.02</v>
          </cell>
          <cell r="U54"/>
          <cell r="V54"/>
          <cell r="W54">
            <v>6407</v>
          </cell>
          <cell r="X54"/>
          <cell r="Y54"/>
          <cell r="Z54">
            <v>7178.18</v>
          </cell>
          <cell r="AA54"/>
          <cell r="AB54"/>
          <cell r="AC54">
            <v>7016.94</v>
          </cell>
          <cell r="AD54"/>
          <cell r="AE54"/>
          <cell r="AF54">
            <v>4769.3799999999901</v>
          </cell>
          <cell r="AG54"/>
          <cell r="AH54"/>
          <cell r="AI54">
            <v>8227.6299999999992</v>
          </cell>
          <cell r="AJ54"/>
          <cell r="AK54"/>
          <cell r="AL54">
            <v>8320.0400000000009</v>
          </cell>
          <cell r="AM54"/>
          <cell r="AN54"/>
          <cell r="AO54">
            <v>6319.58</v>
          </cell>
        </row>
        <row r="55">
          <cell r="A55" t="str">
            <v>Véhicules neufsCsst</v>
          </cell>
          <cell r="C55"/>
          <cell r="D55"/>
          <cell r="E55">
            <v>32563.559999999998</v>
          </cell>
          <cell r="F55"/>
          <cell r="G55"/>
          <cell r="H55">
            <v>2463.48</v>
          </cell>
          <cell r="I55"/>
          <cell r="J55"/>
          <cell r="K55">
            <v>3329.22</v>
          </cell>
          <cell r="L55"/>
          <cell r="M55"/>
          <cell r="N55">
            <v>2218.0500000000002</v>
          </cell>
          <cell r="O55"/>
          <cell r="P55"/>
          <cell r="Q55">
            <v>3094.69</v>
          </cell>
          <cell r="R55"/>
          <cell r="S55"/>
          <cell r="T55">
            <v>2876.17</v>
          </cell>
          <cell r="U55"/>
          <cell r="V55"/>
          <cell r="W55">
            <v>2667.67</v>
          </cell>
          <cell r="X55"/>
          <cell r="Y55"/>
          <cell r="Z55">
            <v>3241.11</v>
          </cell>
          <cell r="AA55"/>
          <cell r="AB55"/>
          <cell r="AC55">
            <v>2868.85</v>
          </cell>
          <cell r="AD55"/>
          <cell r="AE55"/>
          <cell r="AF55">
            <v>2753.54</v>
          </cell>
          <cell r="AG55"/>
          <cell r="AH55"/>
          <cell r="AI55">
            <v>3456.94</v>
          </cell>
          <cell r="AJ55"/>
          <cell r="AK55"/>
          <cell r="AL55">
            <v>1641.57</v>
          </cell>
          <cell r="AM55"/>
          <cell r="AN55"/>
          <cell r="AO55">
            <v>1952.27</v>
          </cell>
        </row>
        <row r="56">
          <cell r="A56" t="str">
            <v>Véhicules neufs[...]</v>
          </cell>
          <cell r="C56"/>
          <cell r="D56"/>
          <cell r="E56"/>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0.37761157844076526</v>
          </cell>
          <cell r="E57">
            <v>856353.67000000016</v>
          </cell>
          <cell r="F57" t="str">
            <v>% brut</v>
          </cell>
          <cell r="G57">
            <v>1.26360057986615</v>
          </cell>
          <cell r="H57">
            <v>73942.559999999998</v>
          </cell>
          <cell r="I57" t="str">
            <v>% brut</v>
          </cell>
          <cell r="J57">
            <v>1.26360057986615</v>
          </cell>
          <cell r="K57">
            <v>64380.290000000008</v>
          </cell>
          <cell r="L57" t="str">
            <v>% brut</v>
          </cell>
          <cell r="M57">
            <v>1.26360057986615</v>
          </cell>
          <cell r="N57">
            <v>72870.87</v>
          </cell>
          <cell r="O57" t="str">
            <v>% brut</v>
          </cell>
          <cell r="P57">
            <v>1.26360057986615</v>
          </cell>
          <cell r="Q57">
            <v>76005.72</v>
          </cell>
          <cell r="R57" t="str">
            <v>% brut</v>
          </cell>
          <cell r="S57">
            <v>1.26360057986615</v>
          </cell>
          <cell r="T57">
            <v>80334.38</v>
          </cell>
          <cell r="U57" t="str">
            <v>% brut</v>
          </cell>
          <cell r="V57">
            <v>1.26360057986615</v>
          </cell>
          <cell r="W57">
            <v>65524.92</v>
          </cell>
          <cell r="X57" t="str">
            <v>% brut</v>
          </cell>
          <cell r="Y57">
            <v>1.26360057986615</v>
          </cell>
          <cell r="Z57">
            <v>70018.900000000009</v>
          </cell>
          <cell r="AA57" t="str">
            <v>% brut</v>
          </cell>
          <cell r="AB57">
            <v>1.26360057986615</v>
          </cell>
          <cell r="AC57">
            <v>70196.53</v>
          </cell>
          <cell r="AD57" t="str">
            <v>% brut</v>
          </cell>
          <cell r="AE57">
            <v>1.26360057986615</v>
          </cell>
          <cell r="AF57">
            <v>68110.359999999986</v>
          </cell>
          <cell r="AG57" t="str">
            <v>% brut</v>
          </cell>
          <cell r="AH57">
            <v>1.26360057986615</v>
          </cell>
          <cell r="AI57">
            <v>82094.460000000006</v>
          </cell>
          <cell r="AJ57" t="str">
            <v>% brut</v>
          </cell>
          <cell r="AK57">
            <v>1.26360057986615</v>
          </cell>
          <cell r="AL57">
            <v>69053.62</v>
          </cell>
          <cell r="AM57" t="str">
            <v>% brut</v>
          </cell>
          <cell r="AN57">
            <v>1.26360057986615</v>
          </cell>
          <cell r="AO57">
            <v>63821.05999999999</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113056.32000000001</v>
          </cell>
          <cell r="F60"/>
          <cell r="G60"/>
          <cell r="H60">
            <v>11043.63</v>
          </cell>
          <cell r="I60"/>
          <cell r="J60"/>
          <cell r="K60">
            <v>10438.73</v>
          </cell>
          <cell r="L60"/>
          <cell r="M60"/>
          <cell r="N60">
            <v>8585.7900000000009</v>
          </cell>
          <cell r="O60"/>
          <cell r="P60"/>
          <cell r="Q60">
            <v>5799.11</v>
          </cell>
          <cell r="R60"/>
          <cell r="S60"/>
          <cell r="T60">
            <v>13630.57</v>
          </cell>
          <cell r="U60"/>
          <cell r="V60"/>
          <cell r="W60">
            <v>11014.36</v>
          </cell>
          <cell r="X60"/>
          <cell r="Y60"/>
          <cell r="Z60">
            <v>7490.62</v>
          </cell>
          <cell r="AA60"/>
          <cell r="AB60"/>
          <cell r="AC60">
            <v>9933.1299999999992</v>
          </cell>
          <cell r="AD60"/>
          <cell r="AE60"/>
          <cell r="AF60">
            <v>8541.7199999999993</v>
          </cell>
          <cell r="AG60"/>
          <cell r="AH60"/>
          <cell r="AI60">
            <v>6523.11</v>
          </cell>
          <cell r="AJ60"/>
          <cell r="AK60"/>
          <cell r="AL60">
            <v>9881.7800000000007</v>
          </cell>
          <cell r="AM60"/>
          <cell r="AN60"/>
          <cell r="AO60">
            <v>10173.77</v>
          </cell>
        </row>
        <row r="61">
          <cell r="A61" t="str">
            <v>Véhicules neufsInformatique</v>
          </cell>
          <cell r="C61"/>
          <cell r="D61"/>
          <cell r="E61">
            <v>90221.78</v>
          </cell>
          <cell r="F61"/>
          <cell r="G61"/>
          <cell r="H61">
            <v>6207.73</v>
          </cell>
          <cell r="I61"/>
          <cell r="J61"/>
          <cell r="K61">
            <v>6313.34</v>
          </cell>
          <cell r="L61"/>
          <cell r="M61"/>
          <cell r="N61">
            <v>7256.78</v>
          </cell>
          <cell r="O61"/>
          <cell r="P61"/>
          <cell r="Q61">
            <v>7784.61</v>
          </cell>
          <cell r="R61"/>
          <cell r="S61"/>
          <cell r="T61">
            <v>9063.09</v>
          </cell>
          <cell r="U61"/>
          <cell r="V61"/>
          <cell r="W61">
            <v>5623.99</v>
          </cell>
          <cell r="X61"/>
          <cell r="Y61"/>
          <cell r="Z61">
            <v>7652.37</v>
          </cell>
          <cell r="AA61"/>
          <cell r="AB61"/>
          <cell r="AC61">
            <v>6190.88</v>
          </cell>
          <cell r="AD61"/>
          <cell r="AE61"/>
          <cell r="AF61">
            <v>9523.36</v>
          </cell>
          <cell r="AG61"/>
          <cell r="AH61"/>
          <cell r="AI61">
            <v>7696.69</v>
          </cell>
          <cell r="AJ61"/>
          <cell r="AK61"/>
          <cell r="AL61">
            <v>6971.19</v>
          </cell>
          <cell r="AM61"/>
          <cell r="AN61"/>
          <cell r="AO61">
            <v>9937.75</v>
          </cell>
        </row>
        <row r="62">
          <cell r="A62" t="str">
            <v>Véhicules neufsFrais de déplacement</v>
          </cell>
          <cell r="C62"/>
          <cell r="D62"/>
          <cell r="E62">
            <v>19344.939999999999</v>
          </cell>
          <cell r="F62"/>
          <cell r="G62"/>
          <cell r="H62">
            <v>1811.46</v>
          </cell>
          <cell r="I62"/>
          <cell r="J62"/>
          <cell r="K62">
            <v>995.9</v>
          </cell>
          <cell r="L62"/>
          <cell r="M62"/>
          <cell r="N62">
            <v>1059.24</v>
          </cell>
          <cell r="O62"/>
          <cell r="P62"/>
          <cell r="Q62">
            <v>1501.77</v>
          </cell>
          <cell r="R62"/>
          <cell r="S62"/>
          <cell r="T62">
            <v>1778.24</v>
          </cell>
          <cell r="U62"/>
          <cell r="V62"/>
          <cell r="W62">
            <v>2225.94</v>
          </cell>
          <cell r="X62"/>
          <cell r="Y62"/>
          <cell r="Z62">
            <v>1293.58</v>
          </cell>
          <cell r="AA62"/>
          <cell r="AB62"/>
          <cell r="AC62">
            <v>765.11</v>
          </cell>
          <cell r="AD62"/>
          <cell r="AE62"/>
          <cell r="AF62">
            <v>1925.24</v>
          </cell>
          <cell r="AG62"/>
          <cell r="AH62"/>
          <cell r="AI62">
            <v>2623.13</v>
          </cell>
          <cell r="AJ62"/>
          <cell r="AK62"/>
          <cell r="AL62">
            <v>1668.07</v>
          </cell>
          <cell r="AM62"/>
          <cell r="AN62"/>
          <cell r="AO62">
            <v>1697.26</v>
          </cell>
        </row>
        <row r="63">
          <cell r="A63" t="str">
            <v>Véhicules neufsServices extérieurs</v>
          </cell>
          <cell r="C63"/>
          <cell r="D63"/>
          <cell r="E63">
            <v>86815.53</v>
          </cell>
          <cell r="F63"/>
          <cell r="G63"/>
          <cell r="H63">
            <v>7697.88</v>
          </cell>
          <cell r="I63"/>
          <cell r="J63"/>
          <cell r="K63">
            <v>7771.09</v>
          </cell>
          <cell r="L63"/>
          <cell r="M63"/>
          <cell r="N63">
            <v>10430.41</v>
          </cell>
          <cell r="O63"/>
          <cell r="P63"/>
          <cell r="Q63">
            <v>7415.88</v>
          </cell>
          <cell r="R63"/>
          <cell r="S63"/>
          <cell r="T63">
            <v>7261.42</v>
          </cell>
          <cell r="U63"/>
          <cell r="V63"/>
          <cell r="W63">
            <v>6186.82</v>
          </cell>
          <cell r="X63"/>
          <cell r="Y63"/>
          <cell r="Z63">
            <v>8436.09</v>
          </cell>
          <cell r="AA63"/>
          <cell r="AB63"/>
          <cell r="AC63">
            <v>6440.06</v>
          </cell>
          <cell r="AD63"/>
          <cell r="AE63"/>
          <cell r="AF63">
            <v>8397.52</v>
          </cell>
          <cell r="AG63"/>
          <cell r="AH63"/>
          <cell r="AI63">
            <v>8395.9699999999993</v>
          </cell>
          <cell r="AJ63"/>
          <cell r="AK63"/>
          <cell r="AL63">
            <v>9175.1200000000008</v>
          </cell>
          <cell r="AM63"/>
          <cell r="AN63"/>
          <cell r="AO63">
            <v>-792.73</v>
          </cell>
        </row>
        <row r="64">
          <cell r="A64" t="str">
            <v>Véhicules neufsFournitures autres</v>
          </cell>
          <cell r="C64"/>
          <cell r="D64"/>
          <cell r="E64">
            <v>463.94999999999993</v>
          </cell>
          <cell r="F64"/>
          <cell r="G64"/>
          <cell r="H64">
            <v>0</v>
          </cell>
          <cell r="I64"/>
          <cell r="J64"/>
          <cell r="K64">
            <v>165.98</v>
          </cell>
          <cell r="L64"/>
          <cell r="M64"/>
          <cell r="N64">
            <v>140.41</v>
          </cell>
          <cell r="O64"/>
          <cell r="P64"/>
          <cell r="Q64">
            <v>0</v>
          </cell>
          <cell r="R64"/>
          <cell r="S64"/>
          <cell r="T64">
            <v>0</v>
          </cell>
          <cell r="U64"/>
          <cell r="V64"/>
          <cell r="W64">
            <v>0</v>
          </cell>
          <cell r="X64"/>
          <cell r="Y64"/>
          <cell r="Z64">
            <v>0</v>
          </cell>
          <cell r="AA64"/>
          <cell r="AB64"/>
          <cell r="AC64">
            <v>131.91</v>
          </cell>
          <cell r="AD64"/>
          <cell r="AE64"/>
          <cell r="AF64">
            <v>25.65</v>
          </cell>
          <cell r="AG64"/>
          <cell r="AH64"/>
          <cell r="AI64">
            <v>0</v>
          </cell>
          <cell r="AJ64"/>
          <cell r="AK64"/>
          <cell r="AL64">
            <v>0</v>
          </cell>
          <cell r="AM64"/>
          <cell r="AN64"/>
          <cell r="AO64">
            <v>0</v>
          </cell>
        </row>
        <row r="65">
          <cell r="A65" t="str">
            <v>Véhicules neufsUniformes</v>
          </cell>
          <cell r="C65"/>
          <cell r="D65"/>
          <cell r="E65">
            <v>623</v>
          </cell>
          <cell r="F65"/>
          <cell r="G65"/>
          <cell r="H65">
            <v>623</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6389.3099999999995</v>
          </cell>
          <cell r="F66"/>
          <cell r="G66"/>
          <cell r="H66">
            <v>161.72999999999999</v>
          </cell>
          <cell r="I66"/>
          <cell r="J66"/>
          <cell r="K66">
            <v>1041.95</v>
          </cell>
          <cell r="L66"/>
          <cell r="M66"/>
          <cell r="N66">
            <v>543.03</v>
          </cell>
          <cell r="O66"/>
          <cell r="P66"/>
          <cell r="Q66">
            <v>58.13</v>
          </cell>
          <cell r="R66"/>
          <cell r="S66"/>
          <cell r="T66">
            <v>1047.3499999999999</v>
          </cell>
          <cell r="U66"/>
          <cell r="V66"/>
          <cell r="W66">
            <v>408.53</v>
          </cell>
          <cell r="X66"/>
          <cell r="Y66"/>
          <cell r="Z66">
            <v>218.53</v>
          </cell>
          <cell r="AA66"/>
          <cell r="AB66"/>
          <cell r="AC66">
            <v>821.13</v>
          </cell>
          <cell r="AD66"/>
          <cell r="AE66"/>
          <cell r="AF66">
            <v>299.54000000000002</v>
          </cell>
          <cell r="AG66"/>
          <cell r="AH66"/>
          <cell r="AI66">
            <v>58.95</v>
          </cell>
          <cell r="AJ66"/>
          <cell r="AK66"/>
          <cell r="AL66">
            <v>1466.35</v>
          </cell>
          <cell r="AM66"/>
          <cell r="AN66"/>
          <cell r="AO66">
            <v>264.08999999999997</v>
          </cell>
        </row>
        <row r="67">
          <cell r="A67" t="str">
            <v>Véhicules neufsTéléphone</v>
          </cell>
          <cell r="C67"/>
          <cell r="D67"/>
          <cell r="E67">
            <v>4914.1400000000003</v>
          </cell>
          <cell r="F67"/>
          <cell r="G67"/>
          <cell r="H67">
            <v>469.87</v>
          </cell>
          <cell r="I67"/>
          <cell r="J67"/>
          <cell r="K67">
            <v>439.54</v>
          </cell>
          <cell r="L67"/>
          <cell r="M67"/>
          <cell r="N67">
            <v>387.42</v>
          </cell>
          <cell r="O67"/>
          <cell r="P67"/>
          <cell r="Q67">
            <v>396.63</v>
          </cell>
          <cell r="R67"/>
          <cell r="S67"/>
          <cell r="T67">
            <v>471.73</v>
          </cell>
          <cell r="U67"/>
          <cell r="V67"/>
          <cell r="W67">
            <v>389.49</v>
          </cell>
          <cell r="X67"/>
          <cell r="Y67"/>
          <cell r="Z67">
            <v>355.13</v>
          </cell>
          <cell r="AA67"/>
          <cell r="AB67"/>
          <cell r="AC67">
            <v>467.29</v>
          </cell>
          <cell r="AD67"/>
          <cell r="AE67"/>
          <cell r="AF67">
            <v>368.32</v>
          </cell>
          <cell r="AG67"/>
          <cell r="AH67"/>
          <cell r="AI67">
            <v>402.18</v>
          </cell>
          <cell r="AJ67"/>
          <cell r="AK67"/>
          <cell r="AL67">
            <v>398.61</v>
          </cell>
          <cell r="AM67"/>
          <cell r="AN67"/>
          <cell r="AO67">
            <v>367.93</v>
          </cell>
        </row>
        <row r="68">
          <cell r="A68" t="str">
            <v>Véhicules neufsFrais postaux</v>
          </cell>
          <cell r="C68"/>
          <cell r="D68"/>
          <cell r="E68">
            <v>2686.24</v>
          </cell>
          <cell r="F68"/>
          <cell r="G68"/>
          <cell r="H68">
            <v>725.8</v>
          </cell>
          <cell r="I68"/>
          <cell r="J68"/>
          <cell r="K68">
            <v>447.9</v>
          </cell>
          <cell r="L68"/>
          <cell r="M68"/>
          <cell r="N68">
            <v>405.83</v>
          </cell>
          <cell r="O68"/>
          <cell r="P68"/>
          <cell r="Q68">
            <v>131.27000000000001</v>
          </cell>
          <cell r="R68"/>
          <cell r="S68"/>
          <cell r="T68">
            <v>211.16</v>
          </cell>
          <cell r="U68"/>
          <cell r="V68"/>
          <cell r="W68">
            <v>88.36</v>
          </cell>
          <cell r="X68"/>
          <cell r="Y68"/>
          <cell r="Z68">
            <v>54.6</v>
          </cell>
          <cell r="AA68"/>
          <cell r="AB68"/>
          <cell r="AC68">
            <v>204.13</v>
          </cell>
          <cell r="AD68"/>
          <cell r="AE68"/>
          <cell r="AF68">
            <v>78.17</v>
          </cell>
          <cell r="AG68"/>
          <cell r="AH68"/>
          <cell r="AI68">
            <v>87.27</v>
          </cell>
          <cell r="AJ68"/>
          <cell r="AK68"/>
          <cell r="AL68">
            <v>116.66</v>
          </cell>
          <cell r="AM68"/>
          <cell r="AN68"/>
          <cell r="AO68">
            <v>135.09</v>
          </cell>
        </row>
        <row r="69">
          <cell r="A69" t="str">
            <v>Véhicules neufsDivers</v>
          </cell>
          <cell r="C69"/>
          <cell r="D69"/>
          <cell r="E69">
            <v>1996.17</v>
          </cell>
          <cell r="F69"/>
          <cell r="G69"/>
          <cell r="H69">
            <v>89.42</v>
          </cell>
          <cell r="I69"/>
          <cell r="J69"/>
          <cell r="K69">
            <v>71.209999999999994</v>
          </cell>
          <cell r="L69"/>
          <cell r="M69"/>
          <cell r="N69">
            <v>71.209999999999994</v>
          </cell>
          <cell r="O69"/>
          <cell r="P69"/>
          <cell r="Q69">
            <v>121.08</v>
          </cell>
          <cell r="R69"/>
          <cell r="S69"/>
          <cell r="T69">
            <v>111.68</v>
          </cell>
          <cell r="U69"/>
          <cell r="V69"/>
          <cell r="W69">
            <v>62.72</v>
          </cell>
          <cell r="X69"/>
          <cell r="Y69"/>
          <cell r="Z69">
            <v>62.72</v>
          </cell>
          <cell r="AA69"/>
          <cell r="AB69"/>
          <cell r="AC69">
            <v>62.72</v>
          </cell>
          <cell r="AD69"/>
          <cell r="AE69"/>
          <cell r="AF69">
            <v>134.72</v>
          </cell>
          <cell r="AG69"/>
          <cell r="AH69"/>
          <cell r="AI69">
            <v>62.72</v>
          </cell>
          <cell r="AJ69"/>
          <cell r="AK69"/>
          <cell r="AL69">
            <v>410.38</v>
          </cell>
          <cell r="AM69"/>
          <cell r="AN69"/>
          <cell r="AO69">
            <v>735.59</v>
          </cell>
        </row>
        <row r="70">
          <cell r="A70" t="str">
            <v>Véhicules neufsFormation</v>
          </cell>
          <cell r="C70"/>
          <cell r="D70"/>
          <cell r="E70">
            <v>18826.98</v>
          </cell>
          <cell r="F70"/>
          <cell r="G70"/>
          <cell r="H70">
            <v>2282.7199999999998</v>
          </cell>
          <cell r="I70"/>
          <cell r="J70"/>
          <cell r="K70">
            <v>683.97</v>
          </cell>
          <cell r="L70"/>
          <cell r="M70"/>
          <cell r="N70">
            <v>3869.98</v>
          </cell>
          <cell r="O70"/>
          <cell r="P70"/>
          <cell r="Q70">
            <v>3882.08</v>
          </cell>
          <cell r="R70"/>
          <cell r="S70"/>
          <cell r="T70">
            <v>-43.66</v>
          </cell>
          <cell r="U70"/>
          <cell r="V70"/>
          <cell r="W70">
            <v>2302.08</v>
          </cell>
          <cell r="X70"/>
          <cell r="Y70"/>
          <cell r="Z70">
            <v>2528.0700000000002</v>
          </cell>
          <cell r="AA70"/>
          <cell r="AB70"/>
          <cell r="AC70">
            <v>620.33000000000004</v>
          </cell>
          <cell r="AD70"/>
          <cell r="AE70"/>
          <cell r="AF70">
            <v>1414.3</v>
          </cell>
          <cell r="AG70"/>
          <cell r="AH70"/>
          <cell r="AI70">
            <v>611.27</v>
          </cell>
          <cell r="AJ70"/>
          <cell r="AK70"/>
          <cell r="AL70">
            <v>573.76</v>
          </cell>
          <cell r="AM70"/>
          <cell r="AN70"/>
          <cell r="AO70">
            <v>102.08</v>
          </cell>
        </row>
        <row r="71">
          <cell r="A71" t="str">
            <v>Véhicules neufsFrais bancaires</v>
          </cell>
          <cell r="C71"/>
          <cell r="D71"/>
          <cell r="E71">
            <v>48083.390000000007</v>
          </cell>
          <cell r="F71"/>
          <cell r="G71"/>
          <cell r="H71">
            <v>2802.79</v>
          </cell>
          <cell r="I71"/>
          <cell r="J71"/>
          <cell r="K71">
            <v>2165.37</v>
          </cell>
          <cell r="L71"/>
          <cell r="M71"/>
          <cell r="N71">
            <v>3719.82</v>
          </cell>
          <cell r="O71"/>
          <cell r="P71"/>
          <cell r="Q71">
            <v>4608.58</v>
          </cell>
          <cell r="R71"/>
          <cell r="S71"/>
          <cell r="T71">
            <v>4559.6400000000003</v>
          </cell>
          <cell r="U71"/>
          <cell r="V71"/>
          <cell r="W71">
            <v>3513.7</v>
          </cell>
          <cell r="X71"/>
          <cell r="Y71"/>
          <cell r="Z71">
            <v>3902.37</v>
          </cell>
          <cell r="AA71"/>
          <cell r="AB71"/>
          <cell r="AC71">
            <v>3804.86</v>
          </cell>
          <cell r="AD71"/>
          <cell r="AE71"/>
          <cell r="AF71">
            <v>4016.45</v>
          </cell>
          <cell r="AG71"/>
          <cell r="AH71"/>
          <cell r="AI71">
            <v>4645.42</v>
          </cell>
          <cell r="AJ71"/>
          <cell r="AK71"/>
          <cell r="AL71">
            <v>6358.02</v>
          </cell>
          <cell r="AM71"/>
          <cell r="AN71"/>
          <cell r="AO71">
            <v>3986.37</v>
          </cell>
        </row>
        <row r="72">
          <cell r="A72" t="str">
            <v>Véhicules neufs[...]</v>
          </cell>
          <cell r="C72"/>
          <cell r="D72"/>
          <cell r="E72"/>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0.1734804359633656</v>
          </cell>
          <cell r="E75">
            <v>393421.75</v>
          </cell>
          <cell r="F75" t="str">
            <v>% brut</v>
          </cell>
          <cell r="G75">
            <v>0.17775480927066395</v>
          </cell>
          <cell r="H75">
            <v>33916.03</v>
          </cell>
          <cell r="I75" t="str">
            <v>% brut</v>
          </cell>
          <cell r="J75">
            <v>0.22450388542331767</v>
          </cell>
          <cell r="K75">
            <v>30534.980000000003</v>
          </cell>
          <cell r="L75" t="str">
            <v>% brut</v>
          </cell>
          <cell r="M75">
            <v>0.23457150310815983</v>
          </cell>
          <cell r="N75">
            <v>36469.919999999998</v>
          </cell>
          <cell r="O75" t="str">
            <v>% brut</v>
          </cell>
          <cell r="P75">
            <v>0.16496079394817884</v>
          </cell>
          <cell r="Q75">
            <v>31699.140000000007</v>
          </cell>
          <cell r="R75" t="str">
            <v>% brut</v>
          </cell>
          <cell r="S75">
            <v>0.18669008492729969</v>
          </cell>
          <cell r="T75">
            <v>38091.22</v>
          </cell>
          <cell r="U75" t="str">
            <v>% brut</v>
          </cell>
          <cell r="V75">
            <v>0.21780215540410455</v>
          </cell>
          <cell r="W75">
            <v>31815.99</v>
          </cell>
          <cell r="X75" t="str">
            <v>% brut</v>
          </cell>
          <cell r="Y75">
            <v>0.11927341148653696</v>
          </cell>
          <cell r="Z75">
            <v>31994.079999999998</v>
          </cell>
          <cell r="AA75" t="str">
            <v>% brut</v>
          </cell>
          <cell r="AB75">
            <v>0.13010257853800511</v>
          </cell>
          <cell r="AC75">
            <v>29441.550000000007</v>
          </cell>
          <cell r="AD75" t="str">
            <v>% brut</v>
          </cell>
          <cell r="AE75">
            <v>0.15220187413705688</v>
          </cell>
          <cell r="AF75">
            <v>34724.990000000005</v>
          </cell>
          <cell r="AG75" t="str">
            <v>% brut</v>
          </cell>
          <cell r="AH75">
            <v>0.17682504480354266</v>
          </cell>
          <cell r="AI75">
            <v>31106.710000000006</v>
          </cell>
          <cell r="AJ75" t="str">
            <v>% brut</v>
          </cell>
          <cell r="AK75">
            <v>0.16643348557241514</v>
          </cell>
          <cell r="AL75">
            <v>37019.94</v>
          </cell>
          <cell r="AM75" t="str">
            <v>% brut</v>
          </cell>
          <cell r="AN75">
            <v>0.21770176023972801</v>
          </cell>
          <cell r="AO75">
            <v>26607.200000000001</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1.0122748834358835</v>
          </cell>
          <cell r="E77">
            <v>2295653.4200000004</v>
          </cell>
          <cell r="F77" t="str">
            <v>% brut</v>
          </cell>
          <cell r="G77">
            <v>1.1062961393760893</v>
          </cell>
          <cell r="H77">
            <v>211083.87</v>
          </cell>
          <cell r="I77" t="str">
            <v>% brut</v>
          </cell>
          <cell r="J77">
            <v>0.99959010644145418</v>
          </cell>
          <cell r="K77">
            <v>135955.17000000001</v>
          </cell>
          <cell r="L77" t="str">
            <v>% brut</v>
          </cell>
          <cell r="M77">
            <v>1.3096225210748205</v>
          </cell>
          <cell r="N77">
            <v>203613.08999999997</v>
          </cell>
          <cell r="O77" t="str">
            <v>% brut</v>
          </cell>
          <cell r="P77">
            <v>0.96955459273197342</v>
          </cell>
          <cell r="Q77">
            <v>186311.22</v>
          </cell>
          <cell r="R77" t="str">
            <v>% brut</v>
          </cell>
          <cell r="S77">
            <v>1.0850850672271073</v>
          </cell>
          <cell r="T77">
            <v>221394.80000000002</v>
          </cell>
          <cell r="U77" t="str">
            <v>% brut</v>
          </cell>
          <cell r="V77">
            <v>1.19812787022339</v>
          </cell>
          <cell r="W77">
            <v>175019.5</v>
          </cell>
          <cell r="X77" t="str">
            <v>% brut</v>
          </cell>
          <cell r="Y77">
            <v>0.79389781991609032</v>
          </cell>
          <cell r="Z77">
            <v>212956.35</v>
          </cell>
          <cell r="AA77" t="str">
            <v>% brut</v>
          </cell>
          <cell r="AB77">
            <v>0.79623707825496748</v>
          </cell>
          <cell r="AC77">
            <v>180184.38999999998</v>
          </cell>
          <cell r="AD77" t="str">
            <v>% brut</v>
          </cell>
          <cell r="AE77">
            <v>0.82343310810079351</v>
          </cell>
          <cell r="AF77">
            <v>187866.97999999998</v>
          </cell>
          <cell r="AG77" t="str">
            <v>% brut</v>
          </cell>
          <cell r="AH77">
            <v>1.2136249722242789</v>
          </cell>
          <cell r="AI77">
            <v>213498.49</v>
          </cell>
          <cell r="AJ77" t="str">
            <v>% brut</v>
          </cell>
          <cell r="AK77">
            <v>0.91570979995400348</v>
          </cell>
          <cell r="AL77">
            <v>203682.09999999998</v>
          </cell>
          <cell r="AM77" t="str">
            <v>% brut</v>
          </cell>
          <cell r="AN77">
            <v>1.3425737723347799</v>
          </cell>
          <cell r="AO77">
            <v>164087.46</v>
          </cell>
        </row>
        <row r="78">
          <cell r="A78" t="str">
            <v>Véhicules neufsProgramme neuf 1</v>
          </cell>
          <cell r="C78"/>
          <cell r="D78"/>
          <cell r="E78">
            <v>88064.2</v>
          </cell>
          <cell r="F78"/>
          <cell r="G78"/>
          <cell r="H78">
            <v>0</v>
          </cell>
          <cell r="I78"/>
          <cell r="J78"/>
          <cell r="K78">
            <v>0</v>
          </cell>
          <cell r="L78"/>
          <cell r="M78"/>
          <cell r="N78">
            <v>0</v>
          </cell>
          <cell r="O78"/>
          <cell r="P78"/>
          <cell r="Q78">
            <v>0</v>
          </cell>
          <cell r="R78"/>
          <cell r="S78"/>
          <cell r="T78">
            <v>0</v>
          </cell>
          <cell r="U78"/>
          <cell r="V78"/>
          <cell r="W78">
            <v>12000</v>
          </cell>
          <cell r="X78"/>
          <cell r="Y78"/>
          <cell r="Z78">
            <v>0</v>
          </cell>
          <cell r="AA78"/>
          <cell r="AB78"/>
          <cell r="AC78">
            <v>19414.2</v>
          </cell>
          <cell r="AD78"/>
          <cell r="AE78"/>
          <cell r="AF78">
            <v>0</v>
          </cell>
          <cell r="AG78"/>
          <cell r="AH78"/>
          <cell r="AI78">
            <v>45250</v>
          </cell>
          <cell r="AJ78"/>
          <cell r="AK78"/>
          <cell r="AL78">
            <v>0</v>
          </cell>
          <cell r="AM78"/>
          <cell r="AN78"/>
          <cell r="AO78">
            <v>11400</v>
          </cell>
        </row>
        <row r="79">
          <cell r="A79" t="str">
            <v>Véhicules neufsProgramme neuf 2</v>
          </cell>
          <cell r="C79"/>
          <cell r="D79"/>
          <cell r="E79">
            <v>0</v>
          </cell>
          <cell r="F79"/>
          <cell r="G79"/>
          <cell r="H79">
            <v>0</v>
          </cell>
          <cell r="I79"/>
          <cell r="J79"/>
          <cell r="K79">
            <v>0</v>
          </cell>
          <cell r="L79"/>
          <cell r="M79"/>
          <cell r="N79">
            <v>0</v>
          </cell>
          <cell r="O79"/>
          <cell r="P79"/>
          <cell r="Q79">
            <v>0</v>
          </cell>
          <cell r="R79"/>
          <cell r="S79"/>
          <cell r="T79">
            <v>0</v>
          </cell>
          <cell r="U79"/>
          <cell r="V79"/>
          <cell r="W79">
            <v>0</v>
          </cell>
          <cell r="X79"/>
          <cell r="Y79"/>
          <cell r="Z79">
            <v>0</v>
          </cell>
          <cell r="AA79"/>
          <cell r="AB79"/>
          <cell r="AC79">
            <v>0</v>
          </cell>
          <cell r="AD79"/>
          <cell r="AE79"/>
          <cell r="AF79">
            <v>0</v>
          </cell>
          <cell r="AG79"/>
          <cell r="AH79"/>
          <cell r="AI79">
            <v>0</v>
          </cell>
          <cell r="AJ79"/>
          <cell r="AK79"/>
          <cell r="AL79">
            <v>0</v>
          </cell>
          <cell r="AM79"/>
          <cell r="AN79"/>
          <cell r="AO79">
            <v>0</v>
          </cell>
        </row>
        <row r="80">
          <cell r="A80" t="str">
            <v>Véhicules neufsProgramme neuf 3</v>
          </cell>
          <cell r="C80"/>
          <cell r="D80"/>
          <cell r="E80">
            <v>0</v>
          </cell>
          <cell r="F80"/>
          <cell r="G80"/>
          <cell r="H80">
            <v>0</v>
          </cell>
          <cell r="I80"/>
          <cell r="J80"/>
          <cell r="K80">
            <v>0</v>
          </cell>
          <cell r="L80"/>
          <cell r="M80"/>
          <cell r="N80">
            <v>0</v>
          </cell>
          <cell r="O80"/>
          <cell r="P80"/>
          <cell r="Q80">
            <v>0</v>
          </cell>
          <cell r="R80"/>
          <cell r="S80"/>
          <cell r="T80">
            <v>0</v>
          </cell>
          <cell r="U80"/>
          <cell r="V80"/>
          <cell r="W80">
            <v>0</v>
          </cell>
          <cell r="X80"/>
          <cell r="Y80"/>
          <cell r="Z80">
            <v>0</v>
          </cell>
          <cell r="AA80"/>
          <cell r="AB80"/>
          <cell r="AC80">
            <v>0</v>
          </cell>
          <cell r="AD80"/>
          <cell r="AE80"/>
          <cell r="AF80">
            <v>0</v>
          </cell>
          <cell r="AG80"/>
          <cell r="AH80"/>
          <cell r="AI80">
            <v>0</v>
          </cell>
          <cell r="AJ80"/>
          <cell r="AK80"/>
          <cell r="AL80">
            <v>0</v>
          </cell>
          <cell r="AM80"/>
          <cell r="AN80"/>
          <cell r="AO80">
            <v>0</v>
          </cell>
        </row>
        <row r="81">
          <cell r="A81" t="str">
            <v>Véhicules neufsHoldbacks</v>
          </cell>
          <cell r="C81"/>
          <cell r="D81"/>
          <cell r="E81">
            <v>890720.4</v>
          </cell>
          <cell r="F81"/>
          <cell r="G81"/>
          <cell r="H81">
            <v>82565</v>
          </cell>
          <cell r="I81"/>
          <cell r="J81"/>
          <cell r="K81">
            <v>47635</v>
          </cell>
          <cell r="L81"/>
          <cell r="M81"/>
          <cell r="N81">
            <v>69794</v>
          </cell>
          <cell r="O81"/>
          <cell r="P81"/>
          <cell r="Q81">
            <v>77555</v>
          </cell>
          <cell r="R81"/>
          <cell r="S81"/>
          <cell r="T81">
            <v>69529</v>
          </cell>
          <cell r="U81"/>
          <cell r="V81"/>
          <cell r="W81">
            <v>61215.55</v>
          </cell>
          <cell r="X81"/>
          <cell r="Y81"/>
          <cell r="Z81">
            <v>94826.85</v>
          </cell>
          <cell r="AA81"/>
          <cell r="AB81"/>
          <cell r="AC81">
            <v>80559</v>
          </cell>
          <cell r="AD81"/>
          <cell r="AE81"/>
          <cell r="AF81">
            <v>77496</v>
          </cell>
          <cell r="AG81"/>
          <cell r="AH81"/>
          <cell r="AI81">
            <v>76838</v>
          </cell>
          <cell r="AJ81"/>
          <cell r="AK81"/>
          <cell r="AL81">
            <v>95331</v>
          </cell>
          <cell r="AM81"/>
          <cell r="AN81"/>
          <cell r="AO81">
            <v>57376</v>
          </cell>
        </row>
        <row r="82">
          <cell r="A82" t="str">
            <v>Véhicules neufs[...]</v>
          </cell>
          <cell r="C82"/>
          <cell r="D82"/>
          <cell r="E82"/>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cell r="E85">
            <v>318588</v>
          </cell>
          <cell r="F85"/>
          <cell r="G85"/>
          <cell r="H85">
            <v>24546</v>
          </cell>
          <cell r="I85"/>
          <cell r="J85"/>
          <cell r="K85">
            <v>15936</v>
          </cell>
          <cell r="L85"/>
          <cell r="M85"/>
          <cell r="N85">
            <v>23652</v>
          </cell>
          <cell r="O85"/>
          <cell r="P85"/>
          <cell r="Q85">
            <v>24441</v>
          </cell>
          <cell r="R85"/>
          <cell r="S85"/>
          <cell r="T85">
            <v>26496</v>
          </cell>
          <cell r="U85"/>
          <cell r="V85"/>
          <cell r="W85">
            <v>23346</v>
          </cell>
          <cell r="X85"/>
          <cell r="Y85"/>
          <cell r="Z85">
            <v>39648</v>
          </cell>
          <cell r="AA85"/>
          <cell r="AB85"/>
          <cell r="AC85">
            <v>33150</v>
          </cell>
          <cell r="AD85"/>
          <cell r="AE85"/>
          <cell r="AF85">
            <v>31659</v>
          </cell>
          <cell r="AG85"/>
          <cell r="AH85"/>
          <cell r="AI85">
            <v>22968</v>
          </cell>
          <cell r="AJ85"/>
          <cell r="AK85"/>
          <cell r="AL85">
            <v>31746</v>
          </cell>
          <cell r="AM85"/>
          <cell r="AN85"/>
          <cell r="AO85">
            <v>21000</v>
          </cell>
        </row>
        <row r="86">
          <cell r="A86" t="str">
            <v>Véhicules neufsAUTRES REVENUS</v>
          </cell>
          <cell r="C86"/>
          <cell r="D86"/>
          <cell r="E86">
            <v>1297372.6000000001</v>
          </cell>
          <cell r="F86"/>
          <cell r="G86"/>
          <cell r="H86">
            <v>107111</v>
          </cell>
          <cell r="I86"/>
          <cell r="J86"/>
          <cell r="K86">
            <v>63571</v>
          </cell>
          <cell r="L86"/>
          <cell r="M86"/>
          <cell r="N86">
            <v>93446</v>
          </cell>
          <cell r="O86"/>
          <cell r="P86"/>
          <cell r="Q86">
            <v>101996</v>
          </cell>
          <cell r="R86"/>
          <cell r="S86"/>
          <cell r="T86">
            <v>96025</v>
          </cell>
          <cell r="U86"/>
          <cell r="V86"/>
          <cell r="W86">
            <v>96561.55</v>
          </cell>
          <cell r="X86"/>
          <cell r="Y86"/>
          <cell r="Z86">
            <v>134474.85</v>
          </cell>
          <cell r="AA86"/>
          <cell r="AB86"/>
          <cell r="AC86">
            <v>133123.20000000001</v>
          </cell>
          <cell r="AD86"/>
          <cell r="AE86"/>
          <cell r="AF86">
            <v>109155</v>
          </cell>
          <cell r="AG86"/>
          <cell r="AH86"/>
          <cell r="AI86">
            <v>145056</v>
          </cell>
          <cell r="AJ86"/>
          <cell r="AK86"/>
          <cell r="AL86">
            <v>127077</v>
          </cell>
          <cell r="AM86"/>
          <cell r="AN86"/>
          <cell r="AO86">
            <v>89776</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cell r="E88">
            <v>1269535.4199999967</v>
          </cell>
          <cell r="F88"/>
          <cell r="G88"/>
          <cell r="H88">
            <v>86829.449999998935</v>
          </cell>
          <cell r="I88"/>
          <cell r="J88"/>
          <cell r="K88">
            <v>63626.749999999884</v>
          </cell>
          <cell r="L88"/>
          <cell r="M88"/>
          <cell r="N88">
            <v>45307.549999999901</v>
          </cell>
          <cell r="O88"/>
          <cell r="P88"/>
          <cell r="Q88">
            <v>107846.44000000006</v>
          </cell>
          <cell r="R88"/>
          <cell r="S88"/>
          <cell r="T88">
            <v>78664.710000000108</v>
          </cell>
          <cell r="U88"/>
          <cell r="V88"/>
          <cell r="W88">
            <v>67619.53000000013</v>
          </cell>
          <cell r="X88"/>
          <cell r="Y88"/>
          <cell r="Z88">
            <v>189760.00999999983</v>
          </cell>
          <cell r="AA88"/>
          <cell r="AB88"/>
          <cell r="AC88">
            <v>179233.70999999996</v>
          </cell>
          <cell r="AD88"/>
          <cell r="AE88"/>
          <cell r="AF88">
            <v>149438.8899999999</v>
          </cell>
          <cell r="AG88"/>
          <cell r="AH88"/>
          <cell r="AI88">
            <v>107475.51999999967</v>
          </cell>
          <cell r="AJ88"/>
          <cell r="AK88"/>
          <cell r="AL88">
            <v>145825.73999999894</v>
          </cell>
          <cell r="AM88"/>
          <cell r="AN88"/>
          <cell r="AO88">
            <v>47907.119999999937</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v>2025</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15676831.449999999</v>
          </cell>
          <cell r="F96"/>
          <cell r="G96"/>
          <cell r="H96">
            <v>857558.07</v>
          </cell>
          <cell r="I96"/>
          <cell r="J96"/>
          <cell r="K96">
            <v>616311.43999999994</v>
          </cell>
          <cell r="L96"/>
          <cell r="M96"/>
          <cell r="N96">
            <v>833663.21</v>
          </cell>
          <cell r="O96"/>
          <cell r="P96"/>
          <cell r="Q96">
            <v>1017681</v>
          </cell>
          <cell r="R96"/>
          <cell r="S96"/>
          <cell r="T96">
            <v>1290713.76</v>
          </cell>
          <cell r="U96"/>
          <cell r="V96"/>
          <cell r="W96">
            <v>1616914.64</v>
          </cell>
          <cell r="X96"/>
          <cell r="Y96"/>
          <cell r="Z96">
            <v>1735831.76</v>
          </cell>
          <cell r="AA96"/>
          <cell r="AB96"/>
          <cell r="AC96">
            <v>1633303.65</v>
          </cell>
          <cell r="AD96"/>
          <cell r="AE96"/>
          <cell r="AF96">
            <v>1445195.34</v>
          </cell>
          <cell r="AG96"/>
          <cell r="AH96"/>
          <cell r="AI96">
            <v>1500069.75</v>
          </cell>
          <cell r="AJ96"/>
          <cell r="AK96"/>
          <cell r="AL96">
            <v>2000604.9</v>
          </cell>
          <cell r="AM96"/>
          <cell r="AN96"/>
          <cell r="AO96">
            <v>1128983.93</v>
          </cell>
        </row>
        <row r="97">
          <cell r="A97" t="str">
            <v>Véhicules usagésCertifié</v>
          </cell>
          <cell r="C97">
            <v>290</v>
          </cell>
          <cell r="D97">
            <v>1381.2152068965504</v>
          </cell>
          <cell r="E97">
            <v>400552.40999999963</v>
          </cell>
          <cell r="F97">
            <v>18</v>
          </cell>
          <cell r="G97">
            <v>1713.5988888888887</v>
          </cell>
          <cell r="H97">
            <v>30844.78</v>
          </cell>
          <cell r="I97">
            <v>13</v>
          </cell>
          <cell r="J97">
            <v>1495.4061538461463</v>
          </cell>
          <cell r="K97">
            <v>19440.279999999901</v>
          </cell>
          <cell r="L97">
            <v>28</v>
          </cell>
          <cell r="M97">
            <v>1195.8296428571393</v>
          </cell>
          <cell r="N97">
            <v>33483.229999999901</v>
          </cell>
          <cell r="O97">
            <v>28</v>
          </cell>
          <cell r="P97">
            <v>952.90392857142501</v>
          </cell>
          <cell r="Q97">
            <v>26681.309999999899</v>
          </cell>
          <cell r="R97">
            <v>29</v>
          </cell>
          <cell r="S97">
            <v>1404.173448275862</v>
          </cell>
          <cell r="T97">
            <v>40721.03</v>
          </cell>
          <cell r="U97">
            <v>30</v>
          </cell>
          <cell r="V97">
            <v>1968.6749999999965</v>
          </cell>
          <cell r="W97">
            <v>59060.249999999898</v>
          </cell>
          <cell r="X97">
            <v>28</v>
          </cell>
          <cell r="Y97">
            <v>1004.9228571428536</v>
          </cell>
          <cell r="Z97">
            <v>28137.839999999898</v>
          </cell>
          <cell r="AA97">
            <v>27</v>
          </cell>
          <cell r="AB97">
            <v>556.57629629629628</v>
          </cell>
          <cell r="AC97">
            <v>15027.56</v>
          </cell>
          <cell r="AD97">
            <v>25</v>
          </cell>
          <cell r="AE97">
            <v>2129.2080000000042</v>
          </cell>
          <cell r="AF97">
            <v>53230.200000000099</v>
          </cell>
          <cell r="AG97">
            <v>15</v>
          </cell>
          <cell r="AH97">
            <v>2694.2226666666666</v>
          </cell>
          <cell r="AI97">
            <v>40413.339999999997</v>
          </cell>
          <cell r="AJ97">
            <v>28</v>
          </cell>
          <cell r="AK97">
            <v>1446.2435714285714</v>
          </cell>
          <cell r="AL97">
            <v>40494.82</v>
          </cell>
          <cell r="AM97">
            <v>21</v>
          </cell>
          <cell r="AN97">
            <v>619.89380952380952</v>
          </cell>
          <cell r="AO97">
            <v>13017.77</v>
          </cell>
        </row>
        <row r="98">
          <cell r="A98" t="str">
            <v>Véhicules usagésNon Certifié</v>
          </cell>
          <cell r="C98">
            <v>9</v>
          </cell>
          <cell r="D98">
            <v>560.16333333333114</v>
          </cell>
          <cell r="E98">
            <v>5041.4699999999802</v>
          </cell>
          <cell r="F98">
            <v>4</v>
          </cell>
          <cell r="G98">
            <v>1079.3549999999975</v>
          </cell>
          <cell r="H98">
            <v>4317.4199999999901</v>
          </cell>
          <cell r="I98">
            <v>2</v>
          </cell>
          <cell r="J98">
            <v>-169.7949999999995</v>
          </cell>
          <cell r="K98">
            <v>-339.58999999999901</v>
          </cell>
          <cell r="L98">
            <v>1</v>
          </cell>
          <cell r="M98">
            <v>3949.99</v>
          </cell>
          <cell r="N98">
            <v>3949.99</v>
          </cell>
          <cell r="O98">
            <v>0</v>
          </cell>
          <cell r="P98">
            <v>0</v>
          </cell>
          <cell r="Q98">
            <v>-4705.95</v>
          </cell>
          <cell r="R98">
            <v>1</v>
          </cell>
          <cell r="S98">
            <v>1376.02999999999</v>
          </cell>
          <cell r="T98">
            <v>1376.02999999999</v>
          </cell>
          <cell r="U98">
            <v>0</v>
          </cell>
          <cell r="V98">
            <v>0</v>
          </cell>
          <cell r="W98">
            <v>0</v>
          </cell>
          <cell r="X98">
            <v>0</v>
          </cell>
          <cell r="Y98">
            <v>0</v>
          </cell>
          <cell r="Z98">
            <v>0</v>
          </cell>
          <cell r="AA98">
            <v>0</v>
          </cell>
          <cell r="AB98">
            <v>0</v>
          </cell>
          <cell r="AC98">
            <v>0</v>
          </cell>
          <cell r="AD98">
            <v>1</v>
          </cell>
          <cell r="AE98">
            <v>1000</v>
          </cell>
          <cell r="AF98">
            <v>1000</v>
          </cell>
          <cell r="AG98">
            <v>0</v>
          </cell>
          <cell r="AH98">
            <v>0</v>
          </cell>
          <cell r="AI98">
            <v>0</v>
          </cell>
          <cell r="AJ98">
            <v>0</v>
          </cell>
          <cell r="AK98">
            <v>0</v>
          </cell>
          <cell r="AL98">
            <v>0</v>
          </cell>
          <cell r="AM98">
            <v>0</v>
          </cell>
          <cell r="AN98">
            <v>0</v>
          </cell>
          <cell r="AO98">
            <v>-556.42999999999995</v>
          </cell>
        </row>
        <row r="99">
          <cell r="A99" t="str">
            <v>Véhicules usagésAutres Marques</v>
          </cell>
          <cell r="C99">
            <v>8</v>
          </cell>
          <cell r="D99">
            <v>2577.5499999999975</v>
          </cell>
          <cell r="E99">
            <v>20620.39999999998</v>
          </cell>
          <cell r="F99">
            <v>2</v>
          </cell>
          <cell r="G99">
            <v>1352.424999999995</v>
          </cell>
          <cell r="H99">
            <v>2704.8499999999899</v>
          </cell>
          <cell r="I99">
            <v>2</v>
          </cell>
          <cell r="J99">
            <v>1908.175</v>
          </cell>
          <cell r="K99">
            <v>3816.35</v>
          </cell>
          <cell r="L99">
            <v>1</v>
          </cell>
          <cell r="M99">
            <v>4152.3</v>
          </cell>
          <cell r="N99">
            <v>4152.3</v>
          </cell>
          <cell r="O99">
            <v>2</v>
          </cell>
          <cell r="P99">
            <v>2899.7999999999952</v>
          </cell>
          <cell r="Q99">
            <v>5799.5999999999904</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1</v>
          </cell>
          <cell r="AN99">
            <v>4147.3</v>
          </cell>
          <cell r="AO99">
            <v>4147.3</v>
          </cell>
        </row>
        <row r="100">
          <cell r="A100" t="str">
            <v>Véhicules usagésTotal Usagés</v>
          </cell>
          <cell r="C100">
            <v>307</v>
          </cell>
          <cell r="D100">
            <v>1388.3201302931582</v>
          </cell>
          <cell r="E100">
            <v>426214.27999999956</v>
          </cell>
          <cell r="F100">
            <v>24</v>
          </cell>
          <cell r="G100">
            <v>1577.7937499999991</v>
          </cell>
          <cell r="H100">
            <v>37867.049999999981</v>
          </cell>
          <cell r="I100">
            <v>17</v>
          </cell>
          <cell r="J100">
            <v>1348.0611764705823</v>
          </cell>
          <cell r="K100">
            <v>22917.039999999899</v>
          </cell>
          <cell r="L100">
            <v>30</v>
          </cell>
          <cell r="M100">
            <v>1386.1839999999968</v>
          </cell>
          <cell r="N100">
            <v>41585.519999999902</v>
          </cell>
          <cell r="O100">
            <v>30</v>
          </cell>
          <cell r="P100">
            <v>925.83199999999636</v>
          </cell>
          <cell r="Q100">
            <v>27774.95999999989</v>
          </cell>
          <cell r="R100">
            <v>30</v>
          </cell>
          <cell r="S100">
            <v>1403.2353333333331</v>
          </cell>
          <cell r="T100">
            <v>42097.05999999999</v>
          </cell>
          <cell r="U100">
            <v>30</v>
          </cell>
          <cell r="V100">
            <v>1968.6749999999965</v>
          </cell>
          <cell r="W100">
            <v>59060.249999999898</v>
          </cell>
          <cell r="X100">
            <v>28</v>
          </cell>
          <cell r="Y100">
            <v>1004.9228571428536</v>
          </cell>
          <cell r="Z100">
            <v>28137.839999999898</v>
          </cell>
          <cell r="AA100">
            <v>27</v>
          </cell>
          <cell r="AB100">
            <v>556.57629629629628</v>
          </cell>
          <cell r="AC100">
            <v>15027.56</v>
          </cell>
          <cell r="AD100">
            <v>26</v>
          </cell>
          <cell r="AE100">
            <v>2085.7769230769268</v>
          </cell>
          <cell r="AF100">
            <v>54230.200000000099</v>
          </cell>
          <cell r="AG100">
            <v>15</v>
          </cell>
          <cell r="AH100">
            <v>2694.2226666666666</v>
          </cell>
          <cell r="AI100">
            <v>40413.339999999997</v>
          </cell>
          <cell r="AJ100">
            <v>28</v>
          </cell>
          <cell r="AK100">
            <v>1446.2435714285714</v>
          </cell>
          <cell r="AL100">
            <v>40494.82</v>
          </cell>
          <cell r="AM100">
            <v>22</v>
          </cell>
          <cell r="AN100">
            <v>754.93818181818176</v>
          </cell>
          <cell r="AO100">
            <v>16608.64</v>
          </cell>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
          </cell>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row>
        <row r="103">
          <cell r="A103" t="str">
            <v>Véhicules usagésVentes au Gros</v>
          </cell>
          <cell r="C103">
            <v>404</v>
          </cell>
          <cell r="D103">
            <v>543.00831683168246</v>
          </cell>
          <cell r="E103">
            <v>219375.35999999969</v>
          </cell>
          <cell r="F103">
            <v>19</v>
          </cell>
          <cell r="G103">
            <v>343.84315789473737</v>
          </cell>
          <cell r="H103">
            <v>6533.0200000000104</v>
          </cell>
          <cell r="I103">
            <v>10</v>
          </cell>
          <cell r="J103">
            <v>743.69200000000103</v>
          </cell>
          <cell r="K103">
            <v>7436.9200000000101</v>
          </cell>
          <cell r="L103">
            <v>10</v>
          </cell>
          <cell r="M103">
            <v>1059.873</v>
          </cell>
          <cell r="N103">
            <v>10598.73</v>
          </cell>
          <cell r="O103">
            <v>18</v>
          </cell>
          <cell r="P103">
            <v>1446.8283333333334</v>
          </cell>
          <cell r="Q103">
            <v>26042.91</v>
          </cell>
          <cell r="R103">
            <v>26</v>
          </cell>
          <cell r="S103">
            <v>637.83153846153459</v>
          </cell>
          <cell r="T103">
            <v>16583.619999999901</v>
          </cell>
          <cell r="U103">
            <v>45</v>
          </cell>
          <cell r="V103">
            <v>996.06622222222006</v>
          </cell>
          <cell r="W103">
            <v>44822.979999999901</v>
          </cell>
          <cell r="X103">
            <v>51</v>
          </cell>
          <cell r="Y103">
            <v>737.09647058823521</v>
          </cell>
          <cell r="Z103">
            <v>37591.919999999998</v>
          </cell>
          <cell r="AA103">
            <v>50</v>
          </cell>
          <cell r="AB103">
            <v>637.0086</v>
          </cell>
          <cell r="AC103">
            <v>31850.43</v>
          </cell>
          <cell r="AD103">
            <v>38</v>
          </cell>
          <cell r="AE103">
            <v>366.98736842105262</v>
          </cell>
          <cell r="AF103">
            <v>13945.52</v>
          </cell>
          <cell r="AG103">
            <v>52</v>
          </cell>
          <cell r="AH103">
            <v>182.21538461538364</v>
          </cell>
          <cell r="AI103">
            <v>9475.1999999999498</v>
          </cell>
          <cell r="AJ103">
            <v>57</v>
          </cell>
          <cell r="AK103">
            <v>-132.43754385964806</v>
          </cell>
          <cell r="AL103">
            <v>-7548.9399999999396</v>
          </cell>
          <cell r="AM103">
            <v>28</v>
          </cell>
          <cell r="AN103">
            <v>787.25178571428216</v>
          </cell>
          <cell r="AO103">
            <v>22043.049999999901</v>
          </cell>
        </row>
        <row r="104">
          <cell r="A104" t="str">
            <v>Véhicules usagés</v>
          </cell>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row>
        <row r="105">
          <cell r="A105" t="str">
            <v>Véhicules usagésRev. Finances</v>
          </cell>
          <cell r="C105"/>
          <cell r="D105">
            <v>330.46899022801313</v>
          </cell>
          <cell r="E105">
            <v>101453.98000000003</v>
          </cell>
          <cell r="F105"/>
          <cell r="G105">
            <v>357.98250000000002</v>
          </cell>
          <cell r="H105">
            <v>8591.58</v>
          </cell>
          <cell r="I105"/>
          <cell r="J105">
            <v>230.15882352941176</v>
          </cell>
          <cell r="K105">
            <v>3912.7</v>
          </cell>
          <cell r="L105"/>
          <cell r="M105">
            <v>393.4133333333333</v>
          </cell>
          <cell r="N105">
            <v>11802.4</v>
          </cell>
          <cell r="O105"/>
          <cell r="P105">
            <v>305.93433333333337</v>
          </cell>
          <cell r="Q105">
            <v>9178.0300000000007</v>
          </cell>
          <cell r="R105"/>
          <cell r="S105">
            <v>357.35966666666667</v>
          </cell>
          <cell r="T105">
            <v>10720.79</v>
          </cell>
          <cell r="U105"/>
          <cell r="V105">
            <v>373.98400000000004</v>
          </cell>
          <cell r="W105">
            <v>11219.52</v>
          </cell>
          <cell r="X105"/>
          <cell r="Y105">
            <v>450.1742857142857</v>
          </cell>
          <cell r="Z105">
            <v>12604.88</v>
          </cell>
          <cell r="AA105"/>
          <cell r="AB105">
            <v>444.74962962962962</v>
          </cell>
          <cell r="AC105">
            <v>12008.24</v>
          </cell>
          <cell r="AD105"/>
          <cell r="AE105">
            <v>508.61423076923074</v>
          </cell>
          <cell r="AF105">
            <v>13223.97</v>
          </cell>
          <cell r="AG105"/>
          <cell r="AH105">
            <v>75.055333333333323</v>
          </cell>
          <cell r="AI105">
            <v>1125.83</v>
          </cell>
          <cell r="AJ105"/>
          <cell r="AK105">
            <v>134.03428571428572</v>
          </cell>
          <cell r="AL105">
            <v>3752.96</v>
          </cell>
          <cell r="AM105"/>
          <cell r="AN105">
            <v>150.59454545454545</v>
          </cell>
          <cell r="AO105">
            <v>3313.08</v>
          </cell>
        </row>
        <row r="106">
          <cell r="A106" t="str">
            <v>Véhicules usagésRev. Protections</v>
          </cell>
          <cell r="C106"/>
          <cell r="D106">
            <v>1691.1939087947883</v>
          </cell>
          <cell r="E106">
            <v>519196.52999999997</v>
          </cell>
          <cell r="F106"/>
          <cell r="G106">
            <v>1456.1245833333332</v>
          </cell>
          <cell r="H106">
            <v>34946.99</v>
          </cell>
          <cell r="I106"/>
          <cell r="J106">
            <v>1336.4476470588236</v>
          </cell>
          <cell r="K106">
            <v>22719.61</v>
          </cell>
          <cell r="L106"/>
          <cell r="M106">
            <v>1414.3993333333301</v>
          </cell>
          <cell r="N106">
            <v>42431.979999999901</v>
          </cell>
          <cell r="O106"/>
          <cell r="P106">
            <v>1730.1366666666665</v>
          </cell>
          <cell r="Q106">
            <v>51904.1</v>
          </cell>
          <cell r="R106"/>
          <cell r="S106">
            <v>1630.4856666666667</v>
          </cell>
          <cell r="T106">
            <v>48914.57</v>
          </cell>
          <cell r="U106"/>
          <cell r="V106">
            <v>1465.0156666666667</v>
          </cell>
          <cell r="W106">
            <v>43950.47</v>
          </cell>
          <cell r="X106"/>
          <cell r="Y106">
            <v>1933.1910714285714</v>
          </cell>
          <cell r="Z106">
            <v>54129.35</v>
          </cell>
          <cell r="AA106"/>
          <cell r="AB106">
            <v>1666.4492592592592</v>
          </cell>
          <cell r="AC106">
            <v>44994.13</v>
          </cell>
          <cell r="AD106"/>
          <cell r="AE106">
            <v>1907.0388461538462</v>
          </cell>
          <cell r="AF106">
            <v>49583.01</v>
          </cell>
          <cell r="AG106"/>
          <cell r="AH106">
            <v>1976.5013333333334</v>
          </cell>
          <cell r="AI106">
            <v>29647.52</v>
          </cell>
          <cell r="AJ106"/>
          <cell r="AK106">
            <v>2014.1728571428571</v>
          </cell>
          <cell r="AL106">
            <v>56396.84</v>
          </cell>
          <cell r="AM106"/>
          <cell r="AN106">
            <v>1798.9981818181818</v>
          </cell>
          <cell r="AO106">
            <v>39577.96</v>
          </cell>
        </row>
        <row r="107">
          <cell r="A107" t="str">
            <v>Véhicules usagésRev. Autres</v>
          </cell>
          <cell r="C107"/>
          <cell r="D107">
            <v>39.117035830618889</v>
          </cell>
          <cell r="E107">
            <v>12008.929999999998</v>
          </cell>
          <cell r="F107">
            <v>2</v>
          </cell>
          <cell r="G107">
            <v>22.08</v>
          </cell>
          <cell r="H107">
            <v>529.91999999999996</v>
          </cell>
          <cell r="I107">
            <v>2</v>
          </cell>
          <cell r="J107">
            <v>14.874705882352941</v>
          </cell>
          <cell r="K107">
            <v>252.87</v>
          </cell>
          <cell r="L107">
            <v>1</v>
          </cell>
          <cell r="M107">
            <v>60.827333333333328</v>
          </cell>
          <cell r="N107">
            <v>1824.82</v>
          </cell>
          <cell r="O107">
            <v>2</v>
          </cell>
          <cell r="P107">
            <v>9.5846666666666671</v>
          </cell>
          <cell r="Q107">
            <v>287.54000000000002</v>
          </cell>
          <cell r="R107">
            <v>0</v>
          </cell>
          <cell r="S107">
            <v>40.291000000000004</v>
          </cell>
          <cell r="T107">
            <v>1208.73</v>
          </cell>
          <cell r="U107">
            <v>0</v>
          </cell>
          <cell r="V107">
            <v>71.340333333333334</v>
          </cell>
          <cell r="W107">
            <v>2140.21</v>
          </cell>
          <cell r="X107">
            <v>0</v>
          </cell>
          <cell r="Y107">
            <v>28.672142857142859</v>
          </cell>
          <cell r="Z107">
            <v>802.82</v>
          </cell>
          <cell r="AA107">
            <v>0</v>
          </cell>
          <cell r="AB107">
            <v>68.289259259259254</v>
          </cell>
          <cell r="AC107">
            <v>1843.81</v>
          </cell>
          <cell r="AD107">
            <v>0</v>
          </cell>
          <cell r="AE107">
            <v>44.338846153846148</v>
          </cell>
          <cell r="AF107">
            <v>1152.81</v>
          </cell>
          <cell r="AG107">
            <v>0</v>
          </cell>
          <cell r="AH107">
            <v>17.580666666666666</v>
          </cell>
          <cell r="AI107">
            <v>263.70999999999998</v>
          </cell>
          <cell r="AJ107">
            <v>0</v>
          </cell>
          <cell r="AK107">
            <v>0</v>
          </cell>
          <cell r="AL107">
            <v>0</v>
          </cell>
          <cell r="AM107">
            <v>1</v>
          </cell>
          <cell r="AN107">
            <v>77.349545454545463</v>
          </cell>
          <cell r="AO107">
            <v>1701.69</v>
          </cell>
        </row>
        <row r="108">
          <cell r="A108" t="str">
            <v>Véhicules usagésTotal F&amp;I</v>
          </cell>
          <cell r="C108">
            <v>307</v>
          </cell>
          <cell r="D108">
            <v>2060.7799348534204</v>
          </cell>
          <cell r="E108">
            <v>632659.44000000006</v>
          </cell>
          <cell r="F108">
            <v>24</v>
          </cell>
          <cell r="G108">
            <v>1836.1870833333332</v>
          </cell>
          <cell r="H108">
            <v>44068.49</v>
          </cell>
          <cell r="I108">
            <v>17</v>
          </cell>
          <cell r="J108">
            <v>1581.4811764705883</v>
          </cell>
          <cell r="K108">
            <v>26885.18</v>
          </cell>
          <cell r="L108">
            <v>30</v>
          </cell>
          <cell r="M108">
            <v>1868.6399999999967</v>
          </cell>
          <cell r="N108">
            <v>56059.199999999903</v>
          </cell>
          <cell r="O108">
            <v>30</v>
          </cell>
          <cell r="P108">
            <v>2045.6556666666665</v>
          </cell>
          <cell r="Q108">
            <v>61369.67</v>
          </cell>
          <cell r="R108">
            <v>30</v>
          </cell>
          <cell r="S108">
            <v>2028.1363333333334</v>
          </cell>
          <cell r="T108">
            <v>60844.090000000004</v>
          </cell>
          <cell r="U108">
            <v>30</v>
          </cell>
          <cell r="V108">
            <v>1910.3400000000001</v>
          </cell>
          <cell r="W108">
            <v>57310.200000000004</v>
          </cell>
          <cell r="X108">
            <v>28</v>
          </cell>
          <cell r="Y108">
            <v>2412.0374999999999</v>
          </cell>
          <cell r="Z108">
            <v>67537.05</v>
          </cell>
          <cell r="AA108">
            <v>27</v>
          </cell>
          <cell r="AB108">
            <v>2179.488148148148</v>
          </cell>
          <cell r="AC108">
            <v>58846.179999999993</v>
          </cell>
          <cell r="AD108">
            <v>26</v>
          </cell>
          <cell r="AE108">
            <v>2459.9919230769233</v>
          </cell>
          <cell r="AF108">
            <v>63959.79</v>
          </cell>
          <cell r="AG108">
            <v>15</v>
          </cell>
          <cell r="AH108">
            <v>2069.1373333333331</v>
          </cell>
          <cell r="AI108">
            <v>31037.059999999998</v>
          </cell>
          <cell r="AJ108">
            <v>28</v>
          </cell>
          <cell r="AK108">
            <v>2148.2071428571426</v>
          </cell>
          <cell r="AL108">
            <v>60149.799999999996</v>
          </cell>
          <cell r="AM108">
            <v>22</v>
          </cell>
          <cell r="AN108">
            <v>2026.9422727272729</v>
          </cell>
          <cell r="AO108">
            <v>44592.73</v>
          </cell>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v>
          </cell>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row>
        <row r="111">
          <cell r="A111" t="str">
            <v>Véhicules usagésTotal Dépt. Usagés</v>
          </cell>
          <cell r="C111">
            <v>711</v>
          </cell>
          <cell r="D111">
            <v>1797.8186779184239</v>
          </cell>
          <cell r="E111">
            <v>1278249.0799999994</v>
          </cell>
          <cell r="F111">
            <v>43</v>
          </cell>
          <cell r="G111">
            <v>2057.408372093023</v>
          </cell>
          <cell r="H111">
            <v>88468.559999999983</v>
          </cell>
          <cell r="I111">
            <v>27</v>
          </cell>
          <cell r="J111">
            <v>2119.9681481481448</v>
          </cell>
          <cell r="K111">
            <v>57239.139999999912</v>
          </cell>
          <cell r="L111">
            <v>40</v>
          </cell>
          <cell r="M111">
            <v>2706.0862499999948</v>
          </cell>
          <cell r="N111">
            <v>108243.44999999979</v>
          </cell>
          <cell r="O111">
            <v>48</v>
          </cell>
          <cell r="P111">
            <v>2399.7404166666643</v>
          </cell>
          <cell r="Q111">
            <v>115187.53999999989</v>
          </cell>
          <cell r="R111">
            <v>56</v>
          </cell>
          <cell r="S111">
            <v>2134.3708928571409</v>
          </cell>
          <cell r="T111">
            <v>119524.7699999999</v>
          </cell>
          <cell r="U111">
            <v>75</v>
          </cell>
          <cell r="V111">
            <v>2149.2457333333305</v>
          </cell>
          <cell r="W111">
            <v>161193.42999999979</v>
          </cell>
          <cell r="X111">
            <v>79</v>
          </cell>
          <cell r="Y111">
            <v>1686.9216455696187</v>
          </cell>
          <cell r="Z111">
            <v>133266.80999999988</v>
          </cell>
          <cell r="AA111">
            <v>77</v>
          </cell>
          <cell r="AB111">
            <v>1373.0411688311685</v>
          </cell>
          <cell r="AC111">
            <v>105724.16999999998</v>
          </cell>
          <cell r="AD111">
            <v>64</v>
          </cell>
          <cell r="AE111">
            <v>2064.6173437500015</v>
          </cell>
          <cell r="AF111">
            <v>132135.5100000001</v>
          </cell>
          <cell r="AG111">
            <v>67</v>
          </cell>
          <cell r="AH111">
            <v>1207.8447761194022</v>
          </cell>
          <cell r="AI111">
            <v>80925.599999999948</v>
          </cell>
          <cell r="AJ111">
            <v>85</v>
          </cell>
          <cell r="AK111">
            <v>1095.2432941176476</v>
          </cell>
          <cell r="AL111">
            <v>93095.680000000051</v>
          </cell>
          <cell r="AM111">
            <v>50</v>
          </cell>
          <cell r="AN111">
            <v>1664.888399999998</v>
          </cell>
          <cell r="AO111">
            <v>83244.419999999896</v>
          </cell>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usagésDEPENSES</v>
          </cell>
          <cell r="C114"/>
          <cell r="D114"/>
          <cell r="E114"/>
          <cell r="F114"/>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row>
        <row r="115">
          <cell r="A115" t="str">
            <v>Véhicules usagésComm. vendeurs</v>
          </cell>
          <cell r="C115">
            <v>0.35483672672816163</v>
          </cell>
          <cell r="D115">
            <v>505.80762541806024</v>
          </cell>
          <cell r="E115">
            <v>151236.48000000001</v>
          </cell>
          <cell r="F115">
            <v>0.32560498442311048</v>
          </cell>
          <cell r="G115">
            <v>652.22363636363639</v>
          </cell>
          <cell r="H115">
            <v>14348.92</v>
          </cell>
          <cell r="I115">
            <v>0.33145026367686586</v>
          </cell>
          <cell r="J115">
            <v>594.07333333333338</v>
          </cell>
          <cell r="K115">
            <v>8911.1</v>
          </cell>
          <cell r="L115">
            <v>0.25430527014299215</v>
          </cell>
          <cell r="M115">
            <v>491.59137931034479</v>
          </cell>
          <cell r="N115">
            <v>14256.15</v>
          </cell>
          <cell r="O115">
            <v>0.15181131004941043</v>
          </cell>
          <cell r="P115">
            <v>332.73607142857145</v>
          </cell>
          <cell r="Q115">
            <v>9316.61</v>
          </cell>
          <cell r="R115">
            <v>0.27248776339657638</v>
          </cell>
          <cell r="S115">
            <v>0</v>
          </cell>
          <cell r="T115">
            <v>16579.27</v>
          </cell>
          <cell r="U115">
            <v>0.29186846320550269</v>
          </cell>
          <cell r="V115">
            <v>0</v>
          </cell>
          <cell r="W115">
            <v>16727.04</v>
          </cell>
          <cell r="X115">
            <v>0.17780314656917942</v>
          </cell>
          <cell r="Y115">
            <v>0</v>
          </cell>
          <cell r="Z115">
            <v>12008.3</v>
          </cell>
          <cell r="AA115">
            <v>0.21801228219061972</v>
          </cell>
          <cell r="AB115">
            <v>0</v>
          </cell>
          <cell r="AC115">
            <v>12829.19</v>
          </cell>
          <cell r="AD115">
            <v>0.23960413253389357</v>
          </cell>
          <cell r="AE115">
            <v>0</v>
          </cell>
          <cell r="AF115">
            <v>15325.03</v>
          </cell>
          <cell r="AG115">
            <v>0.36367974286224275</v>
          </cell>
          <cell r="AH115">
            <v>0</v>
          </cell>
          <cell r="AI115">
            <v>11287.55</v>
          </cell>
          <cell r="AJ115">
            <v>0.17823201407153477</v>
          </cell>
          <cell r="AK115">
            <v>0</v>
          </cell>
          <cell r="AL115">
            <v>10720.62</v>
          </cell>
          <cell r="AM115">
            <v>0.20018285491827928</v>
          </cell>
          <cell r="AN115">
            <v>425.0809523809524</v>
          </cell>
          <cell r="AO115">
            <v>8926.7000000000007</v>
          </cell>
        </row>
        <row r="116">
          <cell r="A116" t="str">
            <v>Véhicules usagésComm. F&amp;I</v>
          </cell>
          <cell r="C116">
            <v>0.28342877488716517</v>
          </cell>
          <cell r="D116">
            <v>599.71200668896313</v>
          </cell>
          <cell r="E116">
            <v>179313.88999999998</v>
          </cell>
          <cell r="F116"/>
          <cell r="G116">
            <v>600.90454545454543</v>
          </cell>
          <cell r="H116">
            <v>13219.9</v>
          </cell>
          <cell r="I116"/>
          <cell r="J116">
            <v>448.07266666666669</v>
          </cell>
          <cell r="K116">
            <v>6721.09</v>
          </cell>
          <cell r="L116"/>
          <cell r="M116">
            <v>541.24620689655171</v>
          </cell>
          <cell r="N116">
            <v>15696.14</v>
          </cell>
          <cell r="O116"/>
          <cell r="P116">
            <v>657.53321428571428</v>
          </cell>
          <cell r="Q116">
            <v>18410.93</v>
          </cell>
          <cell r="R116"/>
          <cell r="S116">
            <v>0</v>
          </cell>
          <cell r="T116">
            <v>18252.73</v>
          </cell>
          <cell r="U116"/>
          <cell r="V116">
            <v>0</v>
          </cell>
          <cell r="W116">
            <v>17157.810000000001</v>
          </cell>
          <cell r="X116"/>
          <cell r="Y116">
            <v>0</v>
          </cell>
          <cell r="Z116">
            <v>20164.34</v>
          </cell>
          <cell r="AA116"/>
          <cell r="AB116">
            <v>0</v>
          </cell>
          <cell r="AC116">
            <v>17527.689999999999</v>
          </cell>
          <cell r="AD116"/>
          <cell r="AE116">
            <v>0</v>
          </cell>
          <cell r="AF116">
            <v>19421.79</v>
          </cell>
          <cell r="AG116"/>
          <cell r="AH116">
            <v>0</v>
          </cell>
          <cell r="AI116">
            <v>9310.83</v>
          </cell>
          <cell r="AJ116"/>
          <cell r="AK116">
            <v>0</v>
          </cell>
          <cell r="AL116">
            <v>18971.509999999998</v>
          </cell>
          <cell r="AM116"/>
          <cell r="AN116">
            <v>212.33952380952383</v>
          </cell>
          <cell r="AO116">
            <v>4459.13</v>
          </cell>
        </row>
        <row r="117">
          <cell r="A117" t="str">
            <v>Véhicules usagésFrais de livraison</v>
          </cell>
          <cell r="C117"/>
          <cell r="D117">
            <v>-37.800501672240799</v>
          </cell>
          <cell r="E117">
            <v>-11302.349999999999</v>
          </cell>
          <cell r="F117"/>
          <cell r="G117">
            <v>-18.423636363636362</v>
          </cell>
          <cell r="H117">
            <v>-405.32</v>
          </cell>
          <cell r="I117"/>
          <cell r="J117">
            <v>-44.719333333333331</v>
          </cell>
          <cell r="K117">
            <v>-670.79</v>
          </cell>
          <cell r="L117"/>
          <cell r="M117">
            <v>-92.657241379310349</v>
          </cell>
          <cell r="N117">
            <v>-2687.06</v>
          </cell>
          <cell r="O117"/>
          <cell r="P117">
            <v>-90.678214285714276</v>
          </cell>
          <cell r="Q117">
            <v>-2538.9899999999998</v>
          </cell>
          <cell r="R117"/>
          <cell r="S117">
            <v>0</v>
          </cell>
          <cell r="T117">
            <v>-1828.08</v>
          </cell>
          <cell r="U117"/>
          <cell r="V117">
            <v>0</v>
          </cell>
          <cell r="W117">
            <v>-775.8</v>
          </cell>
          <cell r="X117"/>
          <cell r="Y117">
            <v>0</v>
          </cell>
          <cell r="Z117">
            <v>-1754.51</v>
          </cell>
          <cell r="AA117"/>
          <cell r="AB117">
            <v>0</v>
          </cell>
          <cell r="AC117">
            <v>-332.59</v>
          </cell>
          <cell r="AD117"/>
          <cell r="AE117">
            <v>0</v>
          </cell>
          <cell r="AF117">
            <v>-1273.72</v>
          </cell>
          <cell r="AG117"/>
          <cell r="AH117">
            <v>0</v>
          </cell>
          <cell r="AI117">
            <v>1356.52</v>
          </cell>
          <cell r="AJ117"/>
          <cell r="AK117">
            <v>0</v>
          </cell>
          <cell r="AL117">
            <v>-453.29</v>
          </cell>
          <cell r="AM117"/>
          <cell r="AN117">
            <v>2.9180952380952383</v>
          </cell>
          <cell r="AO117">
            <v>61.28</v>
          </cell>
        </row>
        <row r="118">
          <cell r="A118" t="str">
            <v>Véhicules usagésService gratuit 1</v>
          </cell>
          <cell r="C118"/>
          <cell r="D118">
            <v>60.333311036789297</v>
          </cell>
          <cell r="E118">
            <v>18039.66</v>
          </cell>
          <cell r="F118"/>
          <cell r="G118">
            <v>43.118636363636362</v>
          </cell>
          <cell r="H118">
            <v>948.61</v>
          </cell>
          <cell r="I118"/>
          <cell r="J118">
            <v>28.663333333333334</v>
          </cell>
          <cell r="K118">
            <v>429.95</v>
          </cell>
          <cell r="L118"/>
          <cell r="M118">
            <v>40.642413793103451</v>
          </cell>
          <cell r="N118">
            <v>1178.6300000000001</v>
          </cell>
          <cell r="O118"/>
          <cell r="P118">
            <v>32.045357142857142</v>
          </cell>
          <cell r="Q118">
            <v>897.27</v>
          </cell>
          <cell r="R118"/>
          <cell r="S118">
            <v>0</v>
          </cell>
          <cell r="T118">
            <v>2691.69</v>
          </cell>
          <cell r="U118"/>
          <cell r="V118">
            <v>0</v>
          </cell>
          <cell r="W118">
            <v>2278.52</v>
          </cell>
          <cell r="X118"/>
          <cell r="Y118">
            <v>0</v>
          </cell>
          <cell r="Z118">
            <v>4983.57</v>
          </cell>
          <cell r="AA118"/>
          <cell r="AB118">
            <v>0</v>
          </cell>
          <cell r="AC118">
            <v>577</v>
          </cell>
          <cell r="AD118"/>
          <cell r="AE118">
            <v>0</v>
          </cell>
          <cell r="AF118">
            <v>2558.56</v>
          </cell>
          <cell r="AG118"/>
          <cell r="AH118">
            <v>0</v>
          </cell>
          <cell r="AI118">
            <v>2087.27</v>
          </cell>
          <cell r="AJ118"/>
          <cell r="AK118">
            <v>0</v>
          </cell>
          <cell r="AL118">
            <v>1965.66</v>
          </cell>
          <cell r="AM118"/>
          <cell r="AN118">
            <v>-121.7652380952381</v>
          </cell>
          <cell r="AO118">
            <v>-2557.0700000000002</v>
          </cell>
        </row>
        <row r="119">
          <cell r="A119" t="str">
            <v>Véhicules usagésEntretien stock</v>
          </cell>
          <cell r="C119"/>
          <cell r="D119">
            <v>180.66471571906354</v>
          </cell>
          <cell r="E119">
            <v>54018.75</v>
          </cell>
          <cell r="F119"/>
          <cell r="G119">
            <v>151.12090909090909</v>
          </cell>
          <cell r="H119">
            <v>3324.66</v>
          </cell>
          <cell r="I119"/>
          <cell r="J119">
            <v>119.66666666666667</v>
          </cell>
          <cell r="K119">
            <v>1795</v>
          </cell>
          <cell r="L119"/>
          <cell r="M119">
            <v>225.90827586206896</v>
          </cell>
          <cell r="N119">
            <v>6551.34</v>
          </cell>
          <cell r="O119"/>
          <cell r="P119">
            <v>127.62428571428572</v>
          </cell>
          <cell r="Q119">
            <v>3573.48</v>
          </cell>
          <cell r="R119"/>
          <cell r="S119">
            <v>0</v>
          </cell>
          <cell r="T119">
            <v>4307.83</v>
          </cell>
          <cell r="U119"/>
          <cell r="V119">
            <v>0</v>
          </cell>
          <cell r="W119">
            <v>9664.26</v>
          </cell>
          <cell r="X119"/>
          <cell r="Y119">
            <v>0</v>
          </cell>
          <cell r="Z119">
            <v>3765.58</v>
          </cell>
          <cell r="AA119"/>
          <cell r="AB119">
            <v>0</v>
          </cell>
          <cell r="AC119">
            <v>3613.13</v>
          </cell>
          <cell r="AD119"/>
          <cell r="AE119">
            <v>0</v>
          </cell>
          <cell r="AF119">
            <v>3481.48</v>
          </cell>
          <cell r="AG119"/>
          <cell r="AH119">
            <v>0</v>
          </cell>
          <cell r="AI119">
            <v>6393.11</v>
          </cell>
          <cell r="AJ119"/>
          <cell r="AK119">
            <v>0</v>
          </cell>
          <cell r="AL119">
            <v>3914.28</v>
          </cell>
          <cell r="AM119"/>
          <cell r="AN119">
            <v>173.07619047619048</v>
          </cell>
          <cell r="AO119">
            <v>3634.6</v>
          </cell>
        </row>
        <row r="120">
          <cell r="A120" t="str">
            <v>Véhicules usagésPublicité 1</v>
          </cell>
          <cell r="C120"/>
          <cell r="D120">
            <v>451.16565217391314</v>
          </cell>
          <cell r="E120">
            <v>134898.53000000003</v>
          </cell>
          <cell r="F120"/>
          <cell r="G120">
            <v>556.01590909090908</v>
          </cell>
          <cell r="H120">
            <v>12232.35</v>
          </cell>
          <cell r="I120"/>
          <cell r="J120">
            <v>467.97399999999999</v>
          </cell>
          <cell r="K120">
            <v>7019.61</v>
          </cell>
          <cell r="L120"/>
          <cell r="M120">
            <v>366.05689655172415</v>
          </cell>
          <cell r="N120">
            <v>10615.65</v>
          </cell>
          <cell r="O120"/>
          <cell r="P120">
            <v>461.5385714285714</v>
          </cell>
          <cell r="Q120">
            <v>12923.08</v>
          </cell>
          <cell r="R120"/>
          <cell r="S120">
            <v>0</v>
          </cell>
          <cell r="T120">
            <v>11679.81</v>
          </cell>
          <cell r="U120"/>
          <cell r="V120">
            <v>0</v>
          </cell>
          <cell r="W120">
            <v>7506.82</v>
          </cell>
          <cell r="X120"/>
          <cell r="Y120">
            <v>0</v>
          </cell>
          <cell r="Z120">
            <v>9191.5300000000007</v>
          </cell>
          <cell r="AA120"/>
          <cell r="AB120">
            <v>0</v>
          </cell>
          <cell r="AC120">
            <v>10992.3</v>
          </cell>
          <cell r="AD120"/>
          <cell r="AE120">
            <v>0</v>
          </cell>
          <cell r="AF120">
            <v>13511.52</v>
          </cell>
          <cell r="AG120"/>
          <cell r="AH120">
            <v>0</v>
          </cell>
          <cell r="AI120">
            <v>12130.92</v>
          </cell>
          <cell r="AJ120"/>
          <cell r="AK120">
            <v>0</v>
          </cell>
          <cell r="AL120">
            <v>9800.3799999999992</v>
          </cell>
          <cell r="AM120"/>
          <cell r="AN120">
            <v>823.55047619047627</v>
          </cell>
          <cell r="AO120">
            <v>17294.560000000001</v>
          </cell>
        </row>
        <row r="121">
          <cell r="A121" t="str">
            <v>Véhicules usagésIntérêt de gros</v>
          </cell>
          <cell r="C121"/>
          <cell r="D121">
            <v>95.794214046822745</v>
          </cell>
          <cell r="E121">
            <v>28642.47</v>
          </cell>
          <cell r="F121"/>
          <cell r="G121">
            <v>118.57636363636362</v>
          </cell>
          <cell r="H121">
            <v>2608.6799999999998</v>
          </cell>
          <cell r="I121"/>
          <cell r="J121">
            <v>141.494</v>
          </cell>
          <cell r="K121">
            <v>2122.41</v>
          </cell>
          <cell r="L121"/>
          <cell r="M121">
            <v>70.131034482758622</v>
          </cell>
          <cell r="N121">
            <v>2033.8</v>
          </cell>
          <cell r="O121"/>
          <cell r="P121">
            <v>105.60428571428572</v>
          </cell>
          <cell r="Q121">
            <v>2956.92</v>
          </cell>
          <cell r="R121"/>
          <cell r="S121">
            <v>0</v>
          </cell>
          <cell r="T121">
            <v>4081.16</v>
          </cell>
          <cell r="U121"/>
          <cell r="V121">
            <v>0</v>
          </cell>
          <cell r="W121">
            <v>5014.7299999999996</v>
          </cell>
          <cell r="X121"/>
          <cell r="Y121">
            <v>0</v>
          </cell>
          <cell r="Z121">
            <v>4064.38</v>
          </cell>
          <cell r="AA121"/>
          <cell r="AB121">
            <v>0</v>
          </cell>
          <cell r="AC121">
            <v>2127.79</v>
          </cell>
          <cell r="AD121"/>
          <cell r="AE121">
            <v>0</v>
          </cell>
          <cell r="AF121">
            <v>1444.27</v>
          </cell>
          <cell r="AG121"/>
          <cell r="AH121">
            <v>0</v>
          </cell>
          <cell r="AI121">
            <v>691.6</v>
          </cell>
          <cell r="AJ121"/>
          <cell r="AK121">
            <v>0</v>
          </cell>
          <cell r="AL121">
            <v>783.69</v>
          </cell>
          <cell r="AM121"/>
          <cell r="AN121">
            <v>33.95428571428571</v>
          </cell>
          <cell r="AO121">
            <v>713.04</v>
          </cell>
        </row>
        <row r="122">
          <cell r="A122" t="str">
            <v>Véhicules usagés[...]</v>
          </cell>
          <cell r="C122"/>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row>
        <row r="123">
          <cell r="A123" t="str">
            <v>Véhicules usagés[...]</v>
          </cell>
          <cell r="C123"/>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row>
        <row r="124">
          <cell r="A124" t="str">
            <v>Véhicules usagés[...]</v>
          </cell>
          <cell r="C124"/>
          <cell r="D124"/>
          <cell r="E124"/>
          <cell r="F124"/>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row>
        <row r="125">
          <cell r="A125" t="str">
            <v>Véhicules usagésTOTAL VARIABLES</v>
          </cell>
          <cell r="C125" t="str">
            <v>% brut</v>
          </cell>
          <cell r="D125">
            <v>0.43406831945460911</v>
          </cell>
          <cell r="E125">
            <v>554847.42999999993</v>
          </cell>
          <cell r="F125" t="str">
            <v>% brut</v>
          </cell>
          <cell r="G125"/>
          <cell r="H125">
            <v>46277.8</v>
          </cell>
          <cell r="I125" t="str">
            <v>% brut</v>
          </cell>
          <cell r="J125"/>
          <cell r="K125">
            <v>26328.37</v>
          </cell>
          <cell r="L125" t="str">
            <v>% brut</v>
          </cell>
          <cell r="M125"/>
          <cell r="N125">
            <v>47644.65</v>
          </cell>
          <cell r="O125" t="str">
            <v>% brut</v>
          </cell>
          <cell r="P125"/>
          <cell r="Q125">
            <v>45539.3</v>
          </cell>
          <cell r="R125" t="str">
            <v>% brut</v>
          </cell>
          <cell r="S125"/>
          <cell r="T125">
            <v>55764.41</v>
          </cell>
          <cell r="U125" t="str">
            <v>% brut</v>
          </cell>
          <cell r="V125"/>
          <cell r="W125">
            <v>57573.38</v>
          </cell>
          <cell r="X125" t="str">
            <v>% brut</v>
          </cell>
          <cell r="Y125"/>
          <cell r="Z125">
            <v>52423.1899999999</v>
          </cell>
          <cell r="AA125" t="str">
            <v>% brut</v>
          </cell>
          <cell r="AB125"/>
          <cell r="AC125">
            <v>47334.51</v>
          </cell>
          <cell r="AD125" t="str">
            <v>% brut</v>
          </cell>
          <cell r="AE125"/>
          <cell r="AF125">
            <v>54468.93</v>
          </cell>
          <cell r="AG125" t="str">
            <v>% brut</v>
          </cell>
          <cell r="AH125"/>
          <cell r="AI125">
            <v>43257.799999999901</v>
          </cell>
          <cell r="AJ125" t="str">
            <v>% brut</v>
          </cell>
          <cell r="AK125"/>
          <cell r="AL125">
            <v>45702.85</v>
          </cell>
          <cell r="AM125" t="str">
            <v>% brut</v>
          </cell>
          <cell r="AN125"/>
          <cell r="AO125">
            <v>32532.240000000002</v>
          </cell>
        </row>
        <row r="126">
          <cell r="A126" t="str">
            <v>Véhicules usagésSalaires cadres</v>
          </cell>
          <cell r="C126"/>
          <cell r="D126"/>
          <cell r="E126">
            <v>127695.76999999999</v>
          </cell>
          <cell r="F126"/>
          <cell r="G126"/>
          <cell r="H126">
            <v>12489.2</v>
          </cell>
          <cell r="I126"/>
          <cell r="J126"/>
          <cell r="K126">
            <v>6449.93</v>
          </cell>
          <cell r="L126"/>
          <cell r="M126"/>
          <cell r="N126">
            <v>9449.93</v>
          </cell>
          <cell r="O126"/>
          <cell r="P126"/>
          <cell r="Q126">
            <v>9430.7000000000007</v>
          </cell>
          <cell r="R126"/>
          <cell r="S126"/>
          <cell r="T126">
            <v>7373.01</v>
          </cell>
          <cell r="U126"/>
          <cell r="V126"/>
          <cell r="W126">
            <v>8017.24</v>
          </cell>
          <cell r="X126"/>
          <cell r="Y126"/>
          <cell r="Z126">
            <v>12692.24</v>
          </cell>
          <cell r="AA126"/>
          <cell r="AB126"/>
          <cell r="AC126">
            <v>12758.11</v>
          </cell>
          <cell r="AD126"/>
          <cell r="AE126"/>
          <cell r="AF126">
            <v>12968.68</v>
          </cell>
          <cell r="AG126"/>
          <cell r="AH126"/>
          <cell r="AI126">
            <v>12338.4</v>
          </cell>
          <cell r="AJ126"/>
          <cell r="AK126"/>
          <cell r="AL126">
            <v>12013.87</v>
          </cell>
          <cell r="AM126"/>
          <cell r="AN126"/>
          <cell r="AO126">
            <v>11714.46</v>
          </cell>
        </row>
        <row r="127">
          <cell r="A127" t="str">
            <v>Véhicules usagésSalaires commis</v>
          </cell>
          <cell r="C127"/>
          <cell r="D127"/>
          <cell r="E127">
            <v>37718.229999999996</v>
          </cell>
          <cell r="F127"/>
          <cell r="G127"/>
          <cell r="H127">
            <v>5874.45</v>
          </cell>
          <cell r="I127"/>
          <cell r="J127"/>
          <cell r="K127">
            <v>5400.97</v>
          </cell>
          <cell r="L127"/>
          <cell r="M127"/>
          <cell r="N127">
            <v>5514.42</v>
          </cell>
          <cell r="O127"/>
          <cell r="P127"/>
          <cell r="Q127">
            <v>1983.51</v>
          </cell>
          <cell r="R127"/>
          <cell r="S127"/>
          <cell r="T127">
            <v>2166.67</v>
          </cell>
          <cell r="U127"/>
          <cell r="V127"/>
          <cell r="W127">
            <v>1931.75</v>
          </cell>
          <cell r="X127"/>
          <cell r="Y127"/>
          <cell r="Z127">
            <v>1911.65</v>
          </cell>
          <cell r="AA127"/>
          <cell r="AB127"/>
          <cell r="AC127">
            <v>2021.62</v>
          </cell>
          <cell r="AD127"/>
          <cell r="AE127"/>
          <cell r="AF127">
            <v>3121.3</v>
          </cell>
          <cell r="AG127"/>
          <cell r="AH127"/>
          <cell r="AI127">
            <v>3437.05</v>
          </cell>
          <cell r="AJ127"/>
          <cell r="AK127"/>
          <cell r="AL127">
            <v>1829.35</v>
          </cell>
          <cell r="AM127"/>
          <cell r="AN127"/>
          <cell r="AO127">
            <v>2525.4899999999998</v>
          </cell>
        </row>
        <row r="128">
          <cell r="A128" t="str">
            <v>Véhicules usagésSalaires autres</v>
          </cell>
          <cell r="C128"/>
          <cell r="D128"/>
          <cell r="E128">
            <v>58483.799999999996</v>
          </cell>
          <cell r="F128"/>
          <cell r="G128"/>
          <cell r="H128">
            <v>5161</v>
          </cell>
          <cell r="I128"/>
          <cell r="J128"/>
          <cell r="K128">
            <v>5999</v>
          </cell>
          <cell r="L128"/>
          <cell r="M128"/>
          <cell r="N128">
            <v>3236</v>
          </cell>
          <cell r="O128"/>
          <cell r="P128"/>
          <cell r="Q128">
            <v>4612.75</v>
          </cell>
          <cell r="R128"/>
          <cell r="S128"/>
          <cell r="T128">
            <v>5875.5</v>
          </cell>
          <cell r="U128"/>
          <cell r="V128"/>
          <cell r="W128">
            <v>5223.6000000000004</v>
          </cell>
          <cell r="X128"/>
          <cell r="Y128"/>
          <cell r="Z128">
            <v>5511.25</v>
          </cell>
          <cell r="AA128"/>
          <cell r="AB128"/>
          <cell r="AC128">
            <v>5127.5</v>
          </cell>
          <cell r="AD128"/>
          <cell r="AE128"/>
          <cell r="AF128">
            <v>3559.25</v>
          </cell>
          <cell r="AG128"/>
          <cell r="AH128"/>
          <cell r="AI128">
            <v>4478.2</v>
          </cell>
          <cell r="AJ128"/>
          <cell r="AK128"/>
          <cell r="AL128">
            <v>4999.6000000000004</v>
          </cell>
          <cell r="AM128"/>
          <cell r="AN128"/>
          <cell r="AO128">
            <v>4700.1499999999996</v>
          </cell>
        </row>
        <row r="129">
          <cell r="A129" t="str">
            <v>Véhicules usagésSalaires spécialistes</v>
          </cell>
          <cell r="C129"/>
          <cell r="D129"/>
          <cell r="E129">
            <v>0</v>
          </cell>
          <cell r="F129"/>
          <cell r="G129"/>
          <cell r="H129">
            <v>0</v>
          </cell>
          <cell r="I129"/>
          <cell r="J129"/>
          <cell r="K129">
            <v>0</v>
          </cell>
          <cell r="L129"/>
          <cell r="M129"/>
          <cell r="N129">
            <v>0</v>
          </cell>
          <cell r="O129"/>
          <cell r="P129"/>
          <cell r="Q129">
            <v>0</v>
          </cell>
          <cell r="R129"/>
          <cell r="S129"/>
          <cell r="T129">
            <v>0</v>
          </cell>
          <cell r="U129"/>
          <cell r="V129"/>
          <cell r="W129">
            <v>0</v>
          </cell>
          <cell r="X129"/>
          <cell r="Y129"/>
          <cell r="Z129">
            <v>0</v>
          </cell>
          <cell r="AA129"/>
          <cell r="AB129"/>
          <cell r="AC129">
            <v>0</v>
          </cell>
          <cell r="AD129"/>
          <cell r="AE129"/>
          <cell r="AF129">
            <v>0</v>
          </cell>
          <cell r="AG129"/>
          <cell r="AH129"/>
          <cell r="AI129">
            <v>0</v>
          </cell>
          <cell r="AJ129"/>
          <cell r="AK129"/>
          <cell r="AL129">
            <v>0</v>
          </cell>
          <cell r="AM129"/>
          <cell r="AN129"/>
          <cell r="AO129">
            <v>0</v>
          </cell>
        </row>
        <row r="130">
          <cell r="A130" t="str">
            <v>Véhicules usagés[...]</v>
          </cell>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v>
          </cell>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row>
        <row r="133">
          <cell r="A133" t="str">
            <v>Véhicules usagésSalaires en absences</v>
          </cell>
          <cell r="C133"/>
          <cell r="D133"/>
          <cell r="E133">
            <v>89342.469999999987</v>
          </cell>
          <cell r="F133"/>
          <cell r="G133"/>
          <cell r="H133">
            <v>8116.46</v>
          </cell>
          <cell r="I133"/>
          <cell r="J133"/>
          <cell r="K133">
            <v>6772.12</v>
          </cell>
          <cell r="L133"/>
          <cell r="M133"/>
          <cell r="N133">
            <v>7286.69</v>
          </cell>
          <cell r="O133"/>
          <cell r="P133"/>
          <cell r="Q133">
            <v>9038.93</v>
          </cell>
          <cell r="R133"/>
          <cell r="S133"/>
          <cell r="T133">
            <v>9327.2199999999993</v>
          </cell>
          <cell r="U133"/>
          <cell r="V133"/>
          <cell r="W133">
            <v>7889.47</v>
          </cell>
          <cell r="X133"/>
          <cell r="Y133"/>
          <cell r="Z133">
            <v>7271.51</v>
          </cell>
          <cell r="AA133"/>
          <cell r="AB133"/>
          <cell r="AC133">
            <v>7565.74</v>
          </cell>
          <cell r="AD133"/>
          <cell r="AE133"/>
          <cell r="AF133">
            <v>4173.8999999999996</v>
          </cell>
          <cell r="AG133"/>
          <cell r="AH133"/>
          <cell r="AI133">
            <v>7747.06</v>
          </cell>
          <cell r="AJ133"/>
          <cell r="AK133"/>
          <cell r="AL133">
            <v>7715.34</v>
          </cell>
          <cell r="AM133"/>
          <cell r="AN133"/>
          <cell r="AO133">
            <v>6438.03</v>
          </cell>
        </row>
        <row r="134">
          <cell r="A134" t="str">
            <v>Véhicules usagésDéduction à la source</v>
          </cell>
          <cell r="C134"/>
          <cell r="D134"/>
          <cell r="E134">
            <v>103016.16</v>
          </cell>
          <cell r="F134"/>
          <cell r="G134"/>
          <cell r="H134">
            <v>8563.31</v>
          </cell>
          <cell r="I134"/>
          <cell r="J134"/>
          <cell r="K134">
            <v>8042.92</v>
          </cell>
          <cell r="L134"/>
          <cell r="M134"/>
          <cell r="N134">
            <v>8838.65</v>
          </cell>
          <cell r="O134"/>
          <cell r="P134"/>
          <cell r="Q134">
            <v>10732.49</v>
          </cell>
          <cell r="R134"/>
          <cell r="S134"/>
          <cell r="T134">
            <v>11184.74</v>
          </cell>
          <cell r="U134"/>
          <cell r="V134"/>
          <cell r="W134">
            <v>8997.59</v>
          </cell>
          <cell r="X134"/>
          <cell r="Y134"/>
          <cell r="Z134">
            <v>8415.69</v>
          </cell>
          <cell r="AA134"/>
          <cell r="AB134"/>
          <cell r="AC134">
            <v>8319.08</v>
          </cell>
          <cell r="AD134"/>
          <cell r="AE134"/>
          <cell r="AF134">
            <v>4149.34</v>
          </cell>
          <cell r="AG134"/>
          <cell r="AH134"/>
          <cell r="AI134">
            <v>9111.51</v>
          </cell>
          <cell r="AJ134"/>
          <cell r="AK134"/>
          <cell r="AL134">
            <v>9209.24</v>
          </cell>
          <cell r="AM134"/>
          <cell r="AN134"/>
          <cell r="AO134">
            <v>7451.6</v>
          </cell>
        </row>
        <row r="135">
          <cell r="A135" t="str">
            <v>Véhicules usagésBénéfices marginaux</v>
          </cell>
          <cell r="C135"/>
          <cell r="D135"/>
          <cell r="E135">
            <v>50140.499999999985</v>
          </cell>
          <cell r="F135"/>
          <cell r="G135"/>
          <cell r="H135">
            <v>3861.82</v>
          </cell>
          <cell r="I135"/>
          <cell r="J135"/>
          <cell r="K135">
            <v>4219.8599999999997</v>
          </cell>
          <cell r="L135"/>
          <cell r="M135"/>
          <cell r="N135">
            <v>4841.78</v>
          </cell>
          <cell r="O135"/>
          <cell r="P135"/>
          <cell r="Q135">
            <v>4967.2199999999903</v>
          </cell>
          <cell r="R135"/>
          <cell r="S135"/>
          <cell r="T135">
            <v>6075.35</v>
          </cell>
          <cell r="U135"/>
          <cell r="V135"/>
          <cell r="W135">
            <v>4065.51</v>
          </cell>
          <cell r="X135"/>
          <cell r="Y135"/>
          <cell r="Z135">
            <v>3747.7599999999902</v>
          </cell>
          <cell r="AA135"/>
          <cell r="AB135"/>
          <cell r="AC135">
            <v>4530.37</v>
          </cell>
          <cell r="AD135"/>
          <cell r="AE135"/>
          <cell r="AF135">
            <v>2110.8200000000002</v>
          </cell>
          <cell r="AG135"/>
          <cell r="AH135"/>
          <cell r="AI135">
            <v>4529.3999999999996</v>
          </cell>
          <cell r="AJ135"/>
          <cell r="AK135"/>
          <cell r="AL135">
            <v>4277.1400000000003</v>
          </cell>
          <cell r="AM135"/>
          <cell r="AN135"/>
          <cell r="AO135">
            <v>2913.47</v>
          </cell>
        </row>
        <row r="136">
          <cell r="A136" t="str">
            <v>Véhicules usagésCsst</v>
          </cell>
          <cell r="C136"/>
          <cell r="D136"/>
          <cell r="E136">
            <v>13847.880000000001</v>
          </cell>
          <cell r="F136"/>
          <cell r="G136"/>
          <cell r="H136">
            <v>1542.62</v>
          </cell>
          <cell r="I136"/>
          <cell r="J136"/>
          <cell r="K136">
            <v>1459.12</v>
          </cell>
          <cell r="L136"/>
          <cell r="M136"/>
          <cell r="N136">
            <v>1030.8900000000001</v>
          </cell>
          <cell r="O136"/>
          <cell r="P136"/>
          <cell r="Q136">
            <v>1397.64</v>
          </cell>
          <cell r="R136"/>
          <cell r="S136"/>
          <cell r="T136">
            <v>1387.06</v>
          </cell>
          <cell r="U136"/>
          <cell r="V136"/>
          <cell r="W136">
            <v>1046.6500000000001</v>
          </cell>
          <cell r="X136"/>
          <cell r="Y136"/>
          <cell r="Z136">
            <v>805.56</v>
          </cell>
          <cell r="AA136"/>
          <cell r="AB136"/>
          <cell r="AC136">
            <v>668.49</v>
          </cell>
          <cell r="AD136"/>
          <cell r="AE136"/>
          <cell r="AF136">
            <v>465.04</v>
          </cell>
          <cell r="AG136"/>
          <cell r="AH136"/>
          <cell r="AI136">
            <v>1013.35</v>
          </cell>
          <cell r="AJ136"/>
          <cell r="AK136"/>
          <cell r="AL136">
            <v>458.92</v>
          </cell>
          <cell r="AM136"/>
          <cell r="AN136"/>
          <cell r="AO136">
            <v>2572.54</v>
          </cell>
        </row>
        <row r="137">
          <cell r="A137"/>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row>
        <row r="138">
          <cell r="A138" t="str">
            <v>Véhicules usagésTOTAL PERSONNEL</v>
          </cell>
          <cell r="C138" t="str">
            <v>% brut</v>
          </cell>
          <cell r="D138">
            <v>0.37570518728634655</v>
          </cell>
          <cell r="E138">
            <v>480244.80999999994</v>
          </cell>
          <cell r="F138"/>
          <cell r="G138"/>
          <cell r="H138">
            <v>45608.86</v>
          </cell>
          <cell r="I138"/>
          <cell r="J138"/>
          <cell r="K138">
            <v>38343.919999999998</v>
          </cell>
          <cell r="L138"/>
          <cell r="M138"/>
          <cell r="N138">
            <v>40198.359999999899</v>
          </cell>
          <cell r="O138"/>
          <cell r="P138"/>
          <cell r="Q138">
            <v>42163.24</v>
          </cell>
          <cell r="R138"/>
          <cell r="S138"/>
          <cell r="T138">
            <v>43389.549999999901</v>
          </cell>
          <cell r="U138"/>
          <cell r="V138"/>
          <cell r="W138">
            <v>37171.81</v>
          </cell>
          <cell r="X138"/>
          <cell r="Y138"/>
          <cell r="Z138">
            <v>40355.660000000003</v>
          </cell>
          <cell r="AA138"/>
          <cell r="AB138"/>
          <cell r="AC138">
            <v>40990.910000000003</v>
          </cell>
          <cell r="AD138"/>
          <cell r="AE138"/>
          <cell r="AF138">
            <v>30548.3299999999</v>
          </cell>
          <cell r="AG138"/>
          <cell r="AH138"/>
          <cell r="AI138">
            <v>42654.97</v>
          </cell>
          <cell r="AJ138"/>
          <cell r="AK138"/>
          <cell r="AL138">
            <v>40503.46</v>
          </cell>
          <cell r="AM138"/>
          <cell r="AN138"/>
          <cell r="AO138">
            <v>38315.74</v>
          </cell>
        </row>
        <row r="139">
          <cell r="A139" t="str">
            <v>Véhicules usagésPublicité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usagésService gratuit 2</v>
          </cell>
          <cell r="C140"/>
          <cell r="D140"/>
          <cell r="E140">
            <v>0</v>
          </cell>
          <cell r="F140"/>
          <cell r="G140"/>
          <cell r="H140">
            <v>0</v>
          </cell>
          <cell r="I140"/>
          <cell r="J140"/>
          <cell r="K140">
            <v>0</v>
          </cell>
          <cell r="L140"/>
          <cell r="M140"/>
          <cell r="N140">
            <v>0</v>
          </cell>
          <cell r="O140"/>
          <cell r="P140"/>
          <cell r="Q140">
            <v>0</v>
          </cell>
          <cell r="R140"/>
          <cell r="S140"/>
          <cell r="T140">
            <v>0</v>
          </cell>
          <cell r="U140"/>
          <cell r="V140"/>
          <cell r="W140">
            <v>0</v>
          </cell>
          <cell r="X140"/>
          <cell r="Y140"/>
          <cell r="Z140">
            <v>0</v>
          </cell>
          <cell r="AA140"/>
          <cell r="AB140"/>
          <cell r="AC140">
            <v>0</v>
          </cell>
          <cell r="AD140"/>
          <cell r="AE140"/>
          <cell r="AF140">
            <v>0</v>
          </cell>
          <cell r="AG140"/>
          <cell r="AH140"/>
          <cell r="AI140">
            <v>0</v>
          </cell>
          <cell r="AJ140"/>
          <cell r="AK140"/>
          <cell r="AL140">
            <v>0</v>
          </cell>
          <cell r="AM140"/>
          <cell r="AN140"/>
          <cell r="AO140">
            <v>0</v>
          </cell>
        </row>
        <row r="141">
          <cell r="A141" t="str">
            <v>Véhicules usagésFrais véhicules de cie</v>
          </cell>
          <cell r="C141"/>
          <cell r="D141"/>
          <cell r="E141">
            <v>24987.359999999997</v>
          </cell>
          <cell r="F141"/>
          <cell r="G141"/>
          <cell r="H141">
            <v>4220.58</v>
          </cell>
          <cell r="I141"/>
          <cell r="J141"/>
          <cell r="K141">
            <v>2944.73</v>
          </cell>
          <cell r="L141"/>
          <cell r="M141"/>
          <cell r="N141">
            <v>1624.37</v>
          </cell>
          <cell r="O141"/>
          <cell r="P141"/>
          <cell r="Q141">
            <v>1451.24</v>
          </cell>
          <cell r="R141"/>
          <cell r="S141"/>
          <cell r="T141">
            <v>1826.88</v>
          </cell>
          <cell r="U141"/>
          <cell r="V141"/>
          <cell r="W141">
            <v>1267.2</v>
          </cell>
          <cell r="X141"/>
          <cell r="Y141"/>
          <cell r="Z141">
            <v>1424.94</v>
          </cell>
          <cell r="AA141"/>
          <cell r="AB141"/>
          <cell r="AC141">
            <v>3713.41</v>
          </cell>
          <cell r="AD141"/>
          <cell r="AE141"/>
          <cell r="AF141">
            <v>1509.94</v>
          </cell>
          <cell r="AG141"/>
          <cell r="AH141"/>
          <cell r="AI141">
            <v>1820.43</v>
          </cell>
          <cell r="AJ141"/>
          <cell r="AK141"/>
          <cell r="AL141">
            <v>1509.94</v>
          </cell>
          <cell r="AM141"/>
          <cell r="AN141"/>
          <cell r="AO141">
            <v>1673.7</v>
          </cell>
        </row>
        <row r="142">
          <cell r="A142" t="str">
            <v>Véhicules usagésInformatique</v>
          </cell>
          <cell r="C142"/>
          <cell r="D142"/>
          <cell r="E142">
            <v>46060.800000000003</v>
          </cell>
          <cell r="F142"/>
          <cell r="G142"/>
          <cell r="H142">
            <v>3170.37</v>
          </cell>
          <cell r="I142"/>
          <cell r="J142"/>
          <cell r="K142">
            <v>2511.36</v>
          </cell>
          <cell r="L142"/>
          <cell r="M142"/>
          <cell r="N142">
            <v>3638.89</v>
          </cell>
          <cell r="O142"/>
          <cell r="P142"/>
          <cell r="Q142">
            <v>4372.5200000000004</v>
          </cell>
          <cell r="R142"/>
          <cell r="S142"/>
          <cell r="T142">
            <v>3875.95</v>
          </cell>
          <cell r="U142"/>
          <cell r="V142"/>
          <cell r="W142">
            <v>2298.7399999999998</v>
          </cell>
          <cell r="X142"/>
          <cell r="Y142"/>
          <cell r="Z142">
            <v>4055.32</v>
          </cell>
          <cell r="AA142"/>
          <cell r="AB142"/>
          <cell r="AC142">
            <v>2511.3200000000002</v>
          </cell>
          <cell r="AD142"/>
          <cell r="AE142"/>
          <cell r="AF142">
            <v>6179.12</v>
          </cell>
          <cell r="AG142"/>
          <cell r="AH142"/>
          <cell r="AI142">
            <v>4084.13</v>
          </cell>
          <cell r="AJ142"/>
          <cell r="AK142"/>
          <cell r="AL142">
            <v>3583.11</v>
          </cell>
          <cell r="AM142"/>
          <cell r="AN142"/>
          <cell r="AO142">
            <v>5779.97</v>
          </cell>
        </row>
        <row r="143">
          <cell r="A143" t="str">
            <v>Véhicules usagésFrais de déplacement</v>
          </cell>
          <cell r="C143"/>
          <cell r="D143"/>
          <cell r="E143">
            <v>7668.03</v>
          </cell>
          <cell r="F143"/>
          <cell r="G143"/>
          <cell r="H143">
            <v>568.97</v>
          </cell>
          <cell r="I143"/>
          <cell r="J143"/>
          <cell r="K143">
            <v>520.13</v>
          </cell>
          <cell r="L143"/>
          <cell r="M143"/>
          <cell r="N143">
            <v>427.26</v>
          </cell>
          <cell r="O143"/>
          <cell r="P143"/>
          <cell r="Q143">
            <v>626.44000000000005</v>
          </cell>
          <cell r="R143"/>
          <cell r="S143"/>
          <cell r="T143">
            <v>481.14</v>
          </cell>
          <cell r="U143"/>
          <cell r="V143"/>
          <cell r="W143">
            <v>747.43</v>
          </cell>
          <cell r="X143"/>
          <cell r="Y143"/>
          <cell r="Z143">
            <v>307.99</v>
          </cell>
          <cell r="AA143"/>
          <cell r="AB143"/>
          <cell r="AC143">
            <v>368.72</v>
          </cell>
          <cell r="AD143"/>
          <cell r="AE143"/>
          <cell r="AF143">
            <v>1355.33</v>
          </cell>
          <cell r="AG143"/>
          <cell r="AH143"/>
          <cell r="AI143">
            <v>1023.43</v>
          </cell>
          <cell r="AJ143"/>
          <cell r="AK143"/>
          <cell r="AL143">
            <v>676.61</v>
          </cell>
          <cell r="AM143"/>
          <cell r="AN143"/>
          <cell r="AO143">
            <v>564.58000000000004</v>
          </cell>
        </row>
        <row r="144">
          <cell r="A144" t="str">
            <v>Véhicules usagésServices extérieurs</v>
          </cell>
          <cell r="C144"/>
          <cell r="D144"/>
          <cell r="E144">
            <v>28850.18</v>
          </cell>
          <cell r="F144"/>
          <cell r="G144"/>
          <cell r="H144">
            <v>3378.54</v>
          </cell>
          <cell r="I144"/>
          <cell r="J144"/>
          <cell r="K144">
            <v>2466.6999999999998</v>
          </cell>
          <cell r="L144"/>
          <cell r="M144"/>
          <cell r="N144">
            <v>3463.94</v>
          </cell>
          <cell r="O144"/>
          <cell r="P144"/>
          <cell r="Q144">
            <v>5540.76</v>
          </cell>
          <cell r="R144"/>
          <cell r="S144"/>
          <cell r="T144">
            <v>2496.9699999999998</v>
          </cell>
          <cell r="U144"/>
          <cell r="V144"/>
          <cell r="W144">
            <v>1892.11</v>
          </cell>
          <cell r="X144"/>
          <cell r="Y144"/>
          <cell r="Z144">
            <v>2003.58</v>
          </cell>
          <cell r="AA144"/>
          <cell r="AB144"/>
          <cell r="AC144">
            <v>2495.13</v>
          </cell>
          <cell r="AD144"/>
          <cell r="AE144"/>
          <cell r="AF144">
            <v>1941.11</v>
          </cell>
          <cell r="AG144"/>
          <cell r="AH144"/>
          <cell r="AI144">
            <v>2971.04</v>
          </cell>
          <cell r="AJ144"/>
          <cell r="AK144"/>
          <cell r="AL144">
            <v>1969.12</v>
          </cell>
          <cell r="AM144"/>
          <cell r="AN144"/>
          <cell r="AO144">
            <v>-1768.82</v>
          </cell>
        </row>
        <row r="145">
          <cell r="A145" t="str">
            <v>Véhicules usagésFournitures autres</v>
          </cell>
          <cell r="C145"/>
          <cell r="D145"/>
          <cell r="E145">
            <v>434.82</v>
          </cell>
          <cell r="F145"/>
          <cell r="G145"/>
          <cell r="H145">
            <v>0</v>
          </cell>
          <cell r="I145"/>
          <cell r="J145"/>
          <cell r="K145">
            <v>165.98</v>
          </cell>
          <cell r="L145"/>
          <cell r="M145"/>
          <cell r="N145">
            <v>140.41</v>
          </cell>
          <cell r="O145"/>
          <cell r="P145"/>
          <cell r="Q145">
            <v>0</v>
          </cell>
          <cell r="R145"/>
          <cell r="S145"/>
          <cell r="T145">
            <v>0</v>
          </cell>
          <cell r="U145"/>
          <cell r="V145"/>
          <cell r="W145">
            <v>0</v>
          </cell>
          <cell r="X145"/>
          <cell r="Y145"/>
          <cell r="Z145">
            <v>0</v>
          </cell>
          <cell r="AA145"/>
          <cell r="AB145"/>
          <cell r="AC145">
            <v>118.81</v>
          </cell>
          <cell r="AD145"/>
          <cell r="AE145"/>
          <cell r="AF145">
            <v>9.6199999999999992</v>
          </cell>
          <cell r="AG145"/>
          <cell r="AH145"/>
          <cell r="AI145">
            <v>0</v>
          </cell>
          <cell r="AJ145"/>
          <cell r="AK145"/>
          <cell r="AL145">
            <v>0</v>
          </cell>
          <cell r="AM145"/>
          <cell r="AN145"/>
          <cell r="AO145">
            <v>0</v>
          </cell>
        </row>
        <row r="146">
          <cell r="A146" t="str">
            <v>Véhicules usagésUniformes</v>
          </cell>
          <cell r="C146"/>
          <cell r="D146"/>
          <cell r="E146">
            <v>0</v>
          </cell>
          <cell r="F146"/>
          <cell r="G146"/>
          <cell r="H146">
            <v>0</v>
          </cell>
          <cell r="I146"/>
          <cell r="J146"/>
          <cell r="K146">
            <v>0</v>
          </cell>
          <cell r="L146"/>
          <cell r="M146"/>
          <cell r="N146">
            <v>0</v>
          </cell>
          <cell r="O146"/>
          <cell r="P146"/>
          <cell r="Q146">
            <v>0</v>
          </cell>
          <cell r="R146"/>
          <cell r="S146"/>
          <cell r="T146">
            <v>0</v>
          </cell>
          <cell r="U146"/>
          <cell r="V146"/>
          <cell r="W146">
            <v>0</v>
          </cell>
          <cell r="X146"/>
          <cell r="Y146"/>
          <cell r="Z146">
            <v>0</v>
          </cell>
          <cell r="AA146"/>
          <cell r="AB146"/>
          <cell r="AC146">
            <v>0</v>
          </cell>
          <cell r="AD146"/>
          <cell r="AE146"/>
          <cell r="AF146">
            <v>0</v>
          </cell>
          <cell r="AG146"/>
          <cell r="AH146"/>
          <cell r="AI146">
            <v>0</v>
          </cell>
          <cell r="AJ146"/>
          <cell r="AK146"/>
          <cell r="AL146">
            <v>0</v>
          </cell>
          <cell r="AM146"/>
          <cell r="AN146"/>
          <cell r="AO146">
            <v>0</v>
          </cell>
        </row>
        <row r="147">
          <cell r="A147" t="str">
            <v>Véhicules usagésPapeterie</v>
          </cell>
          <cell r="C147"/>
          <cell r="D147"/>
          <cell r="E147">
            <v>3322.31</v>
          </cell>
          <cell r="F147"/>
          <cell r="G147"/>
          <cell r="H147">
            <v>60.66</v>
          </cell>
          <cell r="I147"/>
          <cell r="J147"/>
          <cell r="K147">
            <v>390.74</v>
          </cell>
          <cell r="L147"/>
          <cell r="M147"/>
          <cell r="N147">
            <v>203.63</v>
          </cell>
          <cell r="O147"/>
          <cell r="P147"/>
          <cell r="Q147">
            <v>21.8</v>
          </cell>
          <cell r="R147"/>
          <cell r="S147"/>
          <cell r="T147">
            <v>392.75</v>
          </cell>
          <cell r="U147"/>
          <cell r="V147"/>
          <cell r="W147">
            <v>902.6</v>
          </cell>
          <cell r="X147"/>
          <cell r="Y147"/>
          <cell r="Z147">
            <v>81.94</v>
          </cell>
          <cell r="AA147"/>
          <cell r="AB147"/>
          <cell r="AC147">
            <v>295.08999999999997</v>
          </cell>
          <cell r="AD147"/>
          <cell r="AE147"/>
          <cell r="AF147">
            <v>112.33</v>
          </cell>
          <cell r="AG147"/>
          <cell r="AH147"/>
          <cell r="AI147">
            <v>22.11</v>
          </cell>
          <cell r="AJ147"/>
          <cell r="AK147"/>
          <cell r="AL147">
            <v>739.62</v>
          </cell>
          <cell r="AM147"/>
          <cell r="AN147"/>
          <cell r="AO147">
            <v>99.04</v>
          </cell>
        </row>
        <row r="148">
          <cell r="A148" t="str">
            <v>Véhicules usagésTéléphone</v>
          </cell>
          <cell r="C148"/>
          <cell r="D148"/>
          <cell r="E148">
            <v>1027.9000000000001</v>
          </cell>
          <cell r="F148"/>
          <cell r="G148"/>
          <cell r="H148">
            <v>108.67</v>
          </cell>
          <cell r="I148"/>
          <cell r="J148"/>
          <cell r="K148">
            <v>94.99</v>
          </cell>
          <cell r="L148"/>
          <cell r="M148"/>
          <cell r="N148">
            <v>78.91</v>
          </cell>
          <cell r="O148"/>
          <cell r="P148"/>
          <cell r="Q148">
            <v>82.36</v>
          </cell>
          <cell r="R148"/>
          <cell r="S148"/>
          <cell r="T148">
            <v>70.14</v>
          </cell>
          <cell r="U148"/>
          <cell r="V148"/>
          <cell r="W148">
            <v>66.989999999999995</v>
          </cell>
          <cell r="X148"/>
          <cell r="Y148"/>
          <cell r="Z148">
            <v>66.8</v>
          </cell>
          <cell r="AA148"/>
          <cell r="AB148"/>
          <cell r="AC148">
            <v>107.71</v>
          </cell>
          <cell r="AD148"/>
          <cell r="AE148"/>
          <cell r="AF148">
            <v>82.14</v>
          </cell>
          <cell r="AG148"/>
          <cell r="AH148"/>
          <cell r="AI148">
            <v>93.69</v>
          </cell>
          <cell r="AJ148"/>
          <cell r="AK148"/>
          <cell r="AL148">
            <v>93.5</v>
          </cell>
          <cell r="AM148"/>
          <cell r="AN148"/>
          <cell r="AO148">
            <v>82</v>
          </cell>
        </row>
        <row r="149">
          <cell r="A149" t="str">
            <v>Véhicules usagésFrais postaux</v>
          </cell>
          <cell r="C149"/>
          <cell r="D149"/>
          <cell r="E149">
            <v>1159.54</v>
          </cell>
          <cell r="F149"/>
          <cell r="G149"/>
          <cell r="H149">
            <v>289.95999999999998</v>
          </cell>
          <cell r="I149"/>
          <cell r="J149"/>
          <cell r="K149">
            <v>167.97</v>
          </cell>
          <cell r="L149"/>
          <cell r="M149"/>
          <cell r="N149">
            <v>179.49</v>
          </cell>
          <cell r="O149"/>
          <cell r="P149"/>
          <cell r="Q149">
            <v>49.22</v>
          </cell>
          <cell r="R149"/>
          <cell r="S149"/>
          <cell r="T149">
            <v>79.180000000000007</v>
          </cell>
          <cell r="U149"/>
          <cell r="V149"/>
          <cell r="W149">
            <v>114.98</v>
          </cell>
          <cell r="X149"/>
          <cell r="Y149"/>
          <cell r="Z149">
            <v>20.48</v>
          </cell>
          <cell r="AA149"/>
          <cell r="AB149"/>
          <cell r="AC149">
            <v>76.55</v>
          </cell>
          <cell r="AD149"/>
          <cell r="AE149"/>
          <cell r="AF149">
            <v>29.32</v>
          </cell>
          <cell r="AG149"/>
          <cell r="AH149"/>
          <cell r="AI149">
            <v>32.72</v>
          </cell>
          <cell r="AJ149"/>
          <cell r="AK149"/>
          <cell r="AL149">
            <v>43.76</v>
          </cell>
          <cell r="AM149"/>
          <cell r="AN149"/>
          <cell r="AO149">
            <v>75.91</v>
          </cell>
        </row>
        <row r="150">
          <cell r="A150" t="str">
            <v>Véhicules usagésDivers</v>
          </cell>
          <cell r="C150"/>
          <cell r="D150"/>
          <cell r="E150">
            <v>748.55</v>
          </cell>
          <cell r="F150"/>
          <cell r="G150"/>
          <cell r="H150">
            <v>33.53</v>
          </cell>
          <cell r="I150"/>
          <cell r="J150"/>
          <cell r="K150">
            <v>26.7</v>
          </cell>
          <cell r="L150"/>
          <cell r="M150"/>
          <cell r="N150">
            <v>26.7</v>
          </cell>
          <cell r="O150"/>
          <cell r="P150"/>
          <cell r="Q150">
            <v>45.41</v>
          </cell>
          <cell r="R150"/>
          <cell r="S150"/>
          <cell r="T150">
            <v>41.88</v>
          </cell>
          <cell r="U150"/>
          <cell r="V150"/>
          <cell r="W150">
            <v>23.52</v>
          </cell>
          <cell r="X150"/>
          <cell r="Y150"/>
          <cell r="Z150">
            <v>23.52</v>
          </cell>
          <cell r="AA150"/>
          <cell r="AB150"/>
          <cell r="AC150">
            <v>23.52</v>
          </cell>
          <cell r="AD150"/>
          <cell r="AE150"/>
          <cell r="AF150">
            <v>50.52</v>
          </cell>
          <cell r="AG150"/>
          <cell r="AH150"/>
          <cell r="AI150">
            <v>23.52</v>
          </cell>
          <cell r="AJ150"/>
          <cell r="AK150"/>
          <cell r="AL150">
            <v>153.88999999999999</v>
          </cell>
          <cell r="AM150"/>
          <cell r="AN150"/>
          <cell r="AO150">
            <v>275.83999999999997</v>
          </cell>
        </row>
        <row r="151">
          <cell r="A151" t="str">
            <v>Véhicules usagésFormation</v>
          </cell>
          <cell r="C151"/>
          <cell r="D151"/>
          <cell r="E151">
            <v>4829.5999999999995</v>
          </cell>
          <cell r="F151"/>
          <cell r="G151"/>
          <cell r="H151">
            <v>38.28</v>
          </cell>
          <cell r="I151"/>
          <cell r="J151"/>
          <cell r="K151">
            <v>240.65</v>
          </cell>
          <cell r="L151"/>
          <cell r="M151"/>
          <cell r="N151">
            <v>254.99</v>
          </cell>
          <cell r="O151"/>
          <cell r="P151"/>
          <cell r="Q151">
            <v>1550.28</v>
          </cell>
          <cell r="R151"/>
          <cell r="S151"/>
          <cell r="T151">
            <v>-16.37</v>
          </cell>
          <cell r="U151"/>
          <cell r="V151"/>
          <cell r="W151">
            <v>438.28</v>
          </cell>
          <cell r="X151"/>
          <cell r="Y151"/>
          <cell r="Z151">
            <v>1426.22</v>
          </cell>
          <cell r="AA151"/>
          <cell r="AB151"/>
          <cell r="AC151">
            <v>157.62</v>
          </cell>
          <cell r="AD151"/>
          <cell r="AE151"/>
          <cell r="AF151">
            <v>256.98</v>
          </cell>
          <cell r="AG151"/>
          <cell r="AH151"/>
          <cell r="AI151">
            <v>229.23</v>
          </cell>
          <cell r="AJ151"/>
          <cell r="AK151"/>
          <cell r="AL151">
            <v>215.16</v>
          </cell>
          <cell r="AM151"/>
          <cell r="AN151"/>
          <cell r="AO151">
            <v>38.28</v>
          </cell>
        </row>
        <row r="152">
          <cell r="A152" t="str">
            <v>Véhicules usagésFrais bancaires</v>
          </cell>
          <cell r="C152"/>
          <cell r="D152"/>
          <cell r="E152">
            <v>10741.14</v>
          </cell>
          <cell r="F152"/>
          <cell r="G152"/>
          <cell r="H152">
            <v>622.85</v>
          </cell>
          <cell r="I152"/>
          <cell r="J152"/>
          <cell r="K152">
            <v>481.19</v>
          </cell>
          <cell r="L152"/>
          <cell r="M152"/>
          <cell r="N152">
            <v>871.03</v>
          </cell>
          <cell r="O152"/>
          <cell r="P152"/>
          <cell r="Q152">
            <v>1024.1300000000001</v>
          </cell>
          <cell r="R152"/>
          <cell r="S152"/>
          <cell r="T152">
            <v>1013.26</v>
          </cell>
          <cell r="U152"/>
          <cell r="V152"/>
          <cell r="W152">
            <v>795.62</v>
          </cell>
          <cell r="X152"/>
          <cell r="Y152"/>
          <cell r="Z152">
            <v>867.2</v>
          </cell>
          <cell r="AA152"/>
          <cell r="AB152"/>
          <cell r="AC152">
            <v>842.24</v>
          </cell>
          <cell r="AD152"/>
          <cell r="AE152"/>
          <cell r="AF152">
            <v>892.55</v>
          </cell>
          <cell r="AG152"/>
          <cell r="AH152"/>
          <cell r="AI152">
            <v>1032.32</v>
          </cell>
          <cell r="AJ152"/>
          <cell r="AK152"/>
          <cell r="AL152">
            <v>1412.89</v>
          </cell>
          <cell r="AM152"/>
          <cell r="AN152"/>
          <cell r="AO152">
            <v>885.86</v>
          </cell>
        </row>
        <row r="153">
          <cell r="A153" t="str">
            <v>Véhicules usagés[...]</v>
          </cell>
          <cell r="C153"/>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v>
          </cell>
          <cell r="C155"/>
          <cell r="D155"/>
          <cell r="E155"/>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row>
        <row r="156">
          <cell r="A156" t="str">
            <v>Véhicules usagésTOTAL SEMI-FIXES</v>
          </cell>
          <cell r="C156" t="str">
            <v>% brut</v>
          </cell>
          <cell r="D156">
            <v>0.10156880378900805</v>
          </cell>
          <cell r="E156">
            <v>129830.23</v>
          </cell>
          <cell r="F156"/>
          <cell r="G156"/>
          <cell r="H156">
            <v>12492.41</v>
          </cell>
          <cell r="I156"/>
          <cell r="J156"/>
          <cell r="K156">
            <v>10011.14</v>
          </cell>
          <cell r="L156"/>
          <cell r="M156"/>
          <cell r="N156">
            <v>10909.62</v>
          </cell>
          <cell r="O156"/>
          <cell r="P156"/>
          <cell r="Q156">
            <v>14764.16</v>
          </cell>
          <cell r="R156"/>
          <cell r="S156"/>
          <cell r="T156">
            <v>10261.779999999901</v>
          </cell>
          <cell r="U156"/>
          <cell r="V156"/>
          <cell r="W156">
            <v>8547.4699999999993</v>
          </cell>
          <cell r="X156"/>
          <cell r="Y156"/>
          <cell r="Z156">
            <v>10277.99</v>
          </cell>
          <cell r="AA156"/>
          <cell r="AB156"/>
          <cell r="AC156">
            <v>10710.119999999901</v>
          </cell>
          <cell r="AD156"/>
          <cell r="AE156"/>
          <cell r="AF156">
            <v>12418.96</v>
          </cell>
          <cell r="AG156"/>
          <cell r="AH156"/>
          <cell r="AI156">
            <v>11332.62</v>
          </cell>
          <cell r="AJ156"/>
          <cell r="AK156"/>
          <cell r="AL156">
            <v>10397.5999999999</v>
          </cell>
          <cell r="AM156"/>
          <cell r="AN156"/>
          <cell r="AO156">
            <v>7706.36</v>
          </cell>
        </row>
        <row r="157">
          <cell r="A157" t="str">
            <v>Véhicules usagés</v>
          </cell>
          <cell r="C157"/>
          <cell r="D157"/>
          <cell r="E157"/>
          <cell r="F157" t="str">
            <v>% brut</v>
          </cell>
          <cell r="G157">
            <v>0</v>
          </cell>
          <cell r="H157"/>
          <cell r="I157" t="str">
            <v>% brut</v>
          </cell>
          <cell r="J157">
            <v>0</v>
          </cell>
          <cell r="K157"/>
          <cell r="L157" t="str">
            <v>% brut</v>
          </cell>
          <cell r="M157">
            <v>0</v>
          </cell>
          <cell r="N157"/>
          <cell r="O157" t="str">
            <v>% brut</v>
          </cell>
          <cell r="P157">
            <v>0</v>
          </cell>
          <cell r="Q157"/>
          <cell r="R157" t="str">
            <v>% brut</v>
          </cell>
          <cell r="S157">
            <v>0</v>
          </cell>
          <cell r="T157"/>
          <cell r="U157" t="str">
            <v>% brut</v>
          </cell>
          <cell r="V157">
            <v>0</v>
          </cell>
          <cell r="W157"/>
          <cell r="X157" t="str">
            <v>% brut</v>
          </cell>
          <cell r="Y157">
            <v>0</v>
          </cell>
          <cell r="Z157"/>
          <cell r="AA157" t="str">
            <v>% brut</v>
          </cell>
          <cell r="AB157">
            <v>0</v>
          </cell>
          <cell r="AC157"/>
          <cell r="AD157" t="str">
            <v>% brut</v>
          </cell>
          <cell r="AE157">
            <v>0</v>
          </cell>
          <cell r="AF157"/>
          <cell r="AG157" t="str">
            <v>% brut</v>
          </cell>
          <cell r="AH157">
            <v>0</v>
          </cell>
          <cell r="AI157"/>
          <cell r="AJ157" t="str">
            <v>% brut</v>
          </cell>
          <cell r="AK157">
            <v>0</v>
          </cell>
          <cell r="AL157"/>
          <cell r="AM157" t="str">
            <v>% brut</v>
          </cell>
          <cell r="AN157">
            <v>0</v>
          </cell>
          <cell r="AO157"/>
        </row>
        <row r="158">
          <cell r="A158" t="str">
            <v>Véhicules usagésTOTAL DES DÉPENSES</v>
          </cell>
          <cell r="C158" t="str">
            <v>% brut</v>
          </cell>
          <cell r="D158">
            <v>0.91134231052996384</v>
          </cell>
          <cell r="E158">
            <v>1164922.47</v>
          </cell>
          <cell r="F158"/>
          <cell r="G158"/>
          <cell r="H158">
            <v>104379.07</v>
          </cell>
          <cell r="I158"/>
          <cell r="J158"/>
          <cell r="K158">
            <v>74683.429999999993</v>
          </cell>
          <cell r="L158"/>
          <cell r="M158"/>
          <cell r="N158">
            <v>98752.629999999888</v>
          </cell>
          <cell r="O158"/>
          <cell r="P158"/>
          <cell r="Q158">
            <v>102466.70000000001</v>
          </cell>
          <cell r="R158"/>
          <cell r="S158"/>
          <cell r="T158">
            <v>109415.7399999998</v>
          </cell>
          <cell r="U158"/>
          <cell r="V158"/>
          <cell r="W158">
            <v>103292.66</v>
          </cell>
          <cell r="X158"/>
          <cell r="Y158"/>
          <cell r="Z158">
            <v>103056.83999999991</v>
          </cell>
          <cell r="AA158"/>
          <cell r="AB158"/>
          <cell r="AC158">
            <v>99035.539999999921</v>
          </cell>
          <cell r="AD158"/>
          <cell r="AE158"/>
          <cell r="AF158">
            <v>97436.219999999885</v>
          </cell>
          <cell r="AG158"/>
          <cell r="AH158"/>
          <cell r="AI158">
            <v>97245.389999999898</v>
          </cell>
          <cell r="AJ158"/>
          <cell r="AK158"/>
          <cell r="AL158">
            <v>96603.909999999902</v>
          </cell>
          <cell r="AM158"/>
          <cell r="AN158"/>
          <cell r="AO158">
            <v>78554.34</v>
          </cell>
        </row>
        <row r="159">
          <cell r="A159" t="str">
            <v>Véhicules usagésProgramme used 1</v>
          </cell>
          <cell r="C159"/>
          <cell r="D159"/>
          <cell r="E159">
            <v>0</v>
          </cell>
          <cell r="F159"/>
          <cell r="G159"/>
          <cell r="H159">
            <v>0</v>
          </cell>
          <cell r="I159"/>
          <cell r="J159"/>
          <cell r="K159">
            <v>0</v>
          </cell>
          <cell r="L159"/>
          <cell r="M159"/>
          <cell r="N159">
            <v>0</v>
          </cell>
          <cell r="O159"/>
          <cell r="P159"/>
          <cell r="Q159">
            <v>0</v>
          </cell>
          <cell r="R159"/>
          <cell r="S159"/>
          <cell r="T159">
            <v>0</v>
          </cell>
          <cell r="U159"/>
          <cell r="V159"/>
          <cell r="W159">
            <v>0</v>
          </cell>
          <cell r="X159"/>
          <cell r="Y159"/>
          <cell r="Z159">
            <v>0</v>
          </cell>
          <cell r="AA159"/>
          <cell r="AB159"/>
          <cell r="AC159">
            <v>0</v>
          </cell>
          <cell r="AD159"/>
          <cell r="AE159"/>
          <cell r="AF159">
            <v>0</v>
          </cell>
          <cell r="AG159"/>
          <cell r="AH159"/>
          <cell r="AI159">
            <v>0</v>
          </cell>
          <cell r="AJ159"/>
          <cell r="AK159"/>
          <cell r="AL159">
            <v>0</v>
          </cell>
          <cell r="AM159"/>
          <cell r="AN159"/>
          <cell r="AO159">
            <v>0</v>
          </cell>
        </row>
        <row r="160">
          <cell r="A160" t="str">
            <v>Véhicules usagésProgramme used 2</v>
          </cell>
          <cell r="C160"/>
          <cell r="D160"/>
          <cell r="E160">
            <v>0</v>
          </cell>
          <cell r="F160"/>
          <cell r="G160"/>
          <cell r="H160">
            <v>0</v>
          </cell>
          <cell r="I160"/>
          <cell r="J160"/>
          <cell r="K160">
            <v>0</v>
          </cell>
          <cell r="L160"/>
          <cell r="M160"/>
          <cell r="N160">
            <v>0</v>
          </cell>
          <cell r="O160"/>
          <cell r="P160"/>
          <cell r="Q160">
            <v>0</v>
          </cell>
          <cell r="R160"/>
          <cell r="S160"/>
          <cell r="T160">
            <v>0</v>
          </cell>
          <cell r="U160"/>
          <cell r="V160"/>
          <cell r="W160">
            <v>0</v>
          </cell>
          <cell r="X160"/>
          <cell r="Y160"/>
          <cell r="Z160">
            <v>0</v>
          </cell>
          <cell r="AA160"/>
          <cell r="AB160"/>
          <cell r="AC160">
            <v>0</v>
          </cell>
          <cell r="AD160"/>
          <cell r="AE160"/>
          <cell r="AF160">
            <v>0</v>
          </cell>
          <cell r="AG160"/>
          <cell r="AH160"/>
          <cell r="AI160">
            <v>0</v>
          </cell>
          <cell r="AJ160"/>
          <cell r="AK160"/>
          <cell r="AL160">
            <v>0</v>
          </cell>
          <cell r="AM160"/>
          <cell r="AN160"/>
          <cell r="AO160">
            <v>0</v>
          </cell>
        </row>
        <row r="161">
          <cell r="A161" t="str">
            <v>Véhicules usagésProgramme used 3</v>
          </cell>
          <cell r="C161"/>
          <cell r="D161"/>
          <cell r="E161">
            <v>0</v>
          </cell>
          <cell r="F161"/>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row>
        <row r="162">
          <cell r="A162" t="str">
            <v>Véhicules usagés</v>
          </cell>
          <cell r="C162"/>
          <cell r="D162"/>
          <cell r="E162"/>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v>
          </cell>
          <cell r="C164"/>
          <cell r="D164"/>
          <cell r="E164"/>
          <cell r="F164"/>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row>
        <row r="165">
          <cell r="A165" t="str">
            <v>Véhicules usagésFrais administration</v>
          </cell>
          <cell r="C165"/>
          <cell r="D165"/>
          <cell r="E165">
            <v>142989</v>
          </cell>
          <cell r="F165"/>
          <cell r="G165"/>
          <cell r="H165">
            <v>11187</v>
          </cell>
          <cell r="I165"/>
          <cell r="J165"/>
          <cell r="K165">
            <v>8208</v>
          </cell>
          <cell r="L165"/>
          <cell r="M165"/>
          <cell r="N165">
            <v>14076</v>
          </cell>
          <cell r="O165"/>
          <cell r="P165"/>
          <cell r="Q165">
            <v>14505</v>
          </cell>
          <cell r="R165"/>
          <cell r="S165"/>
          <cell r="T165">
            <v>14061</v>
          </cell>
          <cell r="U165"/>
          <cell r="V165"/>
          <cell r="W165">
            <v>13986</v>
          </cell>
          <cell r="X165"/>
          <cell r="Y165"/>
          <cell r="Z165">
            <v>12504</v>
          </cell>
          <cell r="AA165"/>
          <cell r="AB165"/>
          <cell r="AC165">
            <v>13008</v>
          </cell>
          <cell r="AD165"/>
          <cell r="AE165"/>
          <cell r="AF165">
            <v>11052</v>
          </cell>
          <cell r="AG165"/>
          <cell r="AH165"/>
          <cell r="AI165">
            <v>7230</v>
          </cell>
          <cell r="AJ165"/>
          <cell r="AK165"/>
          <cell r="AL165">
            <v>12993</v>
          </cell>
          <cell r="AM165"/>
          <cell r="AN165"/>
          <cell r="AO165">
            <v>10179</v>
          </cell>
        </row>
        <row r="166">
          <cell r="A166" t="str">
            <v>Véhicules usagésAUTRES REVENUS</v>
          </cell>
          <cell r="C166"/>
          <cell r="D166"/>
          <cell r="E166">
            <v>142989</v>
          </cell>
          <cell r="F166"/>
          <cell r="G166"/>
          <cell r="H166">
            <v>11187</v>
          </cell>
          <cell r="I166"/>
          <cell r="J166"/>
          <cell r="K166">
            <v>8208</v>
          </cell>
          <cell r="L166"/>
          <cell r="M166"/>
          <cell r="N166">
            <v>14076</v>
          </cell>
          <cell r="O166"/>
          <cell r="P166"/>
          <cell r="Q166">
            <v>14505</v>
          </cell>
          <cell r="R166"/>
          <cell r="S166"/>
          <cell r="T166">
            <v>14061</v>
          </cell>
          <cell r="U166"/>
          <cell r="V166"/>
          <cell r="W166">
            <v>13986</v>
          </cell>
          <cell r="X166"/>
          <cell r="Y166"/>
          <cell r="Z166">
            <v>12504</v>
          </cell>
          <cell r="AA166"/>
          <cell r="AB166"/>
          <cell r="AC166">
            <v>13008</v>
          </cell>
          <cell r="AD166"/>
          <cell r="AE166"/>
          <cell r="AF166">
            <v>11052</v>
          </cell>
          <cell r="AG166"/>
          <cell r="AH166"/>
          <cell r="AI166">
            <v>7230</v>
          </cell>
          <cell r="AJ166"/>
          <cell r="AK166"/>
          <cell r="AL166">
            <v>12993</v>
          </cell>
          <cell r="AM166"/>
          <cell r="AN166"/>
          <cell r="AO166">
            <v>10179</v>
          </cell>
        </row>
        <row r="167">
          <cell r="A167" t="str">
            <v>Véhicules usagés</v>
          </cell>
          <cell r="C167"/>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row>
        <row r="168">
          <cell r="A168" t="str">
            <v>Véhicules usagésPROFIT DÉPARTEMENTAL</v>
          </cell>
          <cell r="C168"/>
          <cell r="D168"/>
          <cell r="E168">
            <v>256315.6099999994</v>
          </cell>
          <cell r="F168"/>
          <cell r="G168"/>
          <cell r="H168">
            <v>-4723.5100000000239</v>
          </cell>
          <cell r="I168"/>
          <cell r="J168"/>
          <cell r="K168">
            <v>-9236.2900000000809</v>
          </cell>
          <cell r="L168"/>
          <cell r="M168"/>
          <cell r="N168">
            <v>23566.819999999905</v>
          </cell>
          <cell r="O168"/>
          <cell r="P168"/>
          <cell r="Q168">
            <v>27225.83999999988</v>
          </cell>
          <cell r="R168"/>
          <cell r="S168"/>
          <cell r="T168">
            <v>24170.030000000101</v>
          </cell>
          <cell r="U168"/>
          <cell r="V168"/>
          <cell r="W168">
            <v>71886.769999999786</v>
          </cell>
          <cell r="X168"/>
          <cell r="Y168"/>
          <cell r="Z168">
            <v>42713.969999999972</v>
          </cell>
          <cell r="AA168"/>
          <cell r="AB168"/>
          <cell r="AC168">
            <v>19696.630000000063</v>
          </cell>
          <cell r="AD168"/>
          <cell r="AE168"/>
          <cell r="AF168">
            <v>45751.290000000212</v>
          </cell>
          <cell r="AG168"/>
          <cell r="AH168"/>
          <cell r="AI168">
            <v>-9089.7899999999499</v>
          </cell>
          <cell r="AJ168"/>
          <cell r="AK168"/>
          <cell r="AL168">
            <v>9484.7700000001496</v>
          </cell>
          <cell r="AM168"/>
          <cell r="AN168"/>
          <cell r="AO168">
            <v>14869.0799999999</v>
          </cell>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t="str">
            <v>Service</v>
          </cell>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cell r="D172"/>
          <cell r="E172"/>
          <cell r="F172"/>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row>
        <row r="173">
          <cell r="A173"/>
          <cell r="C173">
            <v>2025</v>
          </cell>
          <cell r="D173"/>
          <cell r="E173"/>
          <cell r="F173" t="str">
            <v>Janvier</v>
          </cell>
          <cell r="G173"/>
          <cell r="H173"/>
          <cell r="I173" t="str">
            <v>Février</v>
          </cell>
          <cell r="J173"/>
          <cell r="K173"/>
          <cell r="L173" t="str">
            <v>Mars</v>
          </cell>
          <cell r="M173"/>
          <cell r="N173"/>
          <cell r="O173" t="str">
            <v>Avril</v>
          </cell>
          <cell r="P173"/>
          <cell r="Q173"/>
          <cell r="R173" t="str">
            <v>Mai</v>
          </cell>
          <cell r="S173"/>
          <cell r="T173"/>
          <cell r="U173" t="str">
            <v>Juin</v>
          </cell>
          <cell r="V173"/>
          <cell r="W173"/>
          <cell r="X173" t="str">
            <v>Juillet</v>
          </cell>
          <cell r="Y173"/>
          <cell r="Z173"/>
          <cell r="AA173" t="str">
            <v>Août</v>
          </cell>
          <cell r="AB173"/>
          <cell r="AC173"/>
          <cell r="AD173" t="str">
            <v>Septembre</v>
          </cell>
          <cell r="AE173"/>
          <cell r="AF173"/>
          <cell r="AG173" t="str">
            <v>Octobre</v>
          </cell>
          <cell r="AH173"/>
          <cell r="AI173"/>
          <cell r="AJ173" t="str">
            <v>Novembre</v>
          </cell>
          <cell r="AK173"/>
          <cell r="AL173"/>
          <cell r="AM173" t="str">
            <v>Décembre</v>
          </cell>
          <cell r="AN173"/>
          <cell r="AO173"/>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5769</v>
          </cell>
          <cell r="D175">
            <v>1883986.12</v>
          </cell>
          <cell r="E175">
            <v>1486043.9099999997</v>
          </cell>
          <cell r="F175">
            <v>255</v>
          </cell>
          <cell r="G175">
            <v>97545.76</v>
          </cell>
          <cell r="H175">
            <v>78443</v>
          </cell>
          <cell r="I175">
            <v>248</v>
          </cell>
          <cell r="J175">
            <v>93892</v>
          </cell>
          <cell r="K175">
            <v>74019.72</v>
          </cell>
          <cell r="L175">
            <v>340</v>
          </cell>
          <cell r="M175">
            <v>122570.44</v>
          </cell>
          <cell r="N175">
            <v>95803</v>
          </cell>
          <cell r="O175">
            <v>776</v>
          </cell>
          <cell r="P175">
            <v>218088.11</v>
          </cell>
          <cell r="Q175">
            <v>171401.35</v>
          </cell>
          <cell r="R175">
            <v>670</v>
          </cell>
          <cell r="S175">
            <v>205475.49</v>
          </cell>
          <cell r="T175">
            <v>158789.87</v>
          </cell>
          <cell r="U175">
            <v>431</v>
          </cell>
          <cell r="V175">
            <v>140254.72</v>
          </cell>
          <cell r="W175">
            <v>109869.64</v>
          </cell>
          <cell r="X175">
            <v>402</v>
          </cell>
          <cell r="Y175">
            <v>136183.57999999999</v>
          </cell>
          <cell r="Z175">
            <v>107609.11</v>
          </cell>
          <cell r="AA175">
            <v>352</v>
          </cell>
          <cell r="AB175">
            <v>135526.82</v>
          </cell>
          <cell r="AC175">
            <v>108766.59</v>
          </cell>
          <cell r="AD175">
            <v>335</v>
          </cell>
          <cell r="AE175">
            <v>128621.11</v>
          </cell>
          <cell r="AF175">
            <v>102934.89</v>
          </cell>
          <cell r="AG175">
            <v>585</v>
          </cell>
          <cell r="AH175">
            <v>196053.04</v>
          </cell>
          <cell r="AI175">
            <v>155307.74</v>
          </cell>
          <cell r="AJ175">
            <v>1017</v>
          </cell>
          <cell r="AK175">
            <v>293278.63</v>
          </cell>
          <cell r="AL175">
            <v>230431.12</v>
          </cell>
          <cell r="AM175">
            <v>358</v>
          </cell>
          <cell r="AN175">
            <v>116496.42</v>
          </cell>
          <cell r="AO175">
            <v>92667.879999999903</v>
          </cell>
        </row>
        <row r="176">
          <cell r="A176" t="str">
            <v>Service% profit / ventes</v>
          </cell>
          <cell r="C176"/>
          <cell r="D176"/>
          <cell r="E176">
            <v>0.78877646402193213</v>
          </cell>
          <cell r="F176"/>
          <cell r="G176"/>
          <cell r="H176">
            <v>0.80416616775552319</v>
          </cell>
          <cell r="I176"/>
          <cell r="J176"/>
          <cell r="K176">
            <v>0.78834959314957609</v>
          </cell>
          <cell r="L176"/>
          <cell r="M176"/>
          <cell r="N176">
            <v>0.78161586105100056</v>
          </cell>
          <cell r="O176"/>
          <cell r="P176"/>
          <cell r="Q176">
            <v>0.78592707323659239</v>
          </cell>
          <cell r="R176"/>
          <cell r="S176"/>
          <cell r="T176">
            <v>0.77279226831385095</v>
          </cell>
          <cell r="U176"/>
          <cell r="V176"/>
          <cell r="W176">
            <v>0.78335787915016331</v>
          </cell>
          <cell r="X176"/>
          <cell r="Y176"/>
          <cell r="Z176">
            <v>0.79017683335979283</v>
          </cell>
          <cell r="AA176"/>
          <cell r="AB176"/>
          <cell r="AC176">
            <v>0.80254661033144581</v>
          </cell>
          <cell r="AD176"/>
          <cell r="AE176"/>
          <cell r="AF176">
            <v>0.80029545694326532</v>
          </cell>
          <cell r="AG176"/>
          <cell r="AH176"/>
          <cell r="AI176">
            <v>0.79217205711270777</v>
          </cell>
          <cell r="AJ176"/>
          <cell r="AK176"/>
          <cell r="AL176">
            <v>0.78570716182082545</v>
          </cell>
          <cell r="AM176"/>
          <cell r="AN176"/>
          <cell r="AO176">
            <v>0.79545689043491552</v>
          </cell>
        </row>
        <row r="177">
          <cell r="A177" t="str">
            <v>Service</v>
          </cell>
          <cell r="C177"/>
          <cell r="D177">
            <v>326.57065695961171</v>
          </cell>
          <cell r="E177"/>
          <cell r="F177"/>
          <cell r="G177">
            <v>382.53239215686273</v>
          </cell>
          <cell r="H177"/>
          <cell r="I177"/>
          <cell r="J177">
            <v>378.59677419354841</v>
          </cell>
          <cell r="K177"/>
          <cell r="L177"/>
          <cell r="M177">
            <v>360.50129411764709</v>
          </cell>
          <cell r="N177"/>
          <cell r="O177"/>
          <cell r="P177">
            <v>281.04137886597937</v>
          </cell>
          <cell r="Q177"/>
          <cell r="R177"/>
          <cell r="S177">
            <v>306.67983582089551</v>
          </cell>
          <cell r="T177"/>
          <cell r="U177"/>
          <cell r="V177">
            <v>325.41698375870072</v>
          </cell>
          <cell r="W177"/>
          <cell r="X177"/>
          <cell r="Y177">
            <v>338.76512437810942</v>
          </cell>
          <cell r="Z177"/>
          <cell r="AA177"/>
          <cell r="AB177">
            <v>385.01937500000003</v>
          </cell>
          <cell r="AC177"/>
          <cell r="AD177"/>
          <cell r="AE177">
            <v>383.94361194029852</v>
          </cell>
          <cell r="AF177"/>
          <cell r="AG177"/>
          <cell r="AH177">
            <v>335.13340170940171</v>
          </cell>
          <cell r="AI177"/>
          <cell r="AJ177"/>
          <cell r="AK177">
            <v>288.37623402163223</v>
          </cell>
          <cell r="AL177"/>
          <cell r="AM177"/>
          <cell r="AN177">
            <v>325.40899441340781</v>
          </cell>
          <cell r="AO177"/>
        </row>
        <row r="178">
          <cell r="A178" t="str">
            <v>ServiceM/O Garantie</v>
          </cell>
          <cell r="C178">
            <v>2393</v>
          </cell>
          <cell r="D178">
            <v>735468.68</v>
          </cell>
          <cell r="E178">
            <v>475971.92999999982</v>
          </cell>
          <cell r="F178">
            <v>231</v>
          </cell>
          <cell r="G178">
            <v>78219.08</v>
          </cell>
          <cell r="H178">
            <v>53780.83</v>
          </cell>
          <cell r="I178">
            <v>258</v>
          </cell>
          <cell r="J178">
            <v>67450.92</v>
          </cell>
          <cell r="K178">
            <v>45677.440000000002</v>
          </cell>
          <cell r="L178">
            <v>287</v>
          </cell>
          <cell r="M178">
            <v>83188.259999999995</v>
          </cell>
          <cell r="N178">
            <v>53154.959999999897</v>
          </cell>
          <cell r="O178">
            <v>192</v>
          </cell>
          <cell r="P178">
            <v>40008.99</v>
          </cell>
          <cell r="Q178">
            <v>23879.969999999899</v>
          </cell>
          <cell r="R178">
            <v>178</v>
          </cell>
          <cell r="S178">
            <v>42881.71</v>
          </cell>
          <cell r="T178">
            <v>25065.75</v>
          </cell>
          <cell r="U178">
            <v>230</v>
          </cell>
          <cell r="V178">
            <v>58666.38</v>
          </cell>
          <cell r="W178">
            <v>38054.239999999998</v>
          </cell>
          <cell r="X178">
            <v>211</v>
          </cell>
          <cell r="Y178">
            <v>68514.11</v>
          </cell>
          <cell r="Z178">
            <v>42536.59</v>
          </cell>
          <cell r="AA178">
            <v>170</v>
          </cell>
          <cell r="AB178">
            <v>70265.14</v>
          </cell>
          <cell r="AC178">
            <v>43801.95</v>
          </cell>
          <cell r="AD178">
            <v>175</v>
          </cell>
          <cell r="AE178">
            <v>71307.81</v>
          </cell>
          <cell r="AF178">
            <v>47482.42</v>
          </cell>
          <cell r="AG178">
            <v>153</v>
          </cell>
          <cell r="AH178">
            <v>63412.01</v>
          </cell>
          <cell r="AI178">
            <v>41882.21</v>
          </cell>
          <cell r="AJ178">
            <v>85</v>
          </cell>
          <cell r="AK178">
            <v>13968.22</v>
          </cell>
          <cell r="AL178">
            <v>7831.7699999999904</v>
          </cell>
          <cell r="AM178">
            <v>223</v>
          </cell>
          <cell r="AN178">
            <v>77586.05</v>
          </cell>
          <cell r="AO178">
            <v>52823.8</v>
          </cell>
        </row>
        <row r="179">
          <cell r="A179" t="str">
            <v>Service% profit / ventes</v>
          </cell>
          <cell r="C179"/>
          <cell r="D179"/>
          <cell r="E179">
            <v>0.64716818396671871</v>
          </cell>
          <cell r="F179"/>
          <cell r="G179"/>
          <cell r="H179">
            <v>0.68756663975081267</v>
          </cell>
          <cell r="I179"/>
          <cell r="J179"/>
          <cell r="K179">
            <v>0.67719521097710755</v>
          </cell>
          <cell r="L179"/>
          <cell r="M179"/>
          <cell r="N179">
            <v>0.63897189338976312</v>
          </cell>
          <cell r="O179"/>
          <cell r="P179"/>
          <cell r="Q179">
            <v>0.59686510456774589</v>
          </cell>
          <cell r="R179"/>
          <cell r="S179"/>
          <cell r="T179">
            <v>0.58453242652869952</v>
          </cell>
          <cell r="U179"/>
          <cell r="V179"/>
          <cell r="W179">
            <v>0.64865498774596286</v>
          </cell>
          <cell r="X179"/>
          <cell r="Y179"/>
          <cell r="Z179">
            <v>0.62084423193996097</v>
          </cell>
          <cell r="AA179"/>
          <cell r="AB179"/>
          <cell r="AC179">
            <v>0.62338095391256598</v>
          </cell>
          <cell r="AD179"/>
          <cell r="AE179"/>
          <cell r="AF179">
            <v>0.66587965609938093</v>
          </cell>
          <cell r="AG179"/>
          <cell r="AH179"/>
          <cell r="AI179">
            <v>0.66047756568511229</v>
          </cell>
          <cell r="AJ179"/>
          <cell r="AK179"/>
          <cell r="AL179">
            <v>0.56068489757463658</v>
          </cell>
          <cell r="AM179"/>
          <cell r="AN179"/>
          <cell r="AO179">
            <v>0.68084146570163062</v>
          </cell>
        </row>
        <row r="180">
          <cell r="A180" t="str">
            <v>Service</v>
          </cell>
          <cell r="C180"/>
          <cell r="D180">
            <v>307.34169661512749</v>
          </cell>
          <cell r="E180"/>
          <cell r="F180"/>
          <cell r="G180">
            <v>338.61073593073593</v>
          </cell>
          <cell r="H180"/>
          <cell r="I180"/>
          <cell r="J180">
            <v>261.43767441860467</v>
          </cell>
          <cell r="K180"/>
          <cell r="L180"/>
          <cell r="M180">
            <v>289.85456445993032</v>
          </cell>
          <cell r="N180"/>
          <cell r="O180"/>
          <cell r="P180">
            <v>208.38015625</v>
          </cell>
          <cell r="Q180"/>
          <cell r="R180"/>
          <cell r="S180">
            <v>240.9084831460674</v>
          </cell>
          <cell r="T180"/>
          <cell r="U180"/>
          <cell r="V180">
            <v>255.07121739130434</v>
          </cell>
          <cell r="W180"/>
          <cell r="X180"/>
          <cell r="Y180">
            <v>324.71142180094785</v>
          </cell>
          <cell r="Z180"/>
          <cell r="AA180"/>
          <cell r="AB180">
            <v>413.32435294117647</v>
          </cell>
          <cell r="AC180"/>
          <cell r="AD180"/>
          <cell r="AE180">
            <v>407.47319999999996</v>
          </cell>
          <cell r="AF180"/>
          <cell r="AG180"/>
          <cell r="AH180">
            <v>414.45758169934641</v>
          </cell>
          <cell r="AI180"/>
          <cell r="AJ180"/>
          <cell r="AK180">
            <v>164.33199999999999</v>
          </cell>
          <cell r="AL180"/>
          <cell r="AM180"/>
          <cell r="AN180">
            <v>347.91950672645743</v>
          </cell>
          <cell r="AO180"/>
        </row>
        <row r="181">
          <cell r="A181" t="str">
            <v>ServiceM/O Interne</v>
          </cell>
          <cell r="C181">
            <v>2993</v>
          </cell>
          <cell r="D181">
            <v>951380.34</v>
          </cell>
          <cell r="E181">
            <v>740320.39999999967</v>
          </cell>
          <cell r="F181">
            <v>222</v>
          </cell>
          <cell r="G181">
            <v>62165.19</v>
          </cell>
          <cell r="H181">
            <v>46690.44</v>
          </cell>
          <cell r="I181">
            <v>185</v>
          </cell>
          <cell r="J181">
            <v>64753.34</v>
          </cell>
          <cell r="K181">
            <v>48754.789999999899</v>
          </cell>
          <cell r="L181">
            <v>221</v>
          </cell>
          <cell r="M181">
            <v>68191.08</v>
          </cell>
          <cell r="N181">
            <v>53135.29</v>
          </cell>
          <cell r="O181">
            <v>220</v>
          </cell>
          <cell r="P181">
            <v>64988.78</v>
          </cell>
          <cell r="Q181">
            <v>50798.22</v>
          </cell>
          <cell r="R181">
            <v>247</v>
          </cell>
          <cell r="S181">
            <v>87494.05</v>
          </cell>
          <cell r="T181">
            <v>66932.45</v>
          </cell>
          <cell r="U181">
            <v>265</v>
          </cell>
          <cell r="V181">
            <v>79677.269999999902</v>
          </cell>
          <cell r="W181">
            <v>60336.739999999903</v>
          </cell>
          <cell r="X181">
            <v>249</v>
          </cell>
          <cell r="Y181">
            <v>93153.12</v>
          </cell>
          <cell r="Z181">
            <v>74412.23</v>
          </cell>
          <cell r="AA181">
            <v>324</v>
          </cell>
          <cell r="AB181">
            <v>96307.43</v>
          </cell>
          <cell r="AC181">
            <v>76952.459999999905</v>
          </cell>
          <cell r="AD181">
            <v>328</v>
          </cell>
          <cell r="AE181">
            <v>111311.12</v>
          </cell>
          <cell r="AF181">
            <v>87639.26</v>
          </cell>
          <cell r="AG181">
            <v>294</v>
          </cell>
          <cell r="AH181">
            <v>71140.160000000003</v>
          </cell>
          <cell r="AI181">
            <v>56333.78</v>
          </cell>
          <cell r="AJ181">
            <v>244</v>
          </cell>
          <cell r="AK181">
            <v>77153.63</v>
          </cell>
          <cell r="AL181">
            <v>59809.09</v>
          </cell>
          <cell r="AM181">
            <v>194</v>
          </cell>
          <cell r="AN181">
            <v>75045.17</v>
          </cell>
          <cell r="AO181">
            <v>58525.65</v>
          </cell>
        </row>
        <row r="182">
          <cell r="A182" t="str">
            <v>Service% profit / ventes</v>
          </cell>
          <cell r="C182"/>
          <cell r="D182"/>
          <cell r="E182">
            <v>0.77815398203414599</v>
          </cell>
          <cell r="F182"/>
          <cell r="G182"/>
          <cell r="H182">
            <v>0.75107049459673492</v>
          </cell>
          <cell r="I182"/>
          <cell r="J182"/>
          <cell r="K182">
            <v>0.75293089128684176</v>
          </cell>
          <cell r="L182"/>
          <cell r="M182"/>
          <cell r="N182">
            <v>0.77921173854410286</v>
          </cell>
          <cell r="O182"/>
          <cell r="P182"/>
          <cell r="Q182">
            <v>0.78164600104818094</v>
          </cell>
          <cell r="R182"/>
          <cell r="S182"/>
          <cell r="T182">
            <v>0.76499430532704793</v>
          </cell>
          <cell r="U182"/>
          <cell r="V182"/>
          <cell r="W182">
            <v>0.75726414823198607</v>
          </cell>
          <cell r="X182"/>
          <cell r="Y182"/>
          <cell r="Z182">
            <v>0.79881629300231705</v>
          </cell>
          <cell r="AA182"/>
          <cell r="AB182"/>
          <cell r="AC182">
            <v>0.79902931684502343</v>
          </cell>
          <cell r="AD182"/>
          <cell r="AE182"/>
          <cell r="AF182">
            <v>0.7873360720833642</v>
          </cell>
          <cell r="AG182"/>
          <cell r="AH182"/>
          <cell r="AI182">
            <v>0.79187030223153831</v>
          </cell>
          <cell r="AJ182"/>
          <cell r="AK182"/>
          <cell r="AL182">
            <v>0.77519476400527099</v>
          </cell>
          <cell r="AM182"/>
          <cell r="AN182"/>
          <cell r="AO182">
            <v>0.77987230890409076</v>
          </cell>
        </row>
        <row r="183">
          <cell r="A183" t="str">
            <v>Service</v>
          </cell>
          <cell r="C183"/>
          <cell r="D183">
            <v>317.86847310390908</v>
          </cell>
          <cell r="E183"/>
          <cell r="F183"/>
          <cell r="G183">
            <v>280.02337837837837</v>
          </cell>
          <cell r="H183"/>
          <cell r="I183"/>
          <cell r="J183">
            <v>350.01805405405406</v>
          </cell>
          <cell r="K183"/>
          <cell r="L183"/>
          <cell r="M183">
            <v>308.55692307692311</v>
          </cell>
          <cell r="N183"/>
          <cell r="O183"/>
          <cell r="P183">
            <v>295.40354545454545</v>
          </cell>
          <cell r="Q183"/>
          <cell r="R183"/>
          <cell r="S183">
            <v>354.22692307692307</v>
          </cell>
          <cell r="T183"/>
          <cell r="U183"/>
          <cell r="V183">
            <v>300.66894339622604</v>
          </cell>
          <cell r="W183"/>
          <cell r="X183"/>
          <cell r="Y183">
            <v>374.10891566265059</v>
          </cell>
          <cell r="Z183"/>
          <cell r="AA183"/>
          <cell r="AB183">
            <v>297.24515432098764</v>
          </cell>
          <cell r="AC183"/>
          <cell r="AD183"/>
          <cell r="AE183">
            <v>339.36317073170733</v>
          </cell>
          <cell r="AF183"/>
          <cell r="AG183"/>
          <cell r="AH183">
            <v>241.97333333333336</v>
          </cell>
          <cell r="AI183"/>
          <cell r="AJ183"/>
          <cell r="AK183">
            <v>316.20340163934429</v>
          </cell>
          <cell r="AL183"/>
          <cell r="AM183"/>
          <cell r="AN183">
            <v>386.8307731958763</v>
          </cell>
          <cell r="AO183"/>
        </row>
        <row r="184">
          <cell r="A184" t="str">
            <v>ServiceM/O Esthétique</v>
          </cell>
          <cell r="C184">
            <v>0</v>
          </cell>
          <cell r="D184">
            <v>131978.6</v>
          </cell>
          <cell r="E184">
            <v>104558.13999999988</v>
          </cell>
          <cell r="F184">
            <v>0</v>
          </cell>
          <cell r="G184">
            <v>3898.56</v>
          </cell>
          <cell r="H184">
            <v>2857.0299999999902</v>
          </cell>
          <cell r="I184">
            <v>0</v>
          </cell>
          <cell r="J184">
            <v>3769.71</v>
          </cell>
          <cell r="K184">
            <v>2857.41</v>
          </cell>
          <cell r="L184">
            <v>0</v>
          </cell>
          <cell r="M184">
            <v>8215.18</v>
          </cell>
          <cell r="N184">
            <v>6311.64</v>
          </cell>
          <cell r="O184">
            <v>0</v>
          </cell>
          <cell r="P184">
            <v>25065.34</v>
          </cell>
          <cell r="Q184">
            <v>20456.11</v>
          </cell>
          <cell r="R184">
            <v>0</v>
          </cell>
          <cell r="S184">
            <v>23911.63</v>
          </cell>
          <cell r="T184">
            <v>19209.34</v>
          </cell>
          <cell r="U184">
            <v>0</v>
          </cell>
          <cell r="V184">
            <v>9357.93</v>
          </cell>
          <cell r="W184">
            <v>7296.8</v>
          </cell>
          <cell r="X184">
            <v>0</v>
          </cell>
          <cell r="Y184">
            <v>8246.2000000000007</v>
          </cell>
          <cell r="Z184">
            <v>6572.43</v>
          </cell>
          <cell r="AA184">
            <v>0</v>
          </cell>
          <cell r="AB184">
            <v>5277.1</v>
          </cell>
          <cell r="AC184">
            <v>4045.75</v>
          </cell>
          <cell r="AD184">
            <v>0</v>
          </cell>
          <cell r="AE184">
            <v>8116.64</v>
          </cell>
          <cell r="AF184">
            <v>6178.8</v>
          </cell>
          <cell r="AG184">
            <v>0</v>
          </cell>
          <cell r="AH184">
            <v>12080.43</v>
          </cell>
          <cell r="AI184">
            <v>9484.86</v>
          </cell>
          <cell r="AJ184">
            <v>0</v>
          </cell>
          <cell r="AK184">
            <v>19444.009999999998</v>
          </cell>
          <cell r="AL184">
            <v>15555.9399999999</v>
          </cell>
          <cell r="AM184">
            <v>0</v>
          </cell>
          <cell r="AN184">
            <v>4595.87</v>
          </cell>
          <cell r="AO184">
            <v>3732.0299999999902</v>
          </cell>
        </row>
        <row r="185">
          <cell r="A185" t="str">
            <v>Service% profit / ventes</v>
          </cell>
          <cell r="C185"/>
          <cell r="D185">
            <v>0</v>
          </cell>
          <cell r="E185">
            <v>0.79223555940129597</v>
          </cell>
          <cell r="F185"/>
          <cell r="G185">
            <v>0</v>
          </cell>
          <cell r="H185">
            <v>0.73284238282852909</v>
          </cell>
          <cell r="I185"/>
          <cell r="J185">
            <v>0</v>
          </cell>
          <cell r="K185">
            <v>0.7579919940791201</v>
          </cell>
          <cell r="L185"/>
          <cell r="M185">
            <v>0</v>
          </cell>
          <cell r="N185">
            <v>0.768289921827641</v>
          </cell>
          <cell r="O185"/>
          <cell r="P185">
            <v>0</v>
          </cell>
          <cell r="Q185">
            <v>0.81611141121564679</v>
          </cell>
          <cell r="R185"/>
          <cell r="S185">
            <v>0</v>
          </cell>
          <cell r="T185">
            <v>0.80334715784745747</v>
          </cell>
          <cell r="U185"/>
          <cell r="V185">
            <v>0</v>
          </cell>
          <cell r="W185">
            <v>0.77974509319903007</v>
          </cell>
          <cell r="X185"/>
          <cell r="Y185">
            <v>0</v>
          </cell>
          <cell r="Z185">
            <v>0.79702529650020615</v>
          </cell>
          <cell r="AA185"/>
          <cell r="AB185">
            <v>0</v>
          </cell>
          <cell r="AC185">
            <v>0.76666161338614003</v>
          </cell>
          <cell r="AD185"/>
          <cell r="AE185">
            <v>0</v>
          </cell>
          <cell r="AF185">
            <v>0.76125096098878353</v>
          </cell>
          <cell r="AG185"/>
          <cell r="AH185">
            <v>0</v>
          </cell>
          <cell r="AI185">
            <v>0.78514258184518271</v>
          </cell>
          <cell r="AJ185"/>
          <cell r="AK185">
            <v>0</v>
          </cell>
          <cell r="AL185">
            <v>0.80003764655541232</v>
          </cell>
          <cell r="AM185"/>
          <cell r="AN185">
            <v>0</v>
          </cell>
          <cell r="AO185">
            <v>0.81203994020718395</v>
          </cell>
        </row>
        <row r="186">
          <cell r="A186" t="str">
            <v>Service</v>
          </cell>
          <cell r="C186"/>
          <cell r="D186">
            <v>0</v>
          </cell>
          <cell r="E186"/>
          <cell r="F186"/>
          <cell r="G186">
            <v>0</v>
          </cell>
          <cell r="H186"/>
          <cell r="I186"/>
          <cell r="J186">
            <v>0</v>
          </cell>
          <cell r="K186"/>
          <cell r="L186"/>
          <cell r="M186">
            <v>0</v>
          </cell>
          <cell r="N186"/>
          <cell r="O186"/>
          <cell r="P186">
            <v>0</v>
          </cell>
          <cell r="Q186"/>
          <cell r="R186"/>
          <cell r="S186">
            <v>0</v>
          </cell>
          <cell r="T186"/>
          <cell r="U186"/>
          <cell r="V186">
            <v>0</v>
          </cell>
          <cell r="W186"/>
          <cell r="X186"/>
          <cell r="Y186">
            <v>0</v>
          </cell>
          <cell r="Z186"/>
          <cell r="AA186"/>
          <cell r="AB186">
            <v>0</v>
          </cell>
          <cell r="AC186"/>
          <cell r="AD186"/>
          <cell r="AE186">
            <v>0</v>
          </cell>
          <cell r="AF186"/>
          <cell r="AG186"/>
          <cell r="AH186">
            <v>0</v>
          </cell>
          <cell r="AI186"/>
          <cell r="AJ186"/>
          <cell r="AK186">
            <v>0</v>
          </cell>
          <cell r="AL186"/>
          <cell r="AM186"/>
          <cell r="AN186">
            <v>0</v>
          </cell>
          <cell r="AO186"/>
        </row>
        <row r="187">
          <cell r="A187" t="str">
            <v>ServiceAjustement M/O</v>
          </cell>
          <cell r="C187"/>
          <cell r="D187"/>
          <cell r="E187">
            <v>-24239.17</v>
          </cell>
          <cell r="F187"/>
          <cell r="G187"/>
          <cell r="H187">
            <v>-3208.08</v>
          </cell>
          <cell r="I187"/>
          <cell r="J187"/>
          <cell r="K187">
            <v>-1540.85</v>
          </cell>
          <cell r="L187"/>
          <cell r="M187"/>
          <cell r="N187">
            <v>-634.37</v>
          </cell>
          <cell r="O187"/>
          <cell r="P187"/>
          <cell r="Q187">
            <v>-3279.28</v>
          </cell>
          <cell r="R187"/>
          <cell r="S187"/>
          <cell r="T187">
            <v>-1048.6300000000001</v>
          </cell>
          <cell r="U187"/>
          <cell r="V187"/>
          <cell r="W187">
            <v>-1952.1</v>
          </cell>
          <cell r="X187"/>
          <cell r="Y187"/>
          <cell r="Z187">
            <v>-1154.1300000000001</v>
          </cell>
          <cell r="AA187"/>
          <cell r="AB187"/>
          <cell r="AC187">
            <v>-2042.11</v>
          </cell>
          <cell r="AD187"/>
          <cell r="AE187"/>
          <cell r="AF187">
            <v>-1318.36</v>
          </cell>
          <cell r="AG187"/>
          <cell r="AH187"/>
          <cell r="AI187">
            <v>-310.10000000000002</v>
          </cell>
          <cell r="AJ187"/>
          <cell r="AK187"/>
          <cell r="AL187">
            <v>-5690.11</v>
          </cell>
          <cell r="AM187"/>
          <cell r="AN187"/>
          <cell r="AO187">
            <v>-2061.0500000000002</v>
          </cell>
        </row>
        <row r="188">
          <cell r="A188" t="str">
            <v>ServiceSous-total M/O</v>
          </cell>
          <cell r="C188">
            <v>11155</v>
          </cell>
          <cell r="D188">
            <v>3702813.74</v>
          </cell>
          <cell r="E188">
            <v>2782655.209999999</v>
          </cell>
          <cell r="F188">
            <v>708</v>
          </cell>
          <cell r="G188">
            <v>241828.59</v>
          </cell>
          <cell r="H188">
            <v>178563.22000000003</v>
          </cell>
          <cell r="I188">
            <v>691</v>
          </cell>
          <cell r="J188">
            <v>229865.96999999997</v>
          </cell>
          <cell r="K188">
            <v>169768.50999999989</v>
          </cell>
          <cell r="L188">
            <v>848</v>
          </cell>
          <cell r="M188">
            <v>282164.96000000002</v>
          </cell>
          <cell r="N188">
            <v>207770.51999999993</v>
          </cell>
          <cell r="O188">
            <v>1188</v>
          </cell>
          <cell r="P188">
            <v>348151.22000000003</v>
          </cell>
          <cell r="Q188">
            <v>263256.36999999988</v>
          </cell>
          <cell r="R188">
            <v>1095</v>
          </cell>
          <cell r="S188">
            <v>359762.88</v>
          </cell>
          <cell r="T188">
            <v>268948.78000000003</v>
          </cell>
          <cell r="U188">
            <v>926</v>
          </cell>
          <cell r="V188">
            <v>287956.29999999987</v>
          </cell>
          <cell r="W188">
            <v>213605.31999999989</v>
          </cell>
          <cell r="X188">
            <v>862</v>
          </cell>
          <cell r="Y188">
            <v>306097.01</v>
          </cell>
          <cell r="Z188">
            <v>229976.22999999998</v>
          </cell>
          <cell r="AA188">
            <v>846</v>
          </cell>
          <cell r="AB188">
            <v>307376.49</v>
          </cell>
          <cell r="AC188">
            <v>231524.6399999999</v>
          </cell>
          <cell r="AD188">
            <v>838</v>
          </cell>
          <cell r="AE188">
            <v>319356.68</v>
          </cell>
          <cell r="AF188">
            <v>242917.01</v>
          </cell>
          <cell r="AG188">
            <v>1032</v>
          </cell>
          <cell r="AH188">
            <v>342685.64</v>
          </cell>
          <cell r="AI188">
            <v>262698.49</v>
          </cell>
          <cell r="AJ188">
            <v>1346</v>
          </cell>
          <cell r="AK188">
            <v>403844.49</v>
          </cell>
          <cell r="AL188">
            <v>307937.80999999988</v>
          </cell>
          <cell r="AM188">
            <v>775</v>
          </cell>
          <cell r="AN188">
            <v>273723.51</v>
          </cell>
          <cell r="AO188">
            <v>205688.30999999991</v>
          </cell>
        </row>
        <row r="189">
          <cell r="A189" t="str">
            <v>Service% protit / ventes</v>
          </cell>
          <cell r="C189"/>
          <cell r="D189">
            <v>331.94206544150609</v>
          </cell>
          <cell r="E189">
            <v>0.751497484180773</v>
          </cell>
          <cell r="F189"/>
          <cell r="G189">
            <v>341.56580508474576</v>
          </cell>
          <cell r="H189">
            <v>0.73838754962761033</v>
          </cell>
          <cell r="I189"/>
          <cell r="J189">
            <v>332.65697539797389</v>
          </cell>
          <cell r="K189">
            <v>0.73855434103621298</v>
          </cell>
          <cell r="L189"/>
          <cell r="M189">
            <v>332.74169811320758</v>
          </cell>
          <cell r="N189">
            <v>0.73634415839585443</v>
          </cell>
          <cell r="O189"/>
          <cell r="P189">
            <v>293.0565824915825</v>
          </cell>
          <cell r="Q189">
            <v>0.75615524196640715</v>
          </cell>
          <cell r="R189"/>
          <cell r="S189">
            <v>328.55057534246578</v>
          </cell>
          <cell r="T189">
            <v>0.74757234542930062</v>
          </cell>
          <cell r="U189"/>
          <cell r="V189">
            <v>310.96792656587456</v>
          </cell>
          <cell r="W189">
            <v>0.74179769638656967</v>
          </cell>
          <cell r="X189"/>
          <cell r="Y189">
            <v>355.100939675174</v>
          </cell>
          <cell r="Z189">
            <v>0.75131811970329265</v>
          </cell>
          <cell r="AA189"/>
          <cell r="AB189">
            <v>363.32918439716309</v>
          </cell>
          <cell r="AC189">
            <v>0.75322819907273941</v>
          </cell>
          <cell r="AD189"/>
          <cell r="AE189">
            <v>381.09389021479711</v>
          </cell>
          <cell r="AF189">
            <v>0.76064483761542112</v>
          </cell>
          <cell r="AG189"/>
          <cell r="AH189">
            <v>332.05972868217054</v>
          </cell>
          <cell r="AI189">
            <v>0.76658738895507839</v>
          </cell>
          <cell r="AJ189"/>
          <cell r="AK189">
            <v>300.03305349182762</v>
          </cell>
          <cell r="AL189">
            <v>0.76251581394610557</v>
          </cell>
          <cell r="AM189"/>
          <cell r="AN189">
            <v>353.19162580645161</v>
          </cell>
          <cell r="AO189">
            <v>0.75144553714074436</v>
          </cell>
        </row>
        <row r="190">
          <cell r="A190" t="str">
            <v>Service</v>
          </cell>
          <cell r="C190"/>
          <cell r="D190"/>
          <cell r="E190"/>
          <cell r="F190"/>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row>
        <row r="191">
          <cell r="A191" t="str">
            <v>ServiceSous-traitement</v>
          </cell>
          <cell r="C191">
            <v>0</v>
          </cell>
          <cell r="D191">
            <v>209131.22999999975</v>
          </cell>
          <cell r="E191">
            <v>43424.569999999927</v>
          </cell>
          <cell r="F191">
            <v>0</v>
          </cell>
          <cell r="G191">
            <v>8944.15</v>
          </cell>
          <cell r="H191">
            <v>2262.1499999999901</v>
          </cell>
          <cell r="I191">
            <v>0</v>
          </cell>
          <cell r="J191">
            <v>19410.400000000001</v>
          </cell>
          <cell r="K191">
            <v>3435.9</v>
          </cell>
          <cell r="L191">
            <v>0</v>
          </cell>
          <cell r="M191">
            <v>18065.2</v>
          </cell>
          <cell r="N191">
            <v>2649.47</v>
          </cell>
          <cell r="O191">
            <v>0</v>
          </cell>
          <cell r="P191">
            <v>18629.919999999998</v>
          </cell>
          <cell r="Q191">
            <v>3102.9199999999901</v>
          </cell>
          <cell r="R191">
            <v>0</v>
          </cell>
          <cell r="S191">
            <v>26364.6</v>
          </cell>
          <cell r="T191">
            <v>6412.0199999999904</v>
          </cell>
          <cell r="U191">
            <v>0</v>
          </cell>
          <cell r="V191">
            <v>17923.73</v>
          </cell>
          <cell r="W191">
            <v>3694.53</v>
          </cell>
          <cell r="X191">
            <v>0</v>
          </cell>
          <cell r="Y191">
            <v>22735.4899999999</v>
          </cell>
          <cell r="Z191">
            <v>4126.45999999999</v>
          </cell>
          <cell r="AA191">
            <v>0</v>
          </cell>
          <cell r="AB191">
            <v>17632.02</v>
          </cell>
          <cell r="AC191">
            <v>3914.47999999999</v>
          </cell>
          <cell r="AD191">
            <v>0</v>
          </cell>
          <cell r="AE191">
            <v>21348.949999999899</v>
          </cell>
          <cell r="AF191">
            <v>4287.1999999999898</v>
          </cell>
          <cell r="AG191">
            <v>0</v>
          </cell>
          <cell r="AH191">
            <v>12464.83</v>
          </cell>
          <cell r="AI191">
            <v>3483.22999999999</v>
          </cell>
          <cell r="AJ191">
            <v>0</v>
          </cell>
          <cell r="AK191">
            <v>15758.84</v>
          </cell>
          <cell r="AL191">
            <v>3314.11</v>
          </cell>
          <cell r="AM191">
            <v>0</v>
          </cell>
          <cell r="AN191">
            <v>9853.1</v>
          </cell>
          <cell r="AO191">
            <v>2742.1</v>
          </cell>
        </row>
        <row r="192">
          <cell r="A192" t="str">
            <v>Service% profit / ventes</v>
          </cell>
          <cell r="C192"/>
          <cell r="D192"/>
          <cell r="E192">
            <v>0.20764268445224551</v>
          </cell>
          <cell r="F192"/>
          <cell r="G192"/>
          <cell r="H192">
            <v>0.25291950604585012</v>
          </cell>
          <cell r="I192"/>
          <cell r="J192"/>
          <cell r="K192">
            <v>0.1770133536660759</v>
          </cell>
          <cell r="L192"/>
          <cell r="M192"/>
          <cell r="N192">
            <v>0.14666153709895266</v>
          </cell>
          <cell r="O192"/>
          <cell r="P192"/>
          <cell r="Q192">
            <v>0.16655573400207785</v>
          </cell>
          <cell r="R192"/>
          <cell r="S192"/>
          <cell r="T192">
            <v>0.24320566213786635</v>
          </cell>
          <cell r="U192"/>
          <cell r="V192"/>
          <cell r="W192">
            <v>0.20612506436997211</v>
          </cell>
          <cell r="X192"/>
          <cell r="Y192"/>
          <cell r="Z192">
            <v>0.18149861735990772</v>
          </cell>
          <cell r="AA192"/>
          <cell r="AB192"/>
          <cell r="AC192">
            <v>0.22200973002526028</v>
          </cell>
          <cell r="AD192"/>
          <cell r="AE192"/>
          <cell r="AF192">
            <v>0.2008154967808726</v>
          </cell>
          <cell r="AG192"/>
          <cell r="AH192"/>
          <cell r="AI192">
            <v>0.27944464545444986</v>
          </cell>
          <cell r="AJ192"/>
          <cell r="AK192"/>
          <cell r="AL192">
            <v>0.2103016465678946</v>
          </cell>
          <cell r="AM192"/>
          <cell r="AN192"/>
          <cell r="AO192">
            <v>0.27829820056631921</v>
          </cell>
        </row>
        <row r="193">
          <cell r="A193" t="str">
            <v>Service</v>
          </cell>
          <cell r="C193"/>
          <cell r="D193"/>
          <cell r="E193"/>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ServiceM.O. Recond. MCPA</v>
          </cell>
          <cell r="C194">
            <v>0</v>
          </cell>
          <cell r="D194">
            <v>118491</v>
          </cell>
          <cell r="E194">
            <v>86816.589999999982</v>
          </cell>
          <cell r="F194">
            <v>0</v>
          </cell>
          <cell r="G194">
            <v>4029.9</v>
          </cell>
          <cell r="H194">
            <v>3229.1</v>
          </cell>
          <cell r="I194">
            <v>0</v>
          </cell>
          <cell r="J194">
            <v>6923.95</v>
          </cell>
          <cell r="K194">
            <v>5337.95</v>
          </cell>
          <cell r="L194">
            <v>0</v>
          </cell>
          <cell r="M194">
            <v>11580</v>
          </cell>
          <cell r="N194">
            <v>8610.2900000000009</v>
          </cell>
          <cell r="O194">
            <v>0</v>
          </cell>
          <cell r="P194">
            <v>10458.5</v>
          </cell>
          <cell r="Q194">
            <v>7042.3899999999903</v>
          </cell>
          <cell r="R194">
            <v>0</v>
          </cell>
          <cell r="S194">
            <v>13699.1</v>
          </cell>
          <cell r="T194">
            <v>8680.98</v>
          </cell>
          <cell r="U194">
            <v>0</v>
          </cell>
          <cell r="V194">
            <v>12017.6</v>
          </cell>
          <cell r="W194">
            <v>9481.08</v>
          </cell>
          <cell r="X194">
            <v>0</v>
          </cell>
          <cell r="Y194">
            <v>8810.2999999999993</v>
          </cell>
          <cell r="Z194">
            <v>7200.49</v>
          </cell>
          <cell r="AA194">
            <v>0</v>
          </cell>
          <cell r="AB194">
            <v>8876.7999999999993</v>
          </cell>
          <cell r="AC194">
            <v>3659.7999999999902</v>
          </cell>
          <cell r="AD194">
            <v>0</v>
          </cell>
          <cell r="AE194">
            <v>6714.85</v>
          </cell>
          <cell r="AF194">
            <v>5309.21</v>
          </cell>
          <cell r="AG194">
            <v>0</v>
          </cell>
          <cell r="AH194">
            <v>18540.5</v>
          </cell>
          <cell r="AI194">
            <v>14606.44</v>
          </cell>
          <cell r="AJ194">
            <v>0</v>
          </cell>
          <cell r="AK194">
            <v>7849.8</v>
          </cell>
          <cell r="AL194">
            <v>6357.09</v>
          </cell>
          <cell r="AM194">
            <v>0</v>
          </cell>
          <cell r="AN194">
            <v>8989.7000000000007</v>
          </cell>
          <cell r="AO194">
            <v>7301.77</v>
          </cell>
        </row>
        <row r="195">
          <cell r="A195" t="str">
            <v>Service% profit / ventes</v>
          </cell>
          <cell r="C195"/>
          <cell r="D195"/>
          <cell r="E195">
            <v>0.73268509844629537</v>
          </cell>
          <cell r="F195"/>
          <cell r="G195"/>
          <cell r="H195">
            <v>0.80128539169706436</v>
          </cell>
          <cell r="I195"/>
          <cell r="J195"/>
          <cell r="K195">
            <v>0.77093999812245895</v>
          </cell>
          <cell r="L195"/>
          <cell r="M195"/>
          <cell r="N195">
            <v>0.74354835924006912</v>
          </cell>
          <cell r="O195"/>
          <cell r="P195"/>
          <cell r="Q195">
            <v>0.67336520533537225</v>
          </cell>
          <cell r="R195"/>
          <cell r="S195"/>
          <cell r="T195">
            <v>0.63368980443970768</v>
          </cell>
          <cell r="U195"/>
          <cell r="V195"/>
          <cell r="W195">
            <v>0.78893289841565706</v>
          </cell>
          <cell r="X195"/>
          <cell r="Y195"/>
          <cell r="Z195">
            <v>0.81728090984415969</v>
          </cell>
          <cell r="AA195"/>
          <cell r="AB195"/>
          <cell r="AC195">
            <v>0.41228821196827581</v>
          </cell>
          <cell r="AD195"/>
          <cell r="AE195"/>
          <cell r="AF195">
            <v>0.79066695458573155</v>
          </cell>
          <cell r="AG195"/>
          <cell r="AH195"/>
          <cell r="AI195">
            <v>0.78781262641244842</v>
          </cell>
          <cell r="AJ195"/>
          <cell r="AK195"/>
          <cell r="AL195">
            <v>0.80984101505770845</v>
          </cell>
          <cell r="AM195"/>
          <cell r="AN195"/>
          <cell r="AO195">
            <v>0.81223733828715083</v>
          </cell>
        </row>
        <row r="196">
          <cell r="A196" t="str">
            <v>Service</v>
          </cell>
          <cell r="C196"/>
          <cell r="D196"/>
          <cell r="E196"/>
          <cell r="F196"/>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row>
        <row r="197">
          <cell r="A197" t="str">
            <v>ServiceTotal Mécanique</v>
          </cell>
          <cell r="C197"/>
          <cell r="D197">
            <v>4030435.9699999997</v>
          </cell>
          <cell r="E197">
            <v>2912896.3699999987</v>
          </cell>
          <cell r="F197"/>
          <cell r="G197">
            <v>254802.63999999998</v>
          </cell>
          <cell r="H197">
            <v>184054.47000000003</v>
          </cell>
          <cell r="I197"/>
          <cell r="J197">
            <v>256200.31999999998</v>
          </cell>
          <cell r="K197">
            <v>178542.3599999999</v>
          </cell>
          <cell r="L197"/>
          <cell r="M197">
            <v>311810.16000000003</v>
          </cell>
          <cell r="N197">
            <v>219030.27999999994</v>
          </cell>
          <cell r="O197"/>
          <cell r="P197">
            <v>377239.64</v>
          </cell>
          <cell r="Q197">
            <v>273401.67999999988</v>
          </cell>
          <cell r="R197"/>
          <cell r="S197">
            <v>399826.57999999996</v>
          </cell>
          <cell r="T197">
            <v>284041.78000000003</v>
          </cell>
          <cell r="U197"/>
          <cell r="V197">
            <v>317897.62999999983</v>
          </cell>
          <cell r="W197">
            <v>226780.92999999988</v>
          </cell>
          <cell r="X197"/>
          <cell r="Y197">
            <v>337642.79999999987</v>
          </cell>
          <cell r="Z197">
            <v>241303.17999999996</v>
          </cell>
          <cell r="AA197"/>
          <cell r="AB197">
            <v>333885.31</v>
          </cell>
          <cell r="AC197">
            <v>239098.91999999987</v>
          </cell>
          <cell r="AD197"/>
          <cell r="AE197">
            <v>347420.47999999986</v>
          </cell>
          <cell r="AF197">
            <v>252513.41999999998</v>
          </cell>
          <cell r="AG197"/>
          <cell r="AH197">
            <v>373690.97000000003</v>
          </cell>
          <cell r="AI197">
            <v>280788.15999999997</v>
          </cell>
          <cell r="AJ197"/>
          <cell r="AK197">
            <v>427453.13</v>
          </cell>
          <cell r="AL197">
            <v>317609.00999999989</v>
          </cell>
          <cell r="AM197"/>
          <cell r="AN197">
            <v>292566.31</v>
          </cell>
          <cell r="AO197">
            <v>215732.17999999991</v>
          </cell>
        </row>
        <row r="198">
          <cell r="A198" t="str">
            <v>Service</v>
          </cell>
          <cell r="C198"/>
          <cell r="D198"/>
          <cell r="E198">
            <v>0.72272488427598047</v>
          </cell>
          <cell r="F198"/>
          <cell r="G198"/>
          <cell r="H198">
            <v>0.72234129913253664</v>
          </cell>
          <cell r="I198"/>
          <cell r="J198"/>
          <cell r="K198">
            <v>0.69688578062665929</v>
          </cell>
          <cell r="L198"/>
          <cell r="M198"/>
          <cell r="N198">
            <v>0.70244754051631908</v>
          </cell>
          <cell r="O198"/>
          <cell r="P198"/>
          <cell r="Q198">
            <v>0.72474271261630896</v>
          </cell>
          <cell r="R198"/>
          <cell r="S198"/>
          <cell r="T198">
            <v>0.71041244931740166</v>
          </cell>
          <cell r="U198"/>
          <cell r="V198"/>
          <cell r="W198">
            <v>0.71337722775724999</v>
          </cell>
          <cell r="X198"/>
          <cell r="Y198"/>
          <cell r="Z198">
            <v>0.71467000036725215</v>
          </cell>
          <cell r="AA198"/>
          <cell r="AB198"/>
          <cell r="AC198">
            <v>0.71611093042697771</v>
          </cell>
          <cell r="AD198"/>
          <cell r="AE198"/>
          <cell r="AF198">
            <v>0.72682364609017891</v>
          </cell>
          <cell r="AG198"/>
          <cell r="AH198"/>
          <cell r="AI198">
            <v>0.75139134349433157</v>
          </cell>
          <cell r="AJ198"/>
          <cell r="AK198"/>
          <cell r="AL198">
            <v>0.74302651614692794</v>
          </cell>
          <cell r="AM198"/>
          <cell r="AN198"/>
          <cell r="AO198">
            <v>0.73737875013701992</v>
          </cell>
        </row>
        <row r="199">
          <cell r="A199" t="str">
            <v>Service</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ServiceDEPENSES</v>
          </cell>
          <cell r="C200"/>
          <cell r="D200"/>
          <cell r="E200"/>
          <cell r="F200"/>
          <cell r="G200"/>
          <cell r="H200"/>
          <cell r="I200"/>
          <cell r="J200"/>
          <cell r="K200"/>
          <cell r="L200"/>
          <cell r="M200"/>
          <cell r="N200"/>
          <cell r="O200"/>
          <cell r="P200"/>
          <cell r="Q200"/>
          <cell r="R200"/>
          <cell r="S200"/>
          <cell r="T200"/>
          <cell r="U200"/>
          <cell r="V200"/>
          <cell r="W200"/>
          <cell r="X200"/>
          <cell r="Y200"/>
          <cell r="Z200"/>
          <cell r="AA200"/>
          <cell r="AB200"/>
          <cell r="AC200"/>
          <cell r="AD200"/>
          <cell r="AE200"/>
          <cell r="AF200"/>
          <cell r="AG200"/>
          <cell r="AH200"/>
          <cell r="AI200"/>
          <cell r="AJ200"/>
          <cell r="AK200"/>
          <cell r="AL200"/>
          <cell r="AM200"/>
          <cell r="AN200"/>
          <cell r="AO200"/>
        </row>
        <row r="201">
          <cell r="A201" t="str">
            <v>ServiceSalaires cadres</v>
          </cell>
          <cell r="C201"/>
          <cell r="D201"/>
          <cell r="E201">
            <v>183673.44999999998</v>
          </cell>
          <cell r="F201"/>
          <cell r="G201"/>
          <cell r="H201">
            <v>14849.23</v>
          </cell>
          <cell r="I201"/>
          <cell r="J201"/>
          <cell r="K201">
            <v>14675.88</v>
          </cell>
          <cell r="L201"/>
          <cell r="M201"/>
          <cell r="N201">
            <v>17089</v>
          </cell>
          <cell r="O201"/>
          <cell r="P201"/>
          <cell r="Q201">
            <v>14201.22</v>
          </cell>
          <cell r="R201"/>
          <cell r="S201"/>
          <cell r="T201">
            <v>16126.1</v>
          </cell>
          <cell r="U201"/>
          <cell r="V201"/>
          <cell r="W201">
            <v>16198.75</v>
          </cell>
          <cell r="X201"/>
          <cell r="Y201"/>
          <cell r="Z201">
            <v>13348.82</v>
          </cell>
          <cell r="AA201"/>
          <cell r="AB201"/>
          <cell r="AC201">
            <v>15957.95</v>
          </cell>
          <cell r="AD201"/>
          <cell r="AE201"/>
          <cell r="AF201">
            <v>15047.38</v>
          </cell>
          <cell r="AG201"/>
          <cell r="AH201"/>
          <cell r="AI201">
            <v>16024.81</v>
          </cell>
          <cell r="AJ201"/>
          <cell r="AK201"/>
          <cell r="AL201">
            <v>13027.88</v>
          </cell>
          <cell r="AM201"/>
          <cell r="AN201"/>
          <cell r="AO201">
            <v>17126.43</v>
          </cell>
        </row>
        <row r="202">
          <cell r="A202" t="str">
            <v>ServiceSalaires commis</v>
          </cell>
          <cell r="C202"/>
          <cell r="D202"/>
          <cell r="E202">
            <v>108261.98</v>
          </cell>
          <cell r="F202"/>
          <cell r="G202"/>
          <cell r="H202">
            <v>9106.5</v>
          </cell>
          <cell r="I202"/>
          <cell r="J202"/>
          <cell r="K202">
            <v>8467.49</v>
          </cell>
          <cell r="L202"/>
          <cell r="M202"/>
          <cell r="N202">
            <v>8555.6299999999992</v>
          </cell>
          <cell r="O202"/>
          <cell r="P202"/>
          <cell r="Q202">
            <v>7986.65</v>
          </cell>
          <cell r="R202"/>
          <cell r="S202"/>
          <cell r="T202">
            <v>6435.82</v>
          </cell>
          <cell r="U202"/>
          <cell r="V202"/>
          <cell r="W202">
            <v>8522.5</v>
          </cell>
          <cell r="X202"/>
          <cell r="Y202"/>
          <cell r="Z202">
            <v>8258.5</v>
          </cell>
          <cell r="AA202"/>
          <cell r="AB202"/>
          <cell r="AC202">
            <v>8950.11</v>
          </cell>
          <cell r="AD202"/>
          <cell r="AE202"/>
          <cell r="AF202">
            <v>11197.86</v>
          </cell>
          <cell r="AG202"/>
          <cell r="AH202"/>
          <cell r="AI202">
            <v>13008.31</v>
          </cell>
          <cell r="AJ202"/>
          <cell r="AK202"/>
          <cell r="AL202">
            <v>8512.83</v>
          </cell>
          <cell r="AM202"/>
          <cell r="AN202"/>
          <cell r="AO202">
            <v>9259.7800000000007</v>
          </cell>
        </row>
        <row r="203">
          <cell r="A203" t="str">
            <v>ServiceSalaires autres</v>
          </cell>
          <cell r="C203"/>
          <cell r="D203"/>
          <cell r="E203">
            <v>228367.15999999997</v>
          </cell>
          <cell r="F203"/>
          <cell r="G203"/>
          <cell r="H203">
            <v>16262.27</v>
          </cell>
          <cell r="I203"/>
          <cell r="J203"/>
          <cell r="K203">
            <v>14529.05</v>
          </cell>
          <cell r="L203"/>
          <cell r="M203"/>
          <cell r="N203">
            <v>16309.16</v>
          </cell>
          <cell r="O203"/>
          <cell r="P203"/>
          <cell r="Q203">
            <v>24058.41</v>
          </cell>
          <cell r="R203"/>
          <cell r="S203"/>
          <cell r="T203">
            <v>23882.37</v>
          </cell>
          <cell r="U203"/>
          <cell r="V203"/>
          <cell r="W203">
            <v>15014.9</v>
          </cell>
          <cell r="X203"/>
          <cell r="Y203"/>
          <cell r="Z203">
            <v>14236.65</v>
          </cell>
          <cell r="AA203"/>
          <cell r="AB203"/>
          <cell r="AC203">
            <v>16216.28</v>
          </cell>
          <cell r="AD203"/>
          <cell r="AE203"/>
          <cell r="AF203">
            <v>17080.45</v>
          </cell>
          <cell r="AG203"/>
          <cell r="AH203"/>
          <cell r="AI203">
            <v>24939.74</v>
          </cell>
          <cell r="AJ203"/>
          <cell r="AK203"/>
          <cell r="AL203">
            <v>30609.24</v>
          </cell>
          <cell r="AM203"/>
          <cell r="AN203"/>
          <cell r="AO203">
            <v>15228.64</v>
          </cell>
        </row>
        <row r="204">
          <cell r="A204" t="str">
            <v>ServiceSalaires spécialistes</v>
          </cell>
          <cell r="C204"/>
          <cell r="D204"/>
          <cell r="E204">
            <v>274785.39</v>
          </cell>
          <cell r="F204"/>
          <cell r="G204"/>
          <cell r="H204">
            <v>15854.86</v>
          </cell>
          <cell r="I204"/>
          <cell r="J204"/>
          <cell r="K204">
            <v>14700.61</v>
          </cell>
          <cell r="L204"/>
          <cell r="M204"/>
          <cell r="N204">
            <v>16437.28</v>
          </cell>
          <cell r="O204"/>
          <cell r="P204"/>
          <cell r="Q204">
            <v>24877.040000000001</v>
          </cell>
          <cell r="R204"/>
          <cell r="S204"/>
          <cell r="T204">
            <v>30524.63</v>
          </cell>
          <cell r="U204"/>
          <cell r="V204"/>
          <cell r="W204">
            <v>23505.88</v>
          </cell>
          <cell r="X204"/>
          <cell r="Y204"/>
          <cell r="Z204">
            <v>23437.83</v>
          </cell>
          <cell r="AA204"/>
          <cell r="AB204"/>
          <cell r="AC204">
            <v>27254.48</v>
          </cell>
          <cell r="AD204"/>
          <cell r="AE204"/>
          <cell r="AF204">
            <v>20452.490000000002</v>
          </cell>
          <cell r="AG204"/>
          <cell r="AH204"/>
          <cell r="AI204">
            <v>30312.31</v>
          </cell>
          <cell r="AJ204"/>
          <cell r="AK204"/>
          <cell r="AL204">
            <v>32534.71</v>
          </cell>
          <cell r="AM204"/>
          <cell r="AN204"/>
          <cell r="AO204">
            <v>14893.27</v>
          </cell>
        </row>
        <row r="205">
          <cell r="A205" t="str">
            <v>Service[...]</v>
          </cell>
          <cell r="C205"/>
          <cell r="D205"/>
          <cell r="E205"/>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v>
          </cell>
          <cell r="C207"/>
          <cell r="D207"/>
          <cell r="E207"/>
          <cell r="F207"/>
          <cell r="G207"/>
          <cell r="H207"/>
          <cell r="I207"/>
          <cell r="J207"/>
          <cell r="K207"/>
          <cell r="L207"/>
          <cell r="M207"/>
          <cell r="N207"/>
          <cell r="O207"/>
          <cell r="P207"/>
          <cell r="Q207"/>
          <cell r="R207"/>
          <cell r="S207"/>
          <cell r="T207"/>
          <cell r="U207"/>
          <cell r="V207"/>
          <cell r="W207"/>
          <cell r="X207"/>
          <cell r="Y207"/>
          <cell r="Z207"/>
          <cell r="AA207"/>
          <cell r="AB207"/>
          <cell r="AC207"/>
          <cell r="AD207"/>
          <cell r="AE207"/>
          <cell r="AF207"/>
          <cell r="AG207"/>
          <cell r="AH207"/>
          <cell r="AI207"/>
          <cell r="AJ207"/>
          <cell r="AK207"/>
          <cell r="AL207"/>
          <cell r="AM207"/>
          <cell r="AN207"/>
          <cell r="AO207"/>
        </row>
        <row r="208">
          <cell r="A208" t="str">
            <v>ServiceSalaires en absences</v>
          </cell>
          <cell r="C208"/>
          <cell r="D208"/>
          <cell r="E208">
            <v>196239.24</v>
          </cell>
          <cell r="F208"/>
          <cell r="G208"/>
          <cell r="H208">
            <v>15632.41</v>
          </cell>
          <cell r="I208"/>
          <cell r="J208"/>
          <cell r="K208">
            <v>12747.9</v>
          </cell>
          <cell r="L208"/>
          <cell r="M208"/>
          <cell r="N208">
            <v>13993.31</v>
          </cell>
          <cell r="O208"/>
          <cell r="P208"/>
          <cell r="Q208">
            <v>17889.96</v>
          </cell>
          <cell r="R208"/>
          <cell r="S208"/>
          <cell r="T208">
            <v>20248.400000000001</v>
          </cell>
          <cell r="U208"/>
          <cell r="V208"/>
          <cell r="W208">
            <v>15666.38</v>
          </cell>
          <cell r="X208"/>
          <cell r="Y208"/>
          <cell r="Z208">
            <v>15719.95</v>
          </cell>
          <cell r="AA208"/>
          <cell r="AB208"/>
          <cell r="AC208">
            <v>15814.18</v>
          </cell>
          <cell r="AD208"/>
          <cell r="AE208"/>
          <cell r="AF208">
            <v>13494.11</v>
          </cell>
          <cell r="AG208"/>
          <cell r="AH208"/>
          <cell r="AI208">
            <v>20141.89</v>
          </cell>
          <cell r="AJ208"/>
          <cell r="AK208"/>
          <cell r="AL208">
            <v>20321.88</v>
          </cell>
          <cell r="AM208"/>
          <cell r="AN208"/>
          <cell r="AO208">
            <v>14568.87</v>
          </cell>
        </row>
        <row r="209">
          <cell r="A209" t="str">
            <v>ServiceDéduction à la source</v>
          </cell>
          <cell r="C209"/>
          <cell r="D209"/>
          <cell r="E209">
            <v>245070.75</v>
          </cell>
          <cell r="F209"/>
          <cell r="G209"/>
          <cell r="H209">
            <v>18756.32</v>
          </cell>
          <cell r="I209"/>
          <cell r="J209"/>
          <cell r="K209">
            <v>15622.95</v>
          </cell>
          <cell r="L209"/>
          <cell r="M209"/>
          <cell r="N209">
            <v>16705.810000000001</v>
          </cell>
          <cell r="O209"/>
          <cell r="P209"/>
          <cell r="Q209">
            <v>22915.759999999998</v>
          </cell>
          <cell r="R209"/>
          <cell r="S209"/>
          <cell r="T209">
            <v>24326.74</v>
          </cell>
          <cell r="U209"/>
          <cell r="V209"/>
          <cell r="W209">
            <v>19320.64</v>
          </cell>
          <cell r="X209"/>
          <cell r="Y209"/>
          <cell r="Z209">
            <v>19588.689999999999</v>
          </cell>
          <cell r="AA209"/>
          <cell r="AB209"/>
          <cell r="AC209">
            <v>19763.599999999999</v>
          </cell>
          <cell r="AD209"/>
          <cell r="AE209"/>
          <cell r="AF209">
            <v>16543.66</v>
          </cell>
          <cell r="AG209"/>
          <cell r="AH209"/>
          <cell r="AI209">
            <v>24695.16</v>
          </cell>
          <cell r="AJ209"/>
          <cell r="AK209"/>
          <cell r="AL209">
            <v>28350.55</v>
          </cell>
          <cell r="AM209"/>
          <cell r="AN209"/>
          <cell r="AO209">
            <v>18480.87</v>
          </cell>
        </row>
        <row r="210">
          <cell r="A210" t="str">
            <v>ServiceBénéfices marginaux</v>
          </cell>
          <cell r="C210"/>
          <cell r="D210"/>
          <cell r="E210">
            <v>124140.50999999997</v>
          </cell>
          <cell r="F210"/>
          <cell r="G210"/>
          <cell r="H210">
            <v>9703.1299999999992</v>
          </cell>
          <cell r="I210"/>
          <cell r="J210"/>
          <cell r="K210">
            <v>8530.35</v>
          </cell>
          <cell r="L210"/>
          <cell r="M210"/>
          <cell r="N210">
            <v>8464.64</v>
          </cell>
          <cell r="O210"/>
          <cell r="P210"/>
          <cell r="Q210">
            <v>11908.5</v>
          </cell>
          <cell r="R210"/>
          <cell r="S210"/>
          <cell r="T210">
            <v>12104.1</v>
          </cell>
          <cell r="U210"/>
          <cell r="V210"/>
          <cell r="W210">
            <v>9714.61</v>
          </cell>
          <cell r="X210"/>
          <cell r="Y210"/>
          <cell r="Z210">
            <v>9363.9599999999991</v>
          </cell>
          <cell r="AA210"/>
          <cell r="AB210"/>
          <cell r="AC210">
            <v>11229.07</v>
          </cell>
          <cell r="AD210"/>
          <cell r="AE210"/>
          <cell r="AF210">
            <v>7246.2999999999902</v>
          </cell>
          <cell r="AG210"/>
          <cell r="AH210"/>
          <cell r="AI210">
            <v>12507.22</v>
          </cell>
          <cell r="AJ210"/>
          <cell r="AK210"/>
          <cell r="AL210">
            <v>14431.68</v>
          </cell>
          <cell r="AM210"/>
          <cell r="AN210"/>
          <cell r="AO210">
            <v>8936.9500000000007</v>
          </cell>
        </row>
        <row r="211">
          <cell r="A211" t="str">
            <v>ServiceCsst</v>
          </cell>
          <cell r="C211"/>
          <cell r="D211"/>
          <cell r="E211">
            <v>50164.719999999994</v>
          </cell>
          <cell r="F211"/>
          <cell r="G211"/>
          <cell r="H211">
            <v>4046.96</v>
          </cell>
          <cell r="I211"/>
          <cell r="J211"/>
          <cell r="K211">
            <v>4013.11</v>
          </cell>
          <cell r="L211"/>
          <cell r="M211"/>
          <cell r="N211">
            <v>3790.27</v>
          </cell>
          <cell r="O211"/>
          <cell r="P211"/>
          <cell r="Q211">
            <v>4529.1000000000004</v>
          </cell>
          <cell r="R211"/>
          <cell r="S211"/>
          <cell r="T211">
            <v>4882.72</v>
          </cell>
          <cell r="U211"/>
          <cell r="V211"/>
          <cell r="W211">
            <v>3839.48</v>
          </cell>
          <cell r="X211"/>
          <cell r="Y211"/>
          <cell r="Z211">
            <v>4356.6099999999997</v>
          </cell>
          <cell r="AA211"/>
          <cell r="AB211"/>
          <cell r="AC211">
            <v>4409.13</v>
          </cell>
          <cell r="AD211"/>
          <cell r="AE211"/>
          <cell r="AF211">
            <v>3495.07</v>
          </cell>
          <cell r="AG211"/>
          <cell r="AH211"/>
          <cell r="AI211">
            <v>5100.5</v>
          </cell>
          <cell r="AJ211"/>
          <cell r="AK211"/>
          <cell r="AL211">
            <v>3594.32</v>
          </cell>
          <cell r="AM211"/>
          <cell r="AN211"/>
          <cell r="AO211">
            <v>4107.45</v>
          </cell>
        </row>
        <row r="212">
          <cell r="A212" t="str">
            <v>Service[...]</v>
          </cell>
          <cell r="C212"/>
          <cell r="D212"/>
          <cell r="E212"/>
          <cell r="F212"/>
          <cell r="G212"/>
          <cell r="H212"/>
          <cell r="I212"/>
          <cell r="J212"/>
          <cell r="K212"/>
          <cell r="L212"/>
          <cell r="M212"/>
          <cell r="N212"/>
          <cell r="O212"/>
          <cell r="P212"/>
          <cell r="Q212"/>
          <cell r="R212"/>
          <cell r="S212"/>
          <cell r="T212"/>
          <cell r="U212"/>
          <cell r="V212"/>
          <cell r="W212"/>
          <cell r="X212"/>
          <cell r="Y212"/>
          <cell r="Z212"/>
          <cell r="AA212"/>
          <cell r="AB212"/>
          <cell r="AC212"/>
          <cell r="AD212"/>
          <cell r="AE212"/>
          <cell r="AF212"/>
          <cell r="AG212"/>
          <cell r="AH212"/>
          <cell r="AI212"/>
          <cell r="AJ212"/>
          <cell r="AK212"/>
          <cell r="AL212"/>
          <cell r="AM212"/>
          <cell r="AN212"/>
          <cell r="AO212"/>
        </row>
        <row r="213">
          <cell r="A213" t="str">
            <v>ServiceTOTAL PERSONNEL</v>
          </cell>
          <cell r="C213" t="str">
            <v>%brut</v>
          </cell>
          <cell r="D213">
            <v>0.48429570462199467</v>
          </cell>
          <cell r="E213">
            <v>1410703.2</v>
          </cell>
          <cell r="F213" t="str">
            <v>%brut</v>
          </cell>
          <cell r="G213">
            <v>0</v>
          </cell>
          <cell r="H213">
            <v>104211.68000000001</v>
          </cell>
          <cell r="I213" t="str">
            <v>%brut</v>
          </cell>
          <cell r="J213">
            <v>0</v>
          </cell>
          <cell r="K213">
            <v>93287.340000000011</v>
          </cell>
          <cell r="L213" t="str">
            <v>%brut</v>
          </cell>
          <cell r="M213">
            <v>0</v>
          </cell>
          <cell r="N213">
            <v>101345.09999999999</v>
          </cell>
          <cell r="O213" t="str">
            <v>%brut</v>
          </cell>
          <cell r="P213">
            <v>0</v>
          </cell>
          <cell r="Q213">
            <v>128366.64</v>
          </cell>
          <cell r="R213" t="str">
            <v>%brut</v>
          </cell>
          <cell r="S213">
            <v>0</v>
          </cell>
          <cell r="T213">
            <v>138530.88</v>
          </cell>
          <cell r="U213" t="str">
            <v>%brut</v>
          </cell>
          <cell r="V213">
            <v>0</v>
          </cell>
          <cell r="W213">
            <v>111783.14</v>
          </cell>
          <cell r="X213" t="str">
            <v>%brut</v>
          </cell>
          <cell r="Y213">
            <v>0</v>
          </cell>
          <cell r="Z213">
            <v>108311.01</v>
          </cell>
          <cell r="AA213" t="str">
            <v>%brut</v>
          </cell>
          <cell r="AB213">
            <v>0</v>
          </cell>
          <cell r="AC213">
            <v>119594.80000000002</v>
          </cell>
          <cell r="AD213" t="str">
            <v>%brut</v>
          </cell>
          <cell r="AE213">
            <v>0</v>
          </cell>
          <cell r="AF213">
            <v>104557.32</v>
          </cell>
          <cell r="AG213" t="str">
            <v>%brut</v>
          </cell>
          <cell r="AH213">
            <v>0</v>
          </cell>
          <cell r="AI213">
            <v>146729.94</v>
          </cell>
          <cell r="AJ213" t="str">
            <v>%brut</v>
          </cell>
          <cell r="AK213">
            <v>0</v>
          </cell>
          <cell r="AL213">
            <v>151383.09</v>
          </cell>
          <cell r="AM213" t="str">
            <v>%brut</v>
          </cell>
          <cell r="AN213">
            <v>0</v>
          </cell>
          <cell r="AO213">
            <v>102602.25999999998</v>
          </cell>
        </row>
        <row r="214">
          <cell r="A214" t="str">
            <v>ServicePublicité 2</v>
          </cell>
          <cell r="C214"/>
          <cell r="D214"/>
          <cell r="E214">
            <v>149360.56999999998</v>
          </cell>
          <cell r="F214"/>
          <cell r="G214"/>
          <cell r="H214">
            <v>15287.83</v>
          </cell>
          <cell r="I214"/>
          <cell r="J214"/>
          <cell r="K214">
            <v>10924.02</v>
          </cell>
          <cell r="L214"/>
          <cell r="M214"/>
          <cell r="N214">
            <v>13734.02</v>
          </cell>
          <cell r="O214"/>
          <cell r="P214"/>
          <cell r="Q214">
            <v>20858.59</v>
          </cell>
          <cell r="R214"/>
          <cell r="S214"/>
          <cell r="T214">
            <v>15357.7</v>
          </cell>
          <cell r="U214"/>
          <cell r="V214"/>
          <cell r="W214">
            <v>10453.17</v>
          </cell>
          <cell r="X214"/>
          <cell r="Y214"/>
          <cell r="Z214">
            <v>10953.22</v>
          </cell>
          <cell r="AA214"/>
          <cell r="AB214"/>
          <cell r="AC214">
            <v>11626.62</v>
          </cell>
          <cell r="AD214"/>
          <cell r="AE214"/>
          <cell r="AF214">
            <v>7362.47</v>
          </cell>
          <cell r="AG214"/>
          <cell r="AH214"/>
          <cell r="AI214">
            <v>10327.75</v>
          </cell>
          <cell r="AJ214"/>
          <cell r="AK214"/>
          <cell r="AL214">
            <v>15120.44</v>
          </cell>
          <cell r="AM214"/>
          <cell r="AN214"/>
          <cell r="AO214">
            <v>7354.74</v>
          </cell>
        </row>
        <row r="215">
          <cell r="A215" t="str">
            <v>ServiceService gratuit 2</v>
          </cell>
          <cell r="C215"/>
          <cell r="D215"/>
          <cell r="E215">
            <v>39169.07999999998</v>
          </cell>
          <cell r="F215"/>
          <cell r="G215"/>
          <cell r="H215">
            <v>1820.45</v>
          </cell>
          <cell r="I215"/>
          <cell r="J215"/>
          <cell r="K215">
            <v>3416.5899999999901</v>
          </cell>
          <cell r="L215"/>
          <cell r="M215"/>
          <cell r="N215">
            <v>4779.6099999999997</v>
          </cell>
          <cell r="O215"/>
          <cell r="P215"/>
          <cell r="Q215">
            <v>3861.29</v>
          </cell>
          <cell r="R215"/>
          <cell r="S215"/>
          <cell r="T215">
            <v>4586.43</v>
          </cell>
          <cell r="U215"/>
          <cell r="V215"/>
          <cell r="W215">
            <v>4147.28</v>
          </cell>
          <cell r="X215"/>
          <cell r="Y215"/>
          <cell r="Z215">
            <v>1302.06</v>
          </cell>
          <cell r="AA215"/>
          <cell r="AB215"/>
          <cell r="AC215">
            <v>4457.92</v>
          </cell>
          <cell r="AD215"/>
          <cell r="AE215"/>
          <cell r="AF215">
            <v>2261.8000000000002</v>
          </cell>
          <cell r="AG215"/>
          <cell r="AH215"/>
          <cell r="AI215">
            <v>3001.7999999999902</v>
          </cell>
          <cell r="AJ215"/>
          <cell r="AK215"/>
          <cell r="AL215">
            <v>3537.33</v>
          </cell>
          <cell r="AM215"/>
          <cell r="AN215"/>
          <cell r="AO215">
            <v>1996.52</v>
          </cell>
        </row>
        <row r="216">
          <cell r="A216" t="str">
            <v>ServiceFrais véhicules de cie</v>
          </cell>
          <cell r="C216"/>
          <cell r="D216"/>
          <cell r="E216">
            <v>142035.80000000002</v>
          </cell>
          <cell r="F216"/>
          <cell r="G216"/>
          <cell r="H216">
            <v>5402.51</v>
          </cell>
          <cell r="I216"/>
          <cell r="J216"/>
          <cell r="K216">
            <v>9690.11</v>
          </cell>
          <cell r="L216"/>
          <cell r="M216"/>
          <cell r="N216">
            <v>10165.459999999999</v>
          </cell>
          <cell r="O216"/>
          <cell r="P216"/>
          <cell r="Q216">
            <v>12388.42</v>
          </cell>
          <cell r="R216"/>
          <cell r="S216"/>
          <cell r="T216">
            <v>12345.56</v>
          </cell>
          <cell r="U216"/>
          <cell r="V216"/>
          <cell r="W216">
            <v>10331.08</v>
          </cell>
          <cell r="X216"/>
          <cell r="Y216"/>
          <cell r="Z216">
            <v>12916.71</v>
          </cell>
          <cell r="AA216"/>
          <cell r="AB216"/>
          <cell r="AC216">
            <v>7819.27</v>
          </cell>
          <cell r="AD216"/>
          <cell r="AE216"/>
          <cell r="AF216">
            <v>15661.24</v>
          </cell>
          <cell r="AG216"/>
          <cell r="AH216"/>
          <cell r="AI216">
            <v>15650.98</v>
          </cell>
          <cell r="AJ216"/>
          <cell r="AK216"/>
          <cell r="AL216">
            <v>17276.77</v>
          </cell>
          <cell r="AM216"/>
          <cell r="AN216"/>
          <cell r="AO216">
            <v>12387.69</v>
          </cell>
        </row>
        <row r="217">
          <cell r="A217" t="str">
            <v>ServiceInformatique</v>
          </cell>
          <cell r="C217"/>
          <cell r="D217"/>
          <cell r="E217">
            <v>62524.26</v>
          </cell>
          <cell r="F217"/>
          <cell r="G217"/>
          <cell r="H217">
            <v>4471.2299999999996</v>
          </cell>
          <cell r="I217"/>
          <cell r="J217"/>
          <cell r="K217">
            <v>5191.2</v>
          </cell>
          <cell r="L217"/>
          <cell r="M217"/>
          <cell r="N217">
            <v>5301.19</v>
          </cell>
          <cell r="O217"/>
          <cell r="P217"/>
          <cell r="Q217">
            <v>4747.1400000000003</v>
          </cell>
          <cell r="R217"/>
          <cell r="S217"/>
          <cell r="T217">
            <v>6920.01</v>
          </cell>
          <cell r="U217"/>
          <cell r="V217"/>
          <cell r="W217">
            <v>4784.91</v>
          </cell>
          <cell r="X217"/>
          <cell r="Y217"/>
          <cell r="Z217">
            <v>5080.0200000000004</v>
          </cell>
          <cell r="AA217"/>
          <cell r="AB217"/>
          <cell r="AC217">
            <v>5210.01</v>
          </cell>
          <cell r="AD217"/>
          <cell r="AE217"/>
          <cell r="AF217">
            <v>4887.62</v>
          </cell>
          <cell r="AG217"/>
          <cell r="AH217"/>
          <cell r="AI217">
            <v>4509.63</v>
          </cell>
          <cell r="AJ217"/>
          <cell r="AK217"/>
          <cell r="AL217">
            <v>4199.25</v>
          </cell>
          <cell r="AM217"/>
          <cell r="AN217"/>
          <cell r="AO217">
            <v>7222.05</v>
          </cell>
        </row>
        <row r="218">
          <cell r="A218" t="str">
            <v>ServiceFrais de déplacement</v>
          </cell>
          <cell r="C218"/>
          <cell r="D218"/>
          <cell r="E218">
            <v>15061.8</v>
          </cell>
          <cell r="F218"/>
          <cell r="G218"/>
          <cell r="H218">
            <v>1484.44</v>
          </cell>
          <cell r="I218"/>
          <cell r="J218"/>
          <cell r="K218">
            <v>699.39</v>
          </cell>
          <cell r="L218"/>
          <cell r="M218"/>
          <cell r="N218">
            <v>713.23</v>
          </cell>
          <cell r="O218"/>
          <cell r="P218"/>
          <cell r="Q218">
            <v>2197.58</v>
          </cell>
          <cell r="R218"/>
          <cell r="S218"/>
          <cell r="T218">
            <v>1292</v>
          </cell>
          <cell r="U218"/>
          <cell r="V218"/>
          <cell r="W218">
            <v>1689.72</v>
          </cell>
          <cell r="X218"/>
          <cell r="Y218"/>
          <cell r="Z218">
            <v>669.31</v>
          </cell>
          <cell r="AA218"/>
          <cell r="AB218"/>
          <cell r="AC218">
            <v>844.56</v>
          </cell>
          <cell r="AD218"/>
          <cell r="AE218"/>
          <cell r="AF218">
            <v>638.63</v>
          </cell>
          <cell r="AG218"/>
          <cell r="AH218"/>
          <cell r="AI218">
            <v>1794.7</v>
          </cell>
          <cell r="AJ218"/>
          <cell r="AK218"/>
          <cell r="AL218">
            <v>1303.33</v>
          </cell>
          <cell r="AM218"/>
          <cell r="AN218"/>
          <cell r="AO218">
            <v>1734.91</v>
          </cell>
        </row>
        <row r="219">
          <cell r="A219" t="str">
            <v>ServiceServices extérieurs</v>
          </cell>
          <cell r="C219"/>
          <cell r="D219"/>
          <cell r="E219">
            <v>189362.94999999998</v>
          </cell>
          <cell r="F219"/>
          <cell r="G219"/>
          <cell r="H219">
            <v>12092.22</v>
          </cell>
          <cell r="I219"/>
          <cell r="J219"/>
          <cell r="K219">
            <v>15317.24</v>
          </cell>
          <cell r="L219"/>
          <cell r="M219"/>
          <cell r="N219">
            <v>17978.91</v>
          </cell>
          <cell r="O219"/>
          <cell r="P219"/>
          <cell r="Q219">
            <v>16230.76</v>
          </cell>
          <cell r="R219"/>
          <cell r="S219"/>
          <cell r="T219">
            <v>17314.099999999999</v>
          </cell>
          <cell r="U219"/>
          <cell r="V219"/>
          <cell r="W219">
            <v>12639.85</v>
          </cell>
          <cell r="X219"/>
          <cell r="Y219"/>
          <cell r="Z219">
            <v>18251.97</v>
          </cell>
          <cell r="AA219"/>
          <cell r="AB219"/>
          <cell r="AC219">
            <v>13899.75</v>
          </cell>
          <cell r="AD219"/>
          <cell r="AE219"/>
          <cell r="AF219">
            <v>14265.64</v>
          </cell>
          <cell r="AG219"/>
          <cell r="AH219"/>
          <cell r="AI219">
            <v>18700.53</v>
          </cell>
          <cell r="AJ219"/>
          <cell r="AK219"/>
          <cell r="AL219">
            <v>18392.89</v>
          </cell>
          <cell r="AM219"/>
          <cell r="AN219"/>
          <cell r="AO219">
            <v>14279.09</v>
          </cell>
        </row>
        <row r="220">
          <cell r="A220" t="str">
            <v>ServiceFournitures d'atelier</v>
          </cell>
          <cell r="C220"/>
          <cell r="D220"/>
          <cell r="E220">
            <v>0</v>
          </cell>
          <cell r="F220"/>
          <cell r="G220"/>
          <cell r="H220">
            <v>0</v>
          </cell>
          <cell r="I220"/>
          <cell r="J220"/>
          <cell r="K220">
            <v>0</v>
          </cell>
          <cell r="L220"/>
          <cell r="M220"/>
          <cell r="N220">
            <v>0</v>
          </cell>
          <cell r="O220"/>
          <cell r="P220"/>
          <cell r="Q220">
            <v>0</v>
          </cell>
          <cell r="R220"/>
          <cell r="S220"/>
          <cell r="T220">
            <v>0</v>
          </cell>
          <cell r="U220"/>
          <cell r="V220"/>
          <cell r="W220">
            <v>0</v>
          </cell>
          <cell r="X220"/>
          <cell r="Y220"/>
          <cell r="Z220">
            <v>0</v>
          </cell>
          <cell r="AA220"/>
          <cell r="AB220"/>
          <cell r="AC220">
            <v>0</v>
          </cell>
          <cell r="AD220"/>
          <cell r="AE220"/>
          <cell r="AF220">
            <v>0</v>
          </cell>
          <cell r="AG220"/>
          <cell r="AH220"/>
          <cell r="AI220">
            <v>0</v>
          </cell>
          <cell r="AJ220"/>
          <cell r="AK220"/>
          <cell r="AL220">
            <v>0</v>
          </cell>
          <cell r="AM220"/>
          <cell r="AN220"/>
          <cell r="AO220">
            <v>0</v>
          </cell>
        </row>
        <row r="221">
          <cell r="A221" t="str">
            <v>ServiceFournitures autres</v>
          </cell>
          <cell r="C221"/>
          <cell r="D221"/>
          <cell r="E221">
            <v>53124.46</v>
          </cell>
          <cell r="F221"/>
          <cell r="G221"/>
          <cell r="H221">
            <v>3709.05</v>
          </cell>
          <cell r="I221"/>
          <cell r="J221"/>
          <cell r="K221">
            <v>6854.16</v>
          </cell>
          <cell r="L221"/>
          <cell r="M221"/>
          <cell r="N221">
            <v>4593.95</v>
          </cell>
          <cell r="O221"/>
          <cell r="P221"/>
          <cell r="Q221">
            <v>5855.42</v>
          </cell>
          <cell r="R221"/>
          <cell r="S221"/>
          <cell r="T221">
            <v>6967.67</v>
          </cell>
          <cell r="U221"/>
          <cell r="V221"/>
          <cell r="W221">
            <v>1955.12</v>
          </cell>
          <cell r="X221"/>
          <cell r="Y221"/>
          <cell r="Z221">
            <v>3095.58</v>
          </cell>
          <cell r="AA221"/>
          <cell r="AB221"/>
          <cell r="AC221">
            <v>7129.03</v>
          </cell>
          <cell r="AD221"/>
          <cell r="AE221"/>
          <cell r="AF221">
            <v>4463.1000000000004</v>
          </cell>
          <cell r="AG221"/>
          <cell r="AH221"/>
          <cell r="AI221">
            <v>4281.8</v>
          </cell>
          <cell r="AJ221"/>
          <cell r="AK221"/>
          <cell r="AL221">
            <v>2198</v>
          </cell>
          <cell r="AM221"/>
          <cell r="AN221"/>
          <cell r="AO221">
            <v>2021.58</v>
          </cell>
        </row>
        <row r="222">
          <cell r="A222" t="str">
            <v>ServiceUniformes</v>
          </cell>
          <cell r="C222"/>
          <cell r="D222"/>
          <cell r="E222">
            <v>9617.7300000000014</v>
          </cell>
          <cell r="F222"/>
          <cell r="G222"/>
          <cell r="H222">
            <v>578.16999999999996</v>
          </cell>
          <cell r="I222"/>
          <cell r="J222"/>
          <cell r="K222">
            <v>605.89</v>
          </cell>
          <cell r="L222"/>
          <cell r="M222"/>
          <cell r="N222">
            <v>510.87</v>
          </cell>
          <cell r="O222"/>
          <cell r="P222"/>
          <cell r="Q222">
            <v>793.22</v>
          </cell>
          <cell r="R222"/>
          <cell r="S222"/>
          <cell r="T222">
            <v>785.83</v>
          </cell>
          <cell r="U222"/>
          <cell r="V222"/>
          <cell r="W222">
            <v>1429.5</v>
          </cell>
          <cell r="X222"/>
          <cell r="Y222"/>
          <cell r="Z222">
            <v>699.73</v>
          </cell>
          <cell r="AA222"/>
          <cell r="AB222"/>
          <cell r="AC222">
            <v>1109.3</v>
          </cell>
          <cell r="AD222"/>
          <cell r="AE222"/>
          <cell r="AF222">
            <v>1000.92</v>
          </cell>
          <cell r="AG222"/>
          <cell r="AH222"/>
          <cell r="AI222">
            <v>798.57</v>
          </cell>
          <cell r="AJ222"/>
          <cell r="AK222"/>
          <cell r="AL222">
            <v>373.79</v>
          </cell>
          <cell r="AM222"/>
          <cell r="AN222"/>
          <cell r="AO222">
            <v>931.94</v>
          </cell>
        </row>
        <row r="223">
          <cell r="A223" t="str">
            <v>ServicePapeterie</v>
          </cell>
          <cell r="C223"/>
          <cell r="D223"/>
          <cell r="E223">
            <v>9465.39</v>
          </cell>
          <cell r="F223"/>
          <cell r="G223"/>
          <cell r="H223">
            <v>121.3</v>
          </cell>
          <cell r="I223"/>
          <cell r="J223"/>
          <cell r="K223">
            <v>781.46</v>
          </cell>
          <cell r="L223"/>
          <cell r="M223"/>
          <cell r="N223">
            <v>1332.33</v>
          </cell>
          <cell r="O223"/>
          <cell r="P223"/>
          <cell r="Q223">
            <v>43.61</v>
          </cell>
          <cell r="R223"/>
          <cell r="S223"/>
          <cell r="T223">
            <v>785.52</v>
          </cell>
          <cell r="U223"/>
          <cell r="V223"/>
          <cell r="W223">
            <v>498.88</v>
          </cell>
          <cell r="X223"/>
          <cell r="Y223"/>
          <cell r="Z223">
            <v>2994.06</v>
          </cell>
          <cell r="AA223"/>
          <cell r="AB223"/>
          <cell r="AC223">
            <v>1223.07</v>
          </cell>
          <cell r="AD223"/>
          <cell r="AE223"/>
          <cell r="AF223">
            <v>224.65</v>
          </cell>
          <cell r="AG223"/>
          <cell r="AH223"/>
          <cell r="AI223">
            <v>44.21</v>
          </cell>
          <cell r="AJ223"/>
          <cell r="AK223"/>
          <cell r="AL223">
            <v>1099.77</v>
          </cell>
          <cell r="AM223"/>
          <cell r="AN223"/>
          <cell r="AO223">
            <v>316.52999999999997</v>
          </cell>
        </row>
        <row r="224">
          <cell r="A224" t="str">
            <v>ServiceTéléphone</v>
          </cell>
          <cell r="C224"/>
          <cell r="D224"/>
          <cell r="E224">
            <v>2572.5700000000002</v>
          </cell>
          <cell r="F224"/>
          <cell r="G224"/>
          <cell r="H224">
            <v>263.5</v>
          </cell>
          <cell r="I224"/>
          <cell r="J224"/>
          <cell r="K224">
            <v>226.91</v>
          </cell>
          <cell r="L224"/>
          <cell r="M224"/>
          <cell r="N224">
            <v>194.74</v>
          </cell>
          <cell r="O224"/>
          <cell r="P224"/>
          <cell r="Q224">
            <v>201.64</v>
          </cell>
          <cell r="R224"/>
          <cell r="S224"/>
          <cell r="T224">
            <v>223.36</v>
          </cell>
          <cell r="U224"/>
          <cell r="V224"/>
          <cell r="W224">
            <v>189.37</v>
          </cell>
          <cell r="X224"/>
          <cell r="Y224"/>
          <cell r="Z224">
            <v>161.29</v>
          </cell>
          <cell r="AA224"/>
          <cell r="AB224"/>
          <cell r="AC224">
            <v>252.33</v>
          </cell>
          <cell r="AD224"/>
          <cell r="AE224"/>
          <cell r="AF224">
            <v>201.17</v>
          </cell>
          <cell r="AG224"/>
          <cell r="AH224"/>
          <cell r="AI224">
            <v>233.49</v>
          </cell>
          <cell r="AJ224"/>
          <cell r="AK224"/>
          <cell r="AL224">
            <v>223.89</v>
          </cell>
          <cell r="AM224"/>
          <cell r="AN224"/>
          <cell r="AO224">
            <v>200.88</v>
          </cell>
        </row>
        <row r="225">
          <cell r="A225" t="str">
            <v>ServiceFrais postaux</v>
          </cell>
          <cell r="C225"/>
          <cell r="D225"/>
          <cell r="E225">
            <v>2562.37</v>
          </cell>
          <cell r="F225"/>
          <cell r="G225"/>
          <cell r="H225">
            <v>544.33000000000004</v>
          </cell>
          <cell r="I225"/>
          <cell r="J225"/>
          <cell r="K225">
            <v>335.92</v>
          </cell>
          <cell r="L225"/>
          <cell r="M225"/>
          <cell r="N225">
            <v>491.87</v>
          </cell>
          <cell r="O225"/>
          <cell r="P225"/>
          <cell r="Q225">
            <v>551.49</v>
          </cell>
          <cell r="R225"/>
          <cell r="S225"/>
          <cell r="T225">
            <v>158.37</v>
          </cell>
          <cell r="U225"/>
          <cell r="V225"/>
          <cell r="W225">
            <v>66.27</v>
          </cell>
          <cell r="X225"/>
          <cell r="Y225"/>
          <cell r="Z225">
            <v>40.950000000000003</v>
          </cell>
          <cell r="AA225"/>
          <cell r="AB225"/>
          <cell r="AC225">
            <v>153.1</v>
          </cell>
          <cell r="AD225"/>
          <cell r="AE225"/>
          <cell r="AF225">
            <v>58.63</v>
          </cell>
          <cell r="AG225"/>
          <cell r="AH225"/>
          <cell r="AI225">
            <v>65.45</v>
          </cell>
          <cell r="AJ225"/>
          <cell r="AK225"/>
          <cell r="AL225">
            <v>-62.5</v>
          </cell>
          <cell r="AM225"/>
          <cell r="AN225"/>
          <cell r="AO225">
            <v>158.49</v>
          </cell>
        </row>
        <row r="226">
          <cell r="A226" t="str">
            <v>ServiceDivers</v>
          </cell>
          <cell r="C226"/>
          <cell r="D226"/>
          <cell r="E226">
            <v>1497.13</v>
          </cell>
          <cell r="F226"/>
          <cell r="G226"/>
          <cell r="H226">
            <v>67.069999999999993</v>
          </cell>
          <cell r="I226"/>
          <cell r="J226"/>
          <cell r="K226">
            <v>53.4</v>
          </cell>
          <cell r="L226"/>
          <cell r="M226"/>
          <cell r="N226">
            <v>53.41</v>
          </cell>
          <cell r="O226"/>
          <cell r="P226"/>
          <cell r="Q226">
            <v>90.81</v>
          </cell>
          <cell r="R226"/>
          <cell r="S226"/>
          <cell r="T226">
            <v>83.76</v>
          </cell>
          <cell r="U226"/>
          <cell r="V226"/>
          <cell r="W226">
            <v>47.04</v>
          </cell>
          <cell r="X226"/>
          <cell r="Y226"/>
          <cell r="Z226">
            <v>47.04</v>
          </cell>
          <cell r="AA226"/>
          <cell r="AB226"/>
          <cell r="AC226">
            <v>47.04</v>
          </cell>
          <cell r="AD226"/>
          <cell r="AE226"/>
          <cell r="AF226">
            <v>101.04</v>
          </cell>
          <cell r="AG226"/>
          <cell r="AH226"/>
          <cell r="AI226">
            <v>47.04</v>
          </cell>
          <cell r="AJ226"/>
          <cell r="AK226"/>
          <cell r="AL226">
            <v>307.79000000000002</v>
          </cell>
          <cell r="AM226"/>
          <cell r="AN226"/>
          <cell r="AO226">
            <v>551.69000000000005</v>
          </cell>
        </row>
        <row r="227">
          <cell r="A227" t="str">
            <v>ServiceFormation</v>
          </cell>
          <cell r="C227"/>
          <cell r="D227"/>
          <cell r="E227">
            <v>13556.070000000002</v>
          </cell>
          <cell r="F227"/>
          <cell r="G227"/>
          <cell r="H227">
            <v>359.22</v>
          </cell>
          <cell r="I227"/>
          <cell r="J227"/>
          <cell r="K227">
            <v>955.51</v>
          </cell>
          <cell r="L227"/>
          <cell r="M227"/>
          <cell r="N227">
            <v>1374.83</v>
          </cell>
          <cell r="O227"/>
          <cell r="P227"/>
          <cell r="Q227">
            <v>1047.57</v>
          </cell>
          <cell r="R227"/>
          <cell r="S227"/>
          <cell r="T227">
            <v>418.5</v>
          </cell>
          <cell r="U227"/>
          <cell r="V227"/>
          <cell r="W227">
            <v>958.23</v>
          </cell>
          <cell r="X227"/>
          <cell r="Y227"/>
          <cell r="Z227">
            <v>1328.27</v>
          </cell>
          <cell r="AA227"/>
          <cell r="AB227"/>
          <cell r="AC227">
            <v>1431.75</v>
          </cell>
          <cell r="AD227"/>
          <cell r="AE227"/>
          <cell r="AF227">
            <v>521.34</v>
          </cell>
          <cell r="AG227"/>
          <cell r="AH227"/>
          <cell r="AI227">
            <v>458.45</v>
          </cell>
          <cell r="AJ227"/>
          <cell r="AK227"/>
          <cell r="AL227">
            <v>2059.42</v>
          </cell>
          <cell r="AM227"/>
          <cell r="AN227"/>
          <cell r="AO227">
            <v>2642.98</v>
          </cell>
        </row>
        <row r="228">
          <cell r="A228" t="str">
            <v>ServiceFrais bancaires</v>
          </cell>
          <cell r="C228"/>
          <cell r="D228"/>
          <cell r="E228">
            <v>24034.350000000006</v>
          </cell>
          <cell r="F228"/>
          <cell r="G228"/>
          <cell r="H228">
            <v>1401.4</v>
          </cell>
          <cell r="I228"/>
          <cell r="J228"/>
          <cell r="K228">
            <v>1082.69</v>
          </cell>
          <cell r="L228"/>
          <cell r="M228"/>
          <cell r="N228">
            <v>1859.91</v>
          </cell>
          <cell r="O228"/>
          <cell r="P228"/>
          <cell r="Q228">
            <v>2304.3000000000002</v>
          </cell>
          <cell r="R228"/>
          <cell r="S228"/>
          <cell r="T228">
            <v>2279.83</v>
          </cell>
          <cell r="U228"/>
          <cell r="V228"/>
          <cell r="W228">
            <v>1756.85</v>
          </cell>
          <cell r="X228"/>
          <cell r="Y228"/>
          <cell r="Z228">
            <v>1951.19</v>
          </cell>
          <cell r="AA228"/>
          <cell r="AB228"/>
          <cell r="AC228">
            <v>1895.04</v>
          </cell>
          <cell r="AD228"/>
          <cell r="AE228"/>
          <cell r="AF228">
            <v>2008.24</v>
          </cell>
          <cell r="AG228"/>
          <cell r="AH228"/>
          <cell r="AI228">
            <v>2322.71</v>
          </cell>
          <cell r="AJ228"/>
          <cell r="AK228"/>
          <cell r="AL228">
            <v>3179.01</v>
          </cell>
          <cell r="AM228"/>
          <cell r="AN228"/>
          <cell r="AO228">
            <v>1993.18</v>
          </cell>
        </row>
        <row r="229">
          <cell r="A229" t="str">
            <v>Service[...]</v>
          </cell>
          <cell r="C229"/>
          <cell r="D229"/>
          <cell r="E229"/>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v>
          </cell>
          <cell r="C230"/>
          <cell r="D230"/>
          <cell r="E230"/>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row>
        <row r="231">
          <cell r="A231" t="str">
            <v>Service[...]</v>
          </cell>
          <cell r="C231"/>
          <cell r="D231"/>
          <cell r="E231"/>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SEMI-FIXES</v>
          </cell>
          <cell r="C232" t="str">
            <v>%brut</v>
          </cell>
          <cell r="D232">
            <v>0.24509781307462034</v>
          </cell>
          <cell r="E232">
            <v>713944.5299999998</v>
          </cell>
          <cell r="F232" t="str">
            <v>%brut</v>
          </cell>
          <cell r="G232">
            <v>0</v>
          </cell>
          <cell r="H232">
            <v>47602.720000000008</v>
          </cell>
          <cell r="I232" t="str">
            <v>%brut</v>
          </cell>
          <cell r="J232">
            <v>0</v>
          </cell>
          <cell r="K232">
            <v>56134.49</v>
          </cell>
          <cell r="L232" t="str">
            <v>%brut</v>
          </cell>
          <cell r="M232">
            <v>0</v>
          </cell>
          <cell r="N232">
            <v>63084.330000000009</v>
          </cell>
          <cell r="O232" t="str">
            <v>%brut</v>
          </cell>
          <cell r="P232">
            <v>0</v>
          </cell>
          <cell r="Q232">
            <v>71171.840000000026</v>
          </cell>
          <cell r="R232" t="str">
            <v>%brut</v>
          </cell>
          <cell r="S232">
            <v>0</v>
          </cell>
          <cell r="T232">
            <v>69518.64</v>
          </cell>
          <cell r="U232" t="str">
            <v>%brut</v>
          </cell>
          <cell r="V232">
            <v>0</v>
          </cell>
          <cell r="W232">
            <v>50947.270000000004</v>
          </cell>
          <cell r="X232" t="str">
            <v>%brut</v>
          </cell>
          <cell r="Y232">
            <v>0</v>
          </cell>
          <cell r="Z232">
            <v>59491.4</v>
          </cell>
          <cell r="AA232" t="str">
            <v>%brut</v>
          </cell>
          <cell r="AB232">
            <v>0</v>
          </cell>
          <cell r="AC232">
            <v>57098.790000000008</v>
          </cell>
          <cell r="AD232" t="str">
            <v>%brut</v>
          </cell>
          <cell r="AE232">
            <v>0</v>
          </cell>
          <cell r="AF232">
            <v>53656.489999999991</v>
          </cell>
          <cell r="AG232" t="str">
            <v>%brut</v>
          </cell>
          <cell r="AH232">
            <v>0</v>
          </cell>
          <cell r="AI232">
            <v>62237.109999999979</v>
          </cell>
          <cell r="AJ232" t="str">
            <v>%brut</v>
          </cell>
          <cell r="AK232">
            <v>0</v>
          </cell>
          <cell r="AL232">
            <v>69209.179999999993</v>
          </cell>
          <cell r="AM232" t="str">
            <v>%brut</v>
          </cell>
          <cell r="AN232">
            <v>0</v>
          </cell>
          <cell r="AO232">
            <v>53792.270000000004</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ServiceTOTAL DES DÉPENSES</v>
          </cell>
          <cell r="C234" t="str">
            <v>% brut</v>
          </cell>
          <cell r="D234">
            <v>0.72939351769661498</v>
          </cell>
          <cell r="E234">
            <v>2124647.7299999995</v>
          </cell>
          <cell r="F234" t="str">
            <v>% brut</v>
          </cell>
          <cell r="G234">
            <v>0</v>
          </cell>
          <cell r="H234">
            <v>151814.40000000002</v>
          </cell>
          <cell r="I234" t="str">
            <v>% brut</v>
          </cell>
          <cell r="J234">
            <v>0</v>
          </cell>
          <cell r="K234">
            <v>149421.83000000002</v>
          </cell>
          <cell r="L234" t="str">
            <v>% brut</v>
          </cell>
          <cell r="M234">
            <v>0</v>
          </cell>
          <cell r="N234">
            <v>164429.43</v>
          </cell>
          <cell r="O234" t="str">
            <v>% brut</v>
          </cell>
          <cell r="P234">
            <v>0</v>
          </cell>
          <cell r="Q234">
            <v>199538.48000000004</v>
          </cell>
          <cell r="R234" t="str">
            <v>% brut</v>
          </cell>
          <cell r="S234">
            <v>0</v>
          </cell>
          <cell r="T234">
            <v>208049.52000000002</v>
          </cell>
          <cell r="U234" t="str">
            <v>% brut</v>
          </cell>
          <cell r="V234">
            <v>0</v>
          </cell>
          <cell r="W234">
            <v>162730.41</v>
          </cell>
          <cell r="X234" t="str">
            <v>% brut</v>
          </cell>
          <cell r="Y234">
            <v>0</v>
          </cell>
          <cell r="Z234">
            <v>167802.41</v>
          </cell>
          <cell r="AA234" t="str">
            <v>% brut</v>
          </cell>
          <cell r="AB234">
            <v>0</v>
          </cell>
          <cell r="AC234">
            <v>176693.59000000003</v>
          </cell>
          <cell r="AD234" t="str">
            <v>% brut</v>
          </cell>
          <cell r="AE234">
            <v>0</v>
          </cell>
          <cell r="AF234">
            <v>158213.81</v>
          </cell>
          <cell r="AG234" t="str">
            <v>% brut</v>
          </cell>
          <cell r="AH234">
            <v>0</v>
          </cell>
          <cell r="AI234">
            <v>208967.05</v>
          </cell>
          <cell r="AJ234" t="str">
            <v>% brut</v>
          </cell>
          <cell r="AK234">
            <v>0</v>
          </cell>
          <cell r="AL234">
            <v>220592.27</v>
          </cell>
          <cell r="AM234" t="str">
            <v>% brut</v>
          </cell>
          <cell r="AN234">
            <v>0</v>
          </cell>
          <cell r="AO234">
            <v>156394.52999999997</v>
          </cell>
        </row>
        <row r="235">
          <cell r="A235" t="str">
            <v>Service</v>
          </cell>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t="str">
            <v>ServicePROFIT DÉPARTEMENTAL</v>
          </cell>
          <cell r="C236"/>
          <cell r="D236"/>
          <cell r="E236">
            <v>788248.6399999992</v>
          </cell>
          <cell r="F236"/>
          <cell r="G236"/>
          <cell r="H236">
            <v>32240.070000000007</v>
          </cell>
          <cell r="I236"/>
          <cell r="J236"/>
          <cell r="K236">
            <v>29120.529999999882</v>
          </cell>
          <cell r="L236"/>
          <cell r="M236"/>
          <cell r="N236">
            <v>54600.849999999948</v>
          </cell>
          <cell r="O236"/>
          <cell r="P236"/>
          <cell r="Q236">
            <v>73863.199999999837</v>
          </cell>
          <cell r="R236"/>
          <cell r="S236"/>
          <cell r="T236">
            <v>75992.260000000009</v>
          </cell>
          <cell r="U236"/>
          <cell r="V236"/>
          <cell r="W236">
            <v>64050.519999999873</v>
          </cell>
          <cell r="X236"/>
          <cell r="Y236"/>
          <cell r="Z236">
            <v>73500.76999999996</v>
          </cell>
          <cell r="AA236"/>
          <cell r="AB236"/>
          <cell r="AC236">
            <v>62405.329999999842</v>
          </cell>
          <cell r="AD236"/>
          <cell r="AE236"/>
          <cell r="AF236">
            <v>94299.609999999986</v>
          </cell>
          <cell r="AG236"/>
          <cell r="AH236"/>
          <cell r="AI236">
            <v>71821.109999999986</v>
          </cell>
          <cell r="AJ236"/>
          <cell r="AK236"/>
          <cell r="AL236">
            <v>97016.739999999903</v>
          </cell>
          <cell r="AM236"/>
          <cell r="AN236"/>
          <cell r="AO236">
            <v>59337.649999999936</v>
          </cell>
        </row>
        <row r="237">
          <cell r="A237"/>
          <cell r="C237"/>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Carrosserie</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cell r="AD239"/>
          <cell r="AE239"/>
          <cell r="AF239"/>
          <cell r="AG239"/>
          <cell r="AH239"/>
          <cell r="AI239"/>
          <cell r="AJ239"/>
          <cell r="AK239"/>
          <cell r="AL239"/>
          <cell r="AM239"/>
          <cell r="AN239"/>
          <cell r="AO239"/>
        </row>
        <row r="240">
          <cell r="A240"/>
          <cell r="C240"/>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cell r="AD240"/>
          <cell r="AE240"/>
          <cell r="AF240"/>
          <cell r="AG240"/>
          <cell r="AH240"/>
          <cell r="AI240"/>
          <cell r="AJ240"/>
          <cell r="AK240"/>
          <cell r="AL240"/>
          <cell r="AM240"/>
          <cell r="AN240"/>
          <cell r="AO240"/>
        </row>
        <row r="241">
          <cell r="A241"/>
          <cell r="C241">
            <v>2025</v>
          </cell>
          <cell r="D241"/>
          <cell r="E241"/>
          <cell r="F241" t="str">
            <v>Janvier</v>
          </cell>
          <cell r="G241"/>
          <cell r="H241"/>
          <cell r="I241" t="str">
            <v>Février</v>
          </cell>
          <cell r="J241"/>
          <cell r="K241"/>
          <cell r="L241" t="str">
            <v>Mars</v>
          </cell>
          <cell r="M241"/>
          <cell r="N241"/>
          <cell r="O241" t="str">
            <v>Avril</v>
          </cell>
          <cell r="P241"/>
          <cell r="Q241"/>
          <cell r="R241" t="str">
            <v>Mai</v>
          </cell>
          <cell r="S241"/>
          <cell r="T241"/>
          <cell r="U241" t="str">
            <v>Juin</v>
          </cell>
          <cell r="V241"/>
          <cell r="W241"/>
          <cell r="X241" t="str">
            <v>Juillet</v>
          </cell>
          <cell r="Y241"/>
          <cell r="Z241"/>
          <cell r="AA241" t="str">
            <v>Août</v>
          </cell>
          <cell r="AB241"/>
          <cell r="AC241"/>
          <cell r="AD241" t="str">
            <v>Septembre</v>
          </cell>
          <cell r="AE241"/>
          <cell r="AF241"/>
          <cell r="AG241" t="str">
            <v>Octobre</v>
          </cell>
          <cell r="AH241"/>
          <cell r="AI241"/>
          <cell r="AJ241" t="str">
            <v>Novembre</v>
          </cell>
          <cell r="AK241"/>
          <cell r="AL241"/>
          <cell r="AM241" t="str">
            <v>Décembre</v>
          </cell>
          <cell r="AN241"/>
          <cell r="AO241"/>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cell r="C243"/>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cell r="AD243"/>
          <cell r="AE243"/>
          <cell r="AF243"/>
          <cell r="AG243"/>
          <cell r="AH243"/>
          <cell r="AI243"/>
          <cell r="AJ243"/>
          <cell r="AK243"/>
          <cell r="AL243"/>
          <cell r="AM243"/>
          <cell r="AN243"/>
          <cell r="AO243"/>
        </row>
        <row r="244">
          <cell r="A244" t="str">
            <v>CarrosserieM/O Sous-traitement</v>
          </cell>
          <cell r="C244">
            <v>194</v>
          </cell>
          <cell r="D244">
            <v>578619.24999999884</v>
          </cell>
          <cell r="E244">
            <v>99744.85999999987</v>
          </cell>
          <cell r="F244">
            <v>9</v>
          </cell>
          <cell r="G244">
            <v>11924.3499999999</v>
          </cell>
          <cell r="H244">
            <v>2279.5599999999899</v>
          </cell>
          <cell r="I244">
            <v>8</v>
          </cell>
          <cell r="J244">
            <v>20608.900000000001</v>
          </cell>
          <cell r="K244">
            <v>4905.91</v>
          </cell>
          <cell r="L244">
            <v>13</v>
          </cell>
          <cell r="M244">
            <v>17190.14</v>
          </cell>
          <cell r="N244">
            <v>2742.83</v>
          </cell>
          <cell r="O244">
            <v>8</v>
          </cell>
          <cell r="P244">
            <v>19150.68</v>
          </cell>
          <cell r="Q244">
            <v>4315.59</v>
          </cell>
          <cell r="R244">
            <v>5</v>
          </cell>
          <cell r="S244">
            <v>7721.01</v>
          </cell>
          <cell r="T244">
            <v>2028.98999999999</v>
          </cell>
          <cell r="U244">
            <v>6</v>
          </cell>
          <cell r="V244">
            <v>14368.83</v>
          </cell>
          <cell r="W244">
            <v>3584.99</v>
          </cell>
          <cell r="X244">
            <v>14</v>
          </cell>
          <cell r="Y244">
            <v>50617.07</v>
          </cell>
          <cell r="Z244">
            <v>9648.5899999999892</v>
          </cell>
          <cell r="AA244">
            <v>10</v>
          </cell>
          <cell r="AB244">
            <v>43848.6</v>
          </cell>
          <cell r="AC244">
            <v>9486.8299999999908</v>
          </cell>
          <cell r="AD244">
            <v>28</v>
          </cell>
          <cell r="AE244">
            <v>92272.269999999902</v>
          </cell>
          <cell r="AF244">
            <v>13019</v>
          </cell>
          <cell r="AG244">
            <v>29</v>
          </cell>
          <cell r="AH244">
            <v>92900.26</v>
          </cell>
          <cell r="AI244">
            <v>14676.709999999901</v>
          </cell>
          <cell r="AJ244">
            <v>33</v>
          </cell>
          <cell r="AK244">
            <v>116450.239999999</v>
          </cell>
          <cell r="AL244">
            <v>21438.22</v>
          </cell>
          <cell r="AM244">
            <v>31</v>
          </cell>
          <cell r="AN244">
            <v>91566.9</v>
          </cell>
          <cell r="AO244">
            <v>11617.64</v>
          </cell>
        </row>
        <row r="245">
          <cell r="A245" t="str">
            <v>Carrosserie% profit / ventes</v>
          </cell>
          <cell r="C245"/>
          <cell r="D245"/>
          <cell r="E245">
            <v>0.17238427515157864</v>
          </cell>
          <cell r="F245"/>
          <cell r="G245"/>
          <cell r="H245">
            <v>0.19116849136430991</v>
          </cell>
          <cell r="I245"/>
          <cell r="J245"/>
          <cell r="K245">
            <v>0.23804812483926846</v>
          </cell>
          <cell r="L245"/>
          <cell r="M245"/>
          <cell r="N245">
            <v>0.15955832820442417</v>
          </cell>
          <cell r="O245"/>
          <cell r="P245"/>
          <cell r="Q245">
            <v>0.22534917820150513</v>
          </cell>
          <cell r="R245"/>
          <cell r="S245"/>
          <cell r="T245">
            <v>0.26278815854402338</v>
          </cell>
          <cell r="U245"/>
          <cell r="V245"/>
          <cell r="W245">
            <v>0.24949769744648659</v>
          </cell>
          <cell r="X245"/>
          <cell r="Y245"/>
          <cell r="Z245">
            <v>0.19061929108105208</v>
          </cell>
          <cell r="AA245"/>
          <cell r="AB245"/>
          <cell r="AC245">
            <v>0.21635422795710677</v>
          </cell>
          <cell r="AD245"/>
          <cell r="AE245"/>
          <cell r="AF245">
            <v>0.14109331004862039</v>
          </cell>
          <cell r="AG245"/>
          <cell r="AH245"/>
          <cell r="AI245">
            <v>0.15798351909886907</v>
          </cell>
          <cell r="AJ245"/>
          <cell r="AK245"/>
          <cell r="AL245">
            <v>0.1840976884203947</v>
          </cell>
          <cell r="AM245"/>
          <cell r="AN245"/>
          <cell r="AO245">
            <v>0.1268759781099939</v>
          </cell>
        </row>
        <row r="246">
          <cell r="A246" t="str">
            <v>Carrosserie</v>
          </cell>
          <cell r="C246"/>
          <cell r="D246"/>
          <cell r="E246"/>
          <cell r="F246"/>
          <cell r="G246"/>
          <cell r="H246"/>
          <cell r="I246"/>
          <cell r="J246"/>
          <cell r="K246"/>
          <cell r="L246"/>
          <cell r="M246"/>
          <cell r="N246"/>
          <cell r="O246"/>
          <cell r="P246"/>
          <cell r="Q246"/>
          <cell r="R246"/>
          <cell r="S246"/>
          <cell r="T246"/>
          <cell r="U246"/>
          <cell r="V246"/>
          <cell r="W246"/>
          <cell r="X246"/>
          <cell r="Y246"/>
          <cell r="Z246"/>
          <cell r="AA246"/>
          <cell r="AB246"/>
          <cell r="AC246"/>
          <cell r="AD246"/>
          <cell r="AE246"/>
          <cell r="AF246"/>
          <cell r="AG246"/>
          <cell r="AH246"/>
          <cell r="AI246"/>
          <cell r="AJ246"/>
          <cell r="AK246"/>
          <cell r="AL246"/>
          <cell r="AM246"/>
          <cell r="AN246"/>
          <cell r="AO246"/>
        </row>
        <row r="247">
          <cell r="A247" t="str">
            <v>CarrosserieM/O Carrosserie</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row>
        <row r="248">
          <cell r="A248" t="str">
            <v>Carrosserie% profit / ventes</v>
          </cell>
          <cell r="C248"/>
          <cell r="D248"/>
          <cell r="E248">
            <v>0</v>
          </cell>
          <cell r="F248"/>
          <cell r="G248"/>
          <cell r="H248">
            <v>0</v>
          </cell>
          <cell r="I248"/>
          <cell r="J248"/>
          <cell r="K248">
            <v>0</v>
          </cell>
          <cell r="L248"/>
          <cell r="M248"/>
          <cell r="N248">
            <v>0</v>
          </cell>
          <cell r="O248"/>
          <cell r="P248"/>
          <cell r="Q248">
            <v>0</v>
          </cell>
          <cell r="R248"/>
          <cell r="S248"/>
          <cell r="T248">
            <v>0</v>
          </cell>
          <cell r="U248"/>
          <cell r="V248"/>
          <cell r="W248">
            <v>0</v>
          </cell>
          <cell r="X248"/>
          <cell r="Y248"/>
          <cell r="Z248">
            <v>0</v>
          </cell>
          <cell r="AA248"/>
          <cell r="AB248"/>
          <cell r="AC248">
            <v>0</v>
          </cell>
          <cell r="AD248"/>
          <cell r="AE248"/>
          <cell r="AF248">
            <v>0</v>
          </cell>
          <cell r="AG248"/>
          <cell r="AH248"/>
          <cell r="AI248">
            <v>0</v>
          </cell>
          <cell r="AJ248"/>
          <cell r="AK248"/>
          <cell r="AL248">
            <v>0</v>
          </cell>
          <cell r="AM248"/>
          <cell r="AN248"/>
          <cell r="AO248">
            <v>0</v>
          </cell>
        </row>
        <row r="249">
          <cell r="A249" t="str">
            <v>Carrosserie</v>
          </cell>
          <cell r="C249"/>
          <cell r="D249"/>
          <cell r="E249"/>
          <cell r="F249"/>
          <cell r="G249"/>
          <cell r="H249"/>
          <cell r="I249"/>
          <cell r="J249"/>
          <cell r="K249"/>
          <cell r="L249"/>
          <cell r="M249"/>
          <cell r="N249"/>
          <cell r="O249"/>
          <cell r="P249"/>
          <cell r="Q249"/>
          <cell r="R249"/>
          <cell r="S249"/>
          <cell r="T249"/>
          <cell r="U249"/>
          <cell r="V249"/>
          <cell r="W249"/>
          <cell r="X249"/>
          <cell r="Y249"/>
          <cell r="Z249"/>
          <cell r="AA249"/>
          <cell r="AB249"/>
          <cell r="AC249"/>
          <cell r="AD249"/>
          <cell r="AE249"/>
          <cell r="AF249"/>
          <cell r="AG249"/>
          <cell r="AH249"/>
          <cell r="AI249"/>
          <cell r="AJ249"/>
          <cell r="AK249"/>
          <cell r="AL249"/>
          <cell r="AM249"/>
          <cell r="AN249"/>
          <cell r="AO249"/>
        </row>
        <row r="250">
          <cell r="A250" t="str">
            <v>CarrosserieM/O Esthétique Carr.</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row>
        <row r="251">
          <cell r="A251" t="str">
            <v>Carrosserie% profit / ventes</v>
          </cell>
          <cell r="C251"/>
          <cell r="D251"/>
          <cell r="E251">
            <v>0</v>
          </cell>
          <cell r="F251"/>
          <cell r="G251"/>
          <cell r="H251">
            <v>0</v>
          </cell>
          <cell r="I251"/>
          <cell r="J251"/>
          <cell r="K251">
            <v>0</v>
          </cell>
          <cell r="L251"/>
          <cell r="M251"/>
          <cell r="N251">
            <v>0</v>
          </cell>
          <cell r="O251"/>
          <cell r="P251"/>
          <cell r="Q251">
            <v>0</v>
          </cell>
          <cell r="R251"/>
          <cell r="S251"/>
          <cell r="T251">
            <v>0</v>
          </cell>
          <cell r="U251"/>
          <cell r="V251"/>
          <cell r="W251">
            <v>0</v>
          </cell>
          <cell r="X251"/>
          <cell r="Y251"/>
          <cell r="Z251">
            <v>0</v>
          </cell>
          <cell r="AA251"/>
          <cell r="AB251"/>
          <cell r="AC251">
            <v>0</v>
          </cell>
          <cell r="AD251"/>
          <cell r="AE251"/>
          <cell r="AF251">
            <v>0</v>
          </cell>
          <cell r="AG251"/>
          <cell r="AH251"/>
          <cell r="AI251">
            <v>0</v>
          </cell>
          <cell r="AJ251"/>
          <cell r="AK251"/>
          <cell r="AL251">
            <v>0</v>
          </cell>
          <cell r="AM251"/>
          <cell r="AN251"/>
          <cell r="AO251">
            <v>0</v>
          </cell>
        </row>
        <row r="252">
          <cell r="A252" t="str">
            <v>Carrosserie</v>
          </cell>
          <cell r="C252"/>
          <cell r="D252"/>
          <cell r="E252"/>
          <cell r="F252"/>
          <cell r="G252"/>
          <cell r="H252"/>
          <cell r="I252"/>
          <cell r="J252"/>
          <cell r="K252"/>
          <cell r="L252"/>
          <cell r="M252"/>
          <cell r="N252"/>
          <cell r="O252"/>
          <cell r="P252"/>
          <cell r="Q252"/>
          <cell r="R252"/>
          <cell r="S252"/>
          <cell r="T252"/>
          <cell r="U252"/>
          <cell r="V252"/>
          <cell r="W252"/>
          <cell r="X252"/>
          <cell r="Y252"/>
          <cell r="Z252"/>
          <cell r="AA252"/>
          <cell r="AB252"/>
          <cell r="AC252"/>
          <cell r="AD252"/>
          <cell r="AE252"/>
          <cell r="AF252"/>
          <cell r="AG252"/>
          <cell r="AH252"/>
          <cell r="AI252"/>
          <cell r="AJ252"/>
          <cell r="AK252"/>
          <cell r="AL252"/>
          <cell r="AM252"/>
          <cell r="AN252"/>
          <cell r="AO252"/>
        </row>
        <row r="253">
          <cell r="A253" t="str">
            <v>CarrosserieTotal Mécanique</v>
          </cell>
          <cell r="C253"/>
          <cell r="D253">
            <v>578619.24999999884</v>
          </cell>
          <cell r="E253">
            <v>99744.85999999987</v>
          </cell>
          <cell r="F253"/>
          <cell r="G253">
            <v>11924.3499999999</v>
          </cell>
          <cell r="H253">
            <v>2279.5599999999899</v>
          </cell>
          <cell r="I253"/>
          <cell r="J253">
            <v>20608.900000000001</v>
          </cell>
          <cell r="K253">
            <v>4905.91</v>
          </cell>
          <cell r="L253"/>
          <cell r="M253">
            <v>17190.14</v>
          </cell>
          <cell r="N253">
            <v>2742.83</v>
          </cell>
          <cell r="O253"/>
          <cell r="P253">
            <v>19150.68</v>
          </cell>
          <cell r="Q253">
            <v>4315.59</v>
          </cell>
          <cell r="R253"/>
          <cell r="S253">
            <v>7721.01</v>
          </cell>
          <cell r="T253">
            <v>2028.98999999999</v>
          </cell>
          <cell r="U253"/>
          <cell r="V253">
            <v>14368.83</v>
          </cell>
          <cell r="W253">
            <v>3584.99</v>
          </cell>
          <cell r="X253"/>
          <cell r="Y253">
            <v>50617.07</v>
          </cell>
          <cell r="Z253">
            <v>9648.5899999999892</v>
          </cell>
          <cell r="AA253"/>
          <cell r="AB253">
            <v>43848.6</v>
          </cell>
          <cell r="AC253">
            <v>9486.8299999999908</v>
          </cell>
          <cell r="AD253"/>
          <cell r="AE253">
            <v>92272.269999999902</v>
          </cell>
          <cell r="AF253">
            <v>13019</v>
          </cell>
          <cell r="AG253"/>
          <cell r="AH253">
            <v>92900.26</v>
          </cell>
          <cell r="AI253">
            <v>14676.709999999901</v>
          </cell>
          <cell r="AJ253"/>
          <cell r="AK253">
            <v>116450.239999999</v>
          </cell>
          <cell r="AL253">
            <v>21438.22</v>
          </cell>
          <cell r="AM253"/>
          <cell r="AN253">
            <v>91566.9</v>
          </cell>
          <cell r="AO253">
            <v>11617.64</v>
          </cell>
        </row>
        <row r="254">
          <cell r="A254" t="str">
            <v>Carrosserie</v>
          </cell>
          <cell r="C254"/>
          <cell r="D254"/>
          <cell r="E254">
            <v>0.17238427515157864</v>
          </cell>
          <cell r="F254"/>
          <cell r="G254"/>
          <cell r="H254">
            <v>0.19116849136430991</v>
          </cell>
          <cell r="I254"/>
          <cell r="J254"/>
          <cell r="K254">
            <v>0.23804812483926846</v>
          </cell>
          <cell r="L254"/>
          <cell r="M254"/>
          <cell r="N254">
            <v>0.15955832820442417</v>
          </cell>
          <cell r="O254"/>
          <cell r="P254"/>
          <cell r="Q254">
            <v>0.22534917820150513</v>
          </cell>
          <cell r="R254"/>
          <cell r="S254"/>
          <cell r="T254">
            <v>0.26278815854402338</v>
          </cell>
          <cell r="U254"/>
          <cell r="V254"/>
          <cell r="W254">
            <v>0.24949769744648659</v>
          </cell>
          <cell r="X254"/>
          <cell r="Y254"/>
          <cell r="Z254">
            <v>0.19061929108105208</v>
          </cell>
          <cell r="AA254"/>
          <cell r="AB254"/>
          <cell r="AC254">
            <v>0.21635422795710677</v>
          </cell>
          <cell r="AD254"/>
          <cell r="AE254"/>
          <cell r="AF254">
            <v>0.14109331004862039</v>
          </cell>
          <cell r="AG254"/>
          <cell r="AH254"/>
          <cell r="AI254">
            <v>0.15798351909886907</v>
          </cell>
          <cell r="AJ254"/>
          <cell r="AK254"/>
          <cell r="AL254">
            <v>0.1840976884203947</v>
          </cell>
          <cell r="AM254"/>
          <cell r="AN254"/>
          <cell r="AO254">
            <v>0.1268759781099939</v>
          </cell>
        </row>
        <row r="255">
          <cell r="A255" t="str">
            <v>Carrosserie</v>
          </cell>
          <cell r="C255"/>
          <cell r="D255"/>
          <cell r="E255"/>
          <cell r="F255"/>
          <cell r="G255"/>
          <cell r="H255"/>
          <cell r="I255"/>
          <cell r="J255"/>
          <cell r="K255"/>
          <cell r="L255"/>
          <cell r="M255"/>
          <cell r="N255"/>
          <cell r="O255"/>
          <cell r="P255"/>
          <cell r="Q255"/>
          <cell r="R255"/>
          <cell r="S255"/>
          <cell r="T255"/>
          <cell r="U255"/>
          <cell r="V255"/>
          <cell r="W255"/>
          <cell r="X255"/>
          <cell r="Y255"/>
          <cell r="Z255"/>
          <cell r="AA255"/>
          <cell r="AB255"/>
          <cell r="AC255"/>
          <cell r="AD255"/>
          <cell r="AE255"/>
          <cell r="AF255"/>
          <cell r="AG255"/>
          <cell r="AH255"/>
          <cell r="AI255"/>
          <cell r="AJ255"/>
          <cell r="AK255"/>
          <cell r="AL255"/>
          <cell r="AM255"/>
          <cell r="AN255"/>
          <cell r="AO255"/>
        </row>
        <row r="256">
          <cell r="A256" t="str">
            <v>CarrosserieDEPENSES</v>
          </cell>
          <cell r="C256"/>
          <cell r="D256"/>
          <cell r="E256"/>
          <cell r="F256"/>
          <cell r="G256"/>
          <cell r="H256"/>
          <cell r="I256"/>
          <cell r="J256"/>
          <cell r="K256"/>
          <cell r="L256"/>
          <cell r="M256"/>
          <cell r="N256"/>
          <cell r="O256"/>
          <cell r="P256"/>
          <cell r="Q256"/>
          <cell r="R256"/>
          <cell r="S256"/>
          <cell r="T256"/>
          <cell r="U256"/>
          <cell r="V256"/>
          <cell r="W256"/>
          <cell r="X256"/>
          <cell r="Y256"/>
          <cell r="Z256"/>
          <cell r="AA256"/>
          <cell r="AB256"/>
          <cell r="AC256"/>
          <cell r="AD256"/>
          <cell r="AE256"/>
          <cell r="AF256"/>
          <cell r="AG256"/>
          <cell r="AH256"/>
          <cell r="AI256"/>
          <cell r="AJ256"/>
          <cell r="AK256"/>
          <cell r="AL256"/>
          <cell r="AM256"/>
          <cell r="AN256"/>
          <cell r="AO256"/>
        </row>
        <row r="257">
          <cell r="A257" t="str">
            <v>CarrosserieSalaires cadres</v>
          </cell>
          <cell r="C257"/>
          <cell r="D257"/>
          <cell r="E257">
            <v>10822.559999999998</v>
          </cell>
          <cell r="F257"/>
          <cell r="G257"/>
          <cell r="H257">
            <v>901.88</v>
          </cell>
          <cell r="I257"/>
          <cell r="J257"/>
          <cell r="K257">
            <v>901.88</v>
          </cell>
          <cell r="L257"/>
          <cell r="M257"/>
          <cell r="N257">
            <v>901.88</v>
          </cell>
          <cell r="O257"/>
          <cell r="P257"/>
          <cell r="Q257">
            <v>901.88</v>
          </cell>
          <cell r="R257"/>
          <cell r="S257"/>
          <cell r="T257">
            <v>901.88</v>
          </cell>
          <cell r="U257"/>
          <cell r="V257"/>
          <cell r="W257">
            <v>901.88</v>
          </cell>
          <cell r="X257"/>
          <cell r="Y257"/>
          <cell r="Z257">
            <v>901.88</v>
          </cell>
          <cell r="AA257"/>
          <cell r="AB257"/>
          <cell r="AC257">
            <v>901.88</v>
          </cell>
          <cell r="AD257"/>
          <cell r="AE257"/>
          <cell r="AF257">
            <v>901.88</v>
          </cell>
          <cell r="AG257"/>
          <cell r="AH257"/>
          <cell r="AI257">
            <v>901.88</v>
          </cell>
          <cell r="AJ257"/>
          <cell r="AK257"/>
          <cell r="AL257">
            <v>901.88</v>
          </cell>
          <cell r="AM257"/>
          <cell r="AN257"/>
          <cell r="AO257">
            <v>901.88</v>
          </cell>
        </row>
        <row r="258">
          <cell r="A258" t="str">
            <v>CarrosserieSalaires commis</v>
          </cell>
          <cell r="C258"/>
          <cell r="D258"/>
          <cell r="E258">
            <v>53347.590000000004</v>
          </cell>
          <cell r="F258"/>
          <cell r="G258"/>
          <cell r="H258">
            <v>3826.58</v>
          </cell>
          <cell r="I258"/>
          <cell r="J258"/>
          <cell r="K258">
            <v>3202.8</v>
          </cell>
          <cell r="L258"/>
          <cell r="M258"/>
          <cell r="N258">
            <v>4140.6099999999997</v>
          </cell>
          <cell r="O258"/>
          <cell r="P258"/>
          <cell r="Q258">
            <v>4215.95</v>
          </cell>
          <cell r="R258"/>
          <cell r="S258"/>
          <cell r="T258">
            <v>4976.26</v>
          </cell>
          <cell r="U258"/>
          <cell r="V258"/>
          <cell r="W258">
            <v>3859.88</v>
          </cell>
          <cell r="X258"/>
          <cell r="Y258"/>
          <cell r="Z258">
            <v>1523.66</v>
          </cell>
          <cell r="AA258"/>
          <cell r="AB258"/>
          <cell r="AC258">
            <v>4910.42</v>
          </cell>
          <cell r="AD258"/>
          <cell r="AE258"/>
          <cell r="AF258">
            <v>4995.33</v>
          </cell>
          <cell r="AG258"/>
          <cell r="AH258"/>
          <cell r="AI258">
            <v>6342.39</v>
          </cell>
          <cell r="AJ258"/>
          <cell r="AK258"/>
          <cell r="AL258">
            <v>5917.34</v>
          </cell>
          <cell r="AM258"/>
          <cell r="AN258"/>
          <cell r="AO258">
            <v>5436.37</v>
          </cell>
        </row>
        <row r="259">
          <cell r="A259" t="str">
            <v>CarrosserieSalaires autres</v>
          </cell>
          <cell r="C259"/>
          <cell r="D259"/>
          <cell r="E259">
            <v>0.95999999999999985</v>
          </cell>
          <cell r="F259"/>
          <cell r="G259"/>
          <cell r="H259">
            <v>0.08</v>
          </cell>
          <cell r="I259"/>
          <cell r="J259"/>
          <cell r="K259">
            <v>0.08</v>
          </cell>
          <cell r="L259"/>
          <cell r="M259"/>
          <cell r="N259">
            <v>0.08</v>
          </cell>
          <cell r="O259"/>
          <cell r="P259"/>
          <cell r="Q259">
            <v>0.08</v>
          </cell>
          <cell r="R259"/>
          <cell r="S259"/>
          <cell r="T259">
            <v>0.08</v>
          </cell>
          <cell r="U259"/>
          <cell r="V259"/>
          <cell r="W259">
            <v>0.08</v>
          </cell>
          <cell r="X259"/>
          <cell r="Y259"/>
          <cell r="Z259">
            <v>0.08</v>
          </cell>
          <cell r="AA259"/>
          <cell r="AB259"/>
          <cell r="AC259">
            <v>0.08</v>
          </cell>
          <cell r="AD259"/>
          <cell r="AE259"/>
          <cell r="AF259">
            <v>0.08</v>
          </cell>
          <cell r="AG259"/>
          <cell r="AH259"/>
          <cell r="AI259">
            <v>0.08</v>
          </cell>
          <cell r="AJ259"/>
          <cell r="AK259"/>
          <cell r="AL259">
            <v>0.08</v>
          </cell>
          <cell r="AM259"/>
          <cell r="AN259"/>
          <cell r="AO259">
            <v>0.08</v>
          </cell>
        </row>
        <row r="260">
          <cell r="A260" t="str">
            <v>CarrosserieSalaires spécialistes</v>
          </cell>
          <cell r="C260"/>
          <cell r="D260"/>
          <cell r="E260">
            <v>0</v>
          </cell>
          <cell r="F260"/>
          <cell r="G260"/>
          <cell r="H260">
            <v>0</v>
          </cell>
          <cell r="I260"/>
          <cell r="J260"/>
          <cell r="K260">
            <v>0</v>
          </cell>
          <cell r="L260"/>
          <cell r="M260"/>
          <cell r="N260">
            <v>0</v>
          </cell>
          <cell r="O260"/>
          <cell r="P260"/>
          <cell r="Q260">
            <v>0</v>
          </cell>
          <cell r="R260"/>
          <cell r="S260"/>
          <cell r="T260">
            <v>0</v>
          </cell>
          <cell r="U260"/>
          <cell r="V260"/>
          <cell r="W260">
            <v>0</v>
          </cell>
          <cell r="X260"/>
          <cell r="Y260"/>
          <cell r="Z260">
            <v>0</v>
          </cell>
          <cell r="AA260"/>
          <cell r="AB260"/>
          <cell r="AC260">
            <v>0</v>
          </cell>
          <cell r="AD260"/>
          <cell r="AE260"/>
          <cell r="AF260">
            <v>0</v>
          </cell>
          <cell r="AG260"/>
          <cell r="AH260"/>
          <cell r="AI260">
            <v>0</v>
          </cell>
          <cell r="AJ260"/>
          <cell r="AK260"/>
          <cell r="AL260">
            <v>0</v>
          </cell>
          <cell r="AM260"/>
          <cell r="AN260"/>
          <cell r="AO260">
            <v>0</v>
          </cell>
        </row>
        <row r="261">
          <cell r="A261" t="str">
            <v>Carrosserie[...]</v>
          </cell>
          <cell r="C261"/>
          <cell r="D261"/>
          <cell r="E261"/>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v>
          </cell>
          <cell r="C262"/>
          <cell r="D262"/>
          <cell r="E262"/>
          <cell r="F262"/>
          <cell r="G262"/>
          <cell r="H262"/>
          <cell r="I262"/>
          <cell r="J262"/>
          <cell r="K262"/>
          <cell r="L262"/>
          <cell r="M262"/>
          <cell r="N262"/>
          <cell r="O262"/>
          <cell r="P262"/>
          <cell r="Q262"/>
          <cell r="R262"/>
          <cell r="S262"/>
          <cell r="T262"/>
          <cell r="U262"/>
          <cell r="V262"/>
          <cell r="W262"/>
          <cell r="X262"/>
          <cell r="Y262"/>
          <cell r="Z262"/>
          <cell r="AA262"/>
          <cell r="AB262"/>
          <cell r="AC262"/>
          <cell r="AD262"/>
          <cell r="AE262"/>
          <cell r="AF262"/>
          <cell r="AG262"/>
          <cell r="AH262"/>
          <cell r="AI262"/>
          <cell r="AJ262"/>
          <cell r="AK262"/>
          <cell r="AL262"/>
          <cell r="AM262"/>
          <cell r="AN262"/>
          <cell r="AO262"/>
        </row>
        <row r="263">
          <cell r="A263" t="str">
            <v>Carrosserie[...]</v>
          </cell>
          <cell r="C263"/>
          <cell r="D263"/>
          <cell r="E263"/>
          <cell r="F263"/>
          <cell r="G263"/>
          <cell r="H263"/>
          <cell r="I263"/>
          <cell r="J263"/>
          <cell r="K263"/>
          <cell r="L263"/>
          <cell r="M263"/>
          <cell r="N263"/>
          <cell r="O263"/>
          <cell r="P263"/>
          <cell r="Q263"/>
          <cell r="R263"/>
          <cell r="S263"/>
          <cell r="T263"/>
          <cell r="U263"/>
          <cell r="V263"/>
          <cell r="W263"/>
          <cell r="X263"/>
          <cell r="Y263"/>
          <cell r="Z263"/>
          <cell r="AA263"/>
          <cell r="AB263"/>
          <cell r="AC263"/>
          <cell r="AD263"/>
          <cell r="AE263"/>
          <cell r="AF263"/>
          <cell r="AG263"/>
          <cell r="AH263"/>
          <cell r="AI263"/>
          <cell r="AJ263"/>
          <cell r="AK263"/>
          <cell r="AL263"/>
          <cell r="AM263"/>
          <cell r="AN263"/>
          <cell r="AO263"/>
        </row>
        <row r="264">
          <cell r="A264" t="str">
            <v>CarrosserieSalaires en absences</v>
          </cell>
          <cell r="C264"/>
          <cell r="D264"/>
          <cell r="E264">
            <v>6331.14</v>
          </cell>
          <cell r="F264"/>
          <cell r="G264"/>
          <cell r="H264">
            <v>476.39</v>
          </cell>
          <cell r="I264"/>
          <cell r="J264"/>
          <cell r="K264">
            <v>292.58999999999997</v>
          </cell>
          <cell r="L264"/>
          <cell r="M264"/>
          <cell r="N264">
            <v>244.69</v>
          </cell>
          <cell r="O264"/>
          <cell r="P264"/>
          <cell r="Q264">
            <v>537.70000000000005</v>
          </cell>
          <cell r="R264"/>
          <cell r="S264"/>
          <cell r="T264">
            <v>572.55999999999995</v>
          </cell>
          <cell r="U264"/>
          <cell r="V264"/>
          <cell r="W264">
            <v>567.5</v>
          </cell>
          <cell r="X264"/>
          <cell r="Y264"/>
          <cell r="Z264">
            <v>810.54</v>
          </cell>
          <cell r="AA264"/>
          <cell r="AB264"/>
          <cell r="AC264">
            <v>295.61</v>
          </cell>
          <cell r="AD264"/>
          <cell r="AE264"/>
          <cell r="AF264">
            <v>545.54999999999995</v>
          </cell>
          <cell r="AG264"/>
          <cell r="AH264"/>
          <cell r="AI264">
            <v>664.46</v>
          </cell>
          <cell r="AJ264"/>
          <cell r="AK264"/>
          <cell r="AL264">
            <v>303.14</v>
          </cell>
          <cell r="AM264"/>
          <cell r="AN264"/>
          <cell r="AO264">
            <v>1020.41</v>
          </cell>
        </row>
        <row r="265">
          <cell r="A265" t="str">
            <v>CarrosserieDéduction à la source</v>
          </cell>
          <cell r="C265"/>
          <cell r="D265"/>
          <cell r="E265">
            <v>16996.59</v>
          </cell>
          <cell r="F265"/>
          <cell r="G265"/>
          <cell r="H265">
            <v>1514.63</v>
          </cell>
          <cell r="I265"/>
          <cell r="J265"/>
          <cell r="K265">
            <v>1514.91</v>
          </cell>
          <cell r="L265"/>
          <cell r="M265"/>
          <cell r="N265">
            <v>1234.45</v>
          </cell>
          <cell r="O265"/>
          <cell r="P265"/>
          <cell r="Q265">
            <v>1369.98</v>
          </cell>
          <cell r="R265"/>
          <cell r="S265"/>
          <cell r="T265">
            <v>1444.17</v>
          </cell>
          <cell r="U265"/>
          <cell r="V265"/>
          <cell r="W265">
            <v>1253.82</v>
          </cell>
          <cell r="X265"/>
          <cell r="Y265"/>
          <cell r="Z265">
            <v>1273.5999999999999</v>
          </cell>
          <cell r="AA265"/>
          <cell r="AB265"/>
          <cell r="AC265">
            <v>1352.19</v>
          </cell>
          <cell r="AD265"/>
          <cell r="AE265"/>
          <cell r="AF265">
            <v>1443.66</v>
          </cell>
          <cell r="AG265"/>
          <cell r="AH265"/>
          <cell r="AI265">
            <v>1628.76</v>
          </cell>
          <cell r="AJ265"/>
          <cell r="AK265"/>
          <cell r="AL265">
            <v>1353.77</v>
          </cell>
          <cell r="AM265"/>
          <cell r="AN265"/>
          <cell r="AO265">
            <v>1612.65</v>
          </cell>
        </row>
        <row r="266">
          <cell r="A266" t="str">
            <v>CarrosserieBénéfices marginaux</v>
          </cell>
          <cell r="C266"/>
          <cell r="D266"/>
          <cell r="E266">
            <v>2671.9199999999983</v>
          </cell>
          <cell r="F266"/>
          <cell r="G266"/>
          <cell r="H266">
            <v>509.87</v>
          </cell>
          <cell r="I266"/>
          <cell r="J266"/>
          <cell r="K266">
            <v>383.38</v>
          </cell>
          <cell r="L266"/>
          <cell r="M266"/>
          <cell r="N266">
            <v>383.32</v>
          </cell>
          <cell r="O266"/>
          <cell r="P266"/>
          <cell r="Q266">
            <v>382.41999999999899</v>
          </cell>
          <cell r="R266"/>
          <cell r="S266"/>
          <cell r="T266">
            <v>463.91999999999899</v>
          </cell>
          <cell r="U266"/>
          <cell r="V266"/>
          <cell r="W266">
            <v>-396.9</v>
          </cell>
          <cell r="X266"/>
          <cell r="Y266"/>
          <cell r="Z266">
            <v>111.41</v>
          </cell>
          <cell r="AA266"/>
          <cell r="AB266"/>
          <cell r="AC266">
            <v>113.64</v>
          </cell>
          <cell r="AD266"/>
          <cell r="AE266"/>
          <cell r="AF266">
            <v>98.28</v>
          </cell>
          <cell r="AG266"/>
          <cell r="AH266"/>
          <cell r="AI266">
            <v>126.81</v>
          </cell>
          <cell r="AJ266"/>
          <cell r="AK266"/>
          <cell r="AL266">
            <v>236.68</v>
          </cell>
          <cell r="AM266"/>
          <cell r="AN266"/>
          <cell r="AO266">
            <v>259.08999999999997</v>
          </cell>
        </row>
        <row r="267">
          <cell r="A267" t="str">
            <v>CarrosserieCsst</v>
          </cell>
          <cell r="C267"/>
          <cell r="D267"/>
          <cell r="E267">
            <v>2604.19</v>
          </cell>
          <cell r="F267"/>
          <cell r="G267"/>
          <cell r="H267">
            <v>170.57</v>
          </cell>
          <cell r="I267"/>
          <cell r="J267"/>
          <cell r="K267">
            <v>340.27</v>
          </cell>
          <cell r="L267"/>
          <cell r="M267"/>
          <cell r="N267">
            <v>203.82</v>
          </cell>
          <cell r="O267"/>
          <cell r="P267"/>
          <cell r="Q267">
            <v>341.14</v>
          </cell>
          <cell r="R267"/>
          <cell r="S267"/>
          <cell r="T267">
            <v>164.21</v>
          </cell>
          <cell r="U267"/>
          <cell r="V267"/>
          <cell r="W267">
            <v>131.69999999999999</v>
          </cell>
          <cell r="X267"/>
          <cell r="Y267"/>
          <cell r="Z267">
            <v>299.07</v>
          </cell>
          <cell r="AA267"/>
          <cell r="AB267"/>
          <cell r="AC267">
            <v>123.68</v>
          </cell>
          <cell r="AD267"/>
          <cell r="AE267"/>
          <cell r="AF267">
            <v>139.08000000000001</v>
          </cell>
          <cell r="AG267"/>
          <cell r="AH267"/>
          <cell r="AI267">
            <v>371.61</v>
          </cell>
          <cell r="AJ267"/>
          <cell r="AK267"/>
          <cell r="AL267">
            <v>139.32</v>
          </cell>
          <cell r="AM267"/>
          <cell r="AN267"/>
          <cell r="AO267">
            <v>179.72</v>
          </cell>
        </row>
        <row r="268">
          <cell r="A268" t="str">
            <v>Carrosserie[...]</v>
          </cell>
          <cell r="C268"/>
          <cell r="D268"/>
          <cell r="E268">
            <v>0</v>
          </cell>
          <cell r="F268"/>
          <cell r="G268"/>
          <cell r="H268"/>
          <cell r="I268"/>
          <cell r="J268"/>
          <cell r="K268"/>
          <cell r="L268"/>
          <cell r="M268"/>
          <cell r="N268"/>
          <cell r="O268"/>
          <cell r="P268"/>
          <cell r="Q268"/>
          <cell r="R268"/>
          <cell r="S268"/>
          <cell r="T268"/>
          <cell r="U268"/>
          <cell r="V268"/>
          <cell r="W268"/>
          <cell r="X268"/>
          <cell r="Y268"/>
          <cell r="Z268"/>
          <cell r="AA268"/>
          <cell r="AB268"/>
          <cell r="AC268"/>
          <cell r="AD268"/>
          <cell r="AE268"/>
          <cell r="AF268"/>
          <cell r="AG268"/>
          <cell r="AH268"/>
          <cell r="AI268"/>
          <cell r="AJ268"/>
          <cell r="AK268"/>
          <cell r="AL268"/>
          <cell r="AM268"/>
          <cell r="AN268"/>
          <cell r="AO268"/>
        </row>
        <row r="269">
          <cell r="A269" t="str">
            <v>CarrosserieTOTAL PERSONNEL</v>
          </cell>
          <cell r="C269" t="str">
            <v>% brut</v>
          </cell>
          <cell r="D269">
            <v>0</v>
          </cell>
          <cell r="E269">
            <v>92774.95</v>
          </cell>
          <cell r="F269" t="str">
            <v>% brut</v>
          </cell>
          <cell r="G269">
            <v>0</v>
          </cell>
          <cell r="H269">
            <v>7400</v>
          </cell>
          <cell r="I269" t="str">
            <v>% brut</v>
          </cell>
          <cell r="J269">
            <v>0</v>
          </cell>
          <cell r="K269">
            <v>6635.91</v>
          </cell>
          <cell r="L269" t="str">
            <v>% brut</v>
          </cell>
          <cell r="M269">
            <v>0</v>
          </cell>
          <cell r="N269">
            <v>7108.8499999999985</v>
          </cell>
          <cell r="O269" t="str">
            <v>% brut</v>
          </cell>
          <cell r="P269">
            <v>0</v>
          </cell>
          <cell r="Q269">
            <v>7749.15</v>
          </cell>
          <cell r="R269" t="str">
            <v>% brut</v>
          </cell>
          <cell r="S269">
            <v>0</v>
          </cell>
          <cell r="T269">
            <v>8523.0799999999981</v>
          </cell>
          <cell r="U269" t="str">
            <v>% brut</v>
          </cell>
          <cell r="V269">
            <v>0</v>
          </cell>
          <cell r="W269">
            <v>6317.96</v>
          </cell>
          <cell r="X269" t="str">
            <v>% brut</v>
          </cell>
          <cell r="Y269">
            <v>0</v>
          </cell>
          <cell r="Z269">
            <v>4920.24</v>
          </cell>
          <cell r="AA269" t="str">
            <v>% brut</v>
          </cell>
          <cell r="AB269">
            <v>0</v>
          </cell>
          <cell r="AC269">
            <v>7697.5000000000009</v>
          </cell>
          <cell r="AD269" t="str">
            <v>% brut</v>
          </cell>
          <cell r="AE269">
            <v>0</v>
          </cell>
          <cell r="AF269">
            <v>8123.86</v>
          </cell>
          <cell r="AG269" t="str">
            <v>% brut</v>
          </cell>
          <cell r="AH269">
            <v>0</v>
          </cell>
          <cell r="AI269">
            <v>10035.99</v>
          </cell>
          <cell r="AJ269" t="str">
            <v>% brut</v>
          </cell>
          <cell r="AK269">
            <v>0</v>
          </cell>
          <cell r="AL269">
            <v>8852.2100000000009</v>
          </cell>
          <cell r="AM269" t="str">
            <v>% brut</v>
          </cell>
          <cell r="AN269">
            <v>0</v>
          </cell>
          <cell r="AO269">
            <v>9410.1999999999989</v>
          </cell>
        </row>
        <row r="270">
          <cell r="A270" t="str">
            <v>CarrosseriePublicité 2</v>
          </cell>
          <cell r="C270"/>
          <cell r="D270"/>
          <cell r="E270">
            <v>333.71999999999997</v>
          </cell>
          <cell r="F270"/>
          <cell r="G270"/>
          <cell r="H270">
            <v>7</v>
          </cell>
          <cell r="I270"/>
          <cell r="J270"/>
          <cell r="K270">
            <v>24.5</v>
          </cell>
          <cell r="L270"/>
          <cell r="M270"/>
          <cell r="N270">
            <v>40.25</v>
          </cell>
          <cell r="O270"/>
          <cell r="P270"/>
          <cell r="Q270">
            <v>28</v>
          </cell>
          <cell r="R270"/>
          <cell r="S270"/>
          <cell r="T270">
            <v>3.5</v>
          </cell>
          <cell r="U270"/>
          <cell r="V270"/>
          <cell r="W270">
            <v>33.46</v>
          </cell>
          <cell r="X270"/>
          <cell r="Y270"/>
          <cell r="Z270">
            <v>89.88</v>
          </cell>
          <cell r="AA270"/>
          <cell r="AB270"/>
          <cell r="AC270">
            <v>38.08</v>
          </cell>
          <cell r="AD270"/>
          <cell r="AE270"/>
          <cell r="AF270">
            <v>14</v>
          </cell>
          <cell r="AG270"/>
          <cell r="AH270"/>
          <cell r="AI270">
            <v>13.02</v>
          </cell>
          <cell r="AJ270"/>
          <cell r="AK270"/>
          <cell r="AL270">
            <v>0.01</v>
          </cell>
          <cell r="AM270"/>
          <cell r="AN270"/>
          <cell r="AO270">
            <v>42.02</v>
          </cell>
        </row>
        <row r="271">
          <cell r="A271" t="str">
            <v>CarrosserieService gratuit 2</v>
          </cell>
          <cell r="C271"/>
          <cell r="D271"/>
          <cell r="E271">
            <v>12872.140000000001</v>
          </cell>
          <cell r="F271"/>
          <cell r="G271"/>
          <cell r="H271">
            <v>11717.2</v>
          </cell>
          <cell r="I271"/>
          <cell r="J271"/>
          <cell r="K271">
            <v>0</v>
          </cell>
          <cell r="L271"/>
          <cell r="M271"/>
          <cell r="N271">
            <v>0</v>
          </cell>
          <cell r="O271"/>
          <cell r="P271"/>
          <cell r="Q271">
            <v>609.52</v>
          </cell>
          <cell r="R271"/>
          <cell r="S271"/>
          <cell r="T271">
            <v>0</v>
          </cell>
          <cell r="U271"/>
          <cell r="V271"/>
          <cell r="W271">
            <v>0</v>
          </cell>
          <cell r="X271"/>
          <cell r="Y271"/>
          <cell r="Z271">
            <v>0</v>
          </cell>
          <cell r="AA271"/>
          <cell r="AB271"/>
          <cell r="AC271">
            <v>0</v>
          </cell>
          <cell r="AD271"/>
          <cell r="AE271"/>
          <cell r="AF271">
            <v>88.95</v>
          </cell>
          <cell r="AG271"/>
          <cell r="AH271"/>
          <cell r="AI271">
            <v>349.3</v>
          </cell>
          <cell r="AJ271"/>
          <cell r="AK271"/>
          <cell r="AL271">
            <v>48.11</v>
          </cell>
          <cell r="AM271"/>
          <cell r="AN271"/>
          <cell r="AO271">
            <v>59.06</v>
          </cell>
        </row>
        <row r="272">
          <cell r="A272" t="str">
            <v>CarrosserieFrais véhicules de cie</v>
          </cell>
          <cell r="C272"/>
          <cell r="D272"/>
          <cell r="E272">
            <v>1985.9100000000003</v>
          </cell>
          <cell r="F272"/>
          <cell r="G272"/>
          <cell r="H272">
            <v>177.91</v>
          </cell>
          <cell r="I272"/>
          <cell r="J272"/>
          <cell r="K272">
            <v>157.77000000000001</v>
          </cell>
          <cell r="L272"/>
          <cell r="M272"/>
          <cell r="N272">
            <v>157.77000000000001</v>
          </cell>
          <cell r="O272"/>
          <cell r="P272"/>
          <cell r="Q272">
            <v>157.77000000000001</v>
          </cell>
          <cell r="R272"/>
          <cell r="S272"/>
          <cell r="T272">
            <v>177.91</v>
          </cell>
          <cell r="U272"/>
          <cell r="V272"/>
          <cell r="W272">
            <v>157.77000000000001</v>
          </cell>
          <cell r="X272"/>
          <cell r="Y272"/>
          <cell r="Z272">
            <v>157.77000000000001</v>
          </cell>
          <cell r="AA272"/>
          <cell r="AB272"/>
          <cell r="AC272">
            <v>177.91</v>
          </cell>
          <cell r="AD272"/>
          <cell r="AE272"/>
          <cell r="AF272">
            <v>157.77000000000001</v>
          </cell>
          <cell r="AG272"/>
          <cell r="AH272"/>
          <cell r="AI272">
            <v>177.91</v>
          </cell>
          <cell r="AJ272"/>
          <cell r="AK272"/>
          <cell r="AL272">
            <v>157.77000000000001</v>
          </cell>
          <cell r="AM272"/>
          <cell r="AN272"/>
          <cell r="AO272">
            <v>169.88</v>
          </cell>
        </row>
        <row r="273">
          <cell r="A273" t="str">
            <v>CarrosserieInformatique</v>
          </cell>
          <cell r="C273"/>
          <cell r="D273"/>
          <cell r="E273">
            <v>19885.97</v>
          </cell>
          <cell r="F273"/>
          <cell r="G273"/>
          <cell r="H273">
            <v>2230.21</v>
          </cell>
          <cell r="I273"/>
          <cell r="J273"/>
          <cell r="K273">
            <v>1160.31</v>
          </cell>
          <cell r="L273"/>
          <cell r="M273"/>
          <cell r="N273">
            <v>1609.3</v>
          </cell>
          <cell r="O273"/>
          <cell r="P273"/>
          <cell r="Q273">
            <v>1872.86</v>
          </cell>
          <cell r="R273"/>
          <cell r="S273"/>
          <cell r="T273">
            <v>2065.0700000000002</v>
          </cell>
          <cell r="U273"/>
          <cell r="V273"/>
          <cell r="W273">
            <v>1449.66</v>
          </cell>
          <cell r="X273"/>
          <cell r="Y273"/>
          <cell r="Z273">
            <v>1544.79</v>
          </cell>
          <cell r="AA273"/>
          <cell r="AB273"/>
          <cell r="AC273">
            <v>1592.18</v>
          </cell>
          <cell r="AD273"/>
          <cell r="AE273"/>
          <cell r="AF273">
            <v>1496.8</v>
          </cell>
          <cell r="AG273"/>
          <cell r="AH273"/>
          <cell r="AI273">
            <v>1116.99</v>
          </cell>
          <cell r="AJ273"/>
          <cell r="AK273"/>
          <cell r="AL273">
            <v>2002.96</v>
          </cell>
          <cell r="AM273"/>
          <cell r="AN273"/>
          <cell r="AO273">
            <v>1744.84</v>
          </cell>
        </row>
        <row r="274">
          <cell r="A274" t="str">
            <v>CarrosserieFrais de déplacement</v>
          </cell>
          <cell r="C274"/>
          <cell r="D274"/>
          <cell r="E274">
            <v>3384.0000000000005</v>
          </cell>
          <cell r="F274"/>
          <cell r="G274"/>
          <cell r="H274">
            <v>292.13</v>
          </cell>
          <cell r="I274"/>
          <cell r="J274"/>
          <cell r="K274">
            <v>203.97</v>
          </cell>
          <cell r="L274"/>
          <cell r="M274"/>
          <cell r="N274">
            <v>191.76</v>
          </cell>
          <cell r="O274"/>
          <cell r="P274"/>
          <cell r="Q274">
            <v>285.75</v>
          </cell>
          <cell r="R274"/>
          <cell r="S274"/>
          <cell r="T274">
            <v>264.81</v>
          </cell>
          <cell r="U274"/>
          <cell r="V274"/>
          <cell r="W274">
            <v>435.98</v>
          </cell>
          <cell r="X274"/>
          <cell r="Y274"/>
          <cell r="Z274">
            <v>179.64</v>
          </cell>
          <cell r="AA274"/>
          <cell r="AB274"/>
          <cell r="AC274">
            <v>167.36</v>
          </cell>
          <cell r="AD274"/>
          <cell r="AE274"/>
          <cell r="AF274">
            <v>186.27</v>
          </cell>
          <cell r="AG274"/>
          <cell r="AH274"/>
          <cell r="AI274">
            <v>482.13</v>
          </cell>
          <cell r="AJ274"/>
          <cell r="AK274"/>
          <cell r="AL274">
            <v>364.88</v>
          </cell>
          <cell r="AM274"/>
          <cell r="AN274"/>
          <cell r="AO274">
            <v>329.32</v>
          </cell>
        </row>
        <row r="275">
          <cell r="A275" t="str">
            <v>CarrosserieServices extérieurs</v>
          </cell>
          <cell r="C275"/>
          <cell r="D275"/>
          <cell r="E275">
            <v>8546.1900000000023</v>
          </cell>
          <cell r="F275"/>
          <cell r="G275"/>
          <cell r="H275">
            <v>825.52</v>
          </cell>
          <cell r="I275"/>
          <cell r="J275"/>
          <cell r="K275">
            <v>841.55</v>
          </cell>
          <cell r="L275"/>
          <cell r="M275"/>
          <cell r="N275">
            <v>1423.27</v>
          </cell>
          <cell r="O275"/>
          <cell r="P275"/>
          <cell r="Q275">
            <v>726.05</v>
          </cell>
          <cell r="R275"/>
          <cell r="S275"/>
          <cell r="T275">
            <v>730.06</v>
          </cell>
          <cell r="U275"/>
          <cell r="V275"/>
          <cell r="W275">
            <v>494.99</v>
          </cell>
          <cell r="X275"/>
          <cell r="Y275"/>
          <cell r="Z275">
            <v>987.01</v>
          </cell>
          <cell r="AA275"/>
          <cell r="AB275"/>
          <cell r="AC275">
            <v>531.78</v>
          </cell>
          <cell r="AD275"/>
          <cell r="AE275"/>
          <cell r="AF275">
            <v>978.56</v>
          </cell>
          <cell r="AG275"/>
          <cell r="AH275"/>
          <cell r="AI275">
            <v>890.54</v>
          </cell>
          <cell r="AJ275"/>
          <cell r="AK275"/>
          <cell r="AL275">
            <v>1148.67</v>
          </cell>
          <cell r="AM275"/>
          <cell r="AN275"/>
          <cell r="AO275">
            <v>-1031.81</v>
          </cell>
        </row>
        <row r="276">
          <cell r="A276" t="str">
            <v>CarrosserieFournitures d'atelier</v>
          </cell>
          <cell r="C276"/>
          <cell r="D276"/>
          <cell r="E276">
            <v>0</v>
          </cell>
          <cell r="F276"/>
          <cell r="G276"/>
          <cell r="H276">
            <v>0</v>
          </cell>
          <cell r="I276"/>
          <cell r="J276"/>
          <cell r="K276">
            <v>0</v>
          </cell>
          <cell r="L276"/>
          <cell r="M276"/>
          <cell r="N276">
            <v>0</v>
          </cell>
          <cell r="O276"/>
          <cell r="P276"/>
          <cell r="Q276">
            <v>0</v>
          </cell>
          <cell r="R276"/>
          <cell r="S276"/>
          <cell r="T276">
            <v>0</v>
          </cell>
          <cell r="U276"/>
          <cell r="V276"/>
          <cell r="W276">
            <v>0</v>
          </cell>
          <cell r="X276"/>
          <cell r="Y276"/>
          <cell r="Z276">
            <v>0</v>
          </cell>
          <cell r="AA276"/>
          <cell r="AB276"/>
          <cell r="AC276">
            <v>0</v>
          </cell>
          <cell r="AD276"/>
          <cell r="AE276"/>
          <cell r="AF276">
            <v>0</v>
          </cell>
          <cell r="AG276"/>
          <cell r="AH276"/>
          <cell r="AI276">
            <v>0</v>
          </cell>
          <cell r="AJ276"/>
          <cell r="AK276"/>
          <cell r="AL276">
            <v>0</v>
          </cell>
          <cell r="AM276"/>
          <cell r="AN276"/>
          <cell r="AO276">
            <v>0</v>
          </cell>
        </row>
        <row r="277">
          <cell r="A277" t="str">
            <v>CarrosserieFournitures autres</v>
          </cell>
          <cell r="C277"/>
          <cell r="D277"/>
          <cell r="E277">
            <v>10.199999999999999</v>
          </cell>
          <cell r="F277"/>
          <cell r="G277"/>
          <cell r="H277">
            <v>0</v>
          </cell>
          <cell r="I277"/>
          <cell r="J277"/>
          <cell r="K277">
            <v>0</v>
          </cell>
          <cell r="L277"/>
          <cell r="M277"/>
          <cell r="N277">
            <v>0</v>
          </cell>
          <cell r="O277"/>
          <cell r="P277"/>
          <cell r="Q277">
            <v>0</v>
          </cell>
          <cell r="R277"/>
          <cell r="S277"/>
          <cell r="T277">
            <v>0</v>
          </cell>
          <cell r="U277"/>
          <cell r="V277"/>
          <cell r="W277">
            <v>0</v>
          </cell>
          <cell r="X277"/>
          <cell r="Y277"/>
          <cell r="Z277">
            <v>0</v>
          </cell>
          <cell r="AA277"/>
          <cell r="AB277"/>
          <cell r="AC277">
            <v>4.59</v>
          </cell>
          <cell r="AD277"/>
          <cell r="AE277"/>
          <cell r="AF277">
            <v>5.61</v>
          </cell>
          <cell r="AG277"/>
          <cell r="AH277"/>
          <cell r="AI277">
            <v>0</v>
          </cell>
          <cell r="AJ277"/>
          <cell r="AK277"/>
          <cell r="AL277">
            <v>0</v>
          </cell>
          <cell r="AM277"/>
          <cell r="AN277"/>
          <cell r="AO277">
            <v>0</v>
          </cell>
        </row>
        <row r="278">
          <cell r="A278" t="str">
            <v>CarrosserieUniformes</v>
          </cell>
          <cell r="C278"/>
          <cell r="D278"/>
          <cell r="E278">
            <v>0</v>
          </cell>
          <cell r="F278"/>
          <cell r="G278"/>
          <cell r="H278">
            <v>0</v>
          </cell>
          <cell r="I278"/>
          <cell r="J278"/>
          <cell r="K278">
            <v>0</v>
          </cell>
          <cell r="L278"/>
          <cell r="M278"/>
          <cell r="N278">
            <v>0</v>
          </cell>
          <cell r="O278"/>
          <cell r="P278"/>
          <cell r="Q278">
            <v>0</v>
          </cell>
          <cell r="R278"/>
          <cell r="S278"/>
          <cell r="T278">
            <v>0</v>
          </cell>
          <cell r="U278"/>
          <cell r="V278"/>
          <cell r="W278">
            <v>0</v>
          </cell>
          <cell r="X278"/>
          <cell r="Y278"/>
          <cell r="Z278">
            <v>0</v>
          </cell>
          <cell r="AA278"/>
          <cell r="AB278"/>
          <cell r="AC278">
            <v>0</v>
          </cell>
          <cell r="AD278"/>
          <cell r="AE278"/>
          <cell r="AF278">
            <v>0</v>
          </cell>
          <cell r="AG278"/>
          <cell r="AH278"/>
          <cell r="AI278">
            <v>0</v>
          </cell>
          <cell r="AJ278"/>
          <cell r="AK278"/>
          <cell r="AL278">
            <v>0</v>
          </cell>
          <cell r="AM278"/>
          <cell r="AN278"/>
          <cell r="AO278">
            <v>0</v>
          </cell>
        </row>
        <row r="279">
          <cell r="A279" t="str">
            <v>CarrosseriePapeterie</v>
          </cell>
          <cell r="C279"/>
          <cell r="D279"/>
          <cell r="E279">
            <v>1390.1699999999998</v>
          </cell>
          <cell r="F279"/>
          <cell r="G279"/>
          <cell r="H279">
            <v>35.380000000000003</v>
          </cell>
          <cell r="I279"/>
          <cell r="J279"/>
          <cell r="K279">
            <v>227.94</v>
          </cell>
          <cell r="L279"/>
          <cell r="M279"/>
          <cell r="N279">
            <v>118.8</v>
          </cell>
          <cell r="O279"/>
          <cell r="P279"/>
          <cell r="Q279">
            <v>12.72</v>
          </cell>
          <cell r="R279"/>
          <cell r="S279"/>
          <cell r="T279">
            <v>229.11</v>
          </cell>
          <cell r="U279"/>
          <cell r="V279"/>
          <cell r="W279">
            <v>89.36</v>
          </cell>
          <cell r="X279"/>
          <cell r="Y279"/>
          <cell r="Z279">
            <v>47.8</v>
          </cell>
          <cell r="AA279"/>
          <cell r="AB279"/>
          <cell r="AC279">
            <v>172.13</v>
          </cell>
          <cell r="AD279"/>
          <cell r="AE279"/>
          <cell r="AF279">
            <v>65.52</v>
          </cell>
          <cell r="AG279"/>
          <cell r="AH279"/>
          <cell r="AI279">
            <v>12.89</v>
          </cell>
          <cell r="AJ279"/>
          <cell r="AK279"/>
          <cell r="AL279">
            <v>320.76</v>
          </cell>
          <cell r="AM279"/>
          <cell r="AN279"/>
          <cell r="AO279">
            <v>57.76</v>
          </cell>
        </row>
        <row r="280">
          <cell r="A280" t="str">
            <v>CarrosserieTéléphone</v>
          </cell>
          <cell r="C280"/>
          <cell r="D280"/>
          <cell r="E280">
            <v>335.71000000000004</v>
          </cell>
          <cell r="F280"/>
          <cell r="G280"/>
          <cell r="H280">
            <v>36.47</v>
          </cell>
          <cell r="I280"/>
          <cell r="J280"/>
          <cell r="K280">
            <v>33.880000000000003</v>
          </cell>
          <cell r="L280"/>
          <cell r="M280"/>
          <cell r="N280">
            <v>24.49</v>
          </cell>
          <cell r="O280"/>
          <cell r="P280"/>
          <cell r="Q280">
            <v>26.51</v>
          </cell>
          <cell r="R280"/>
          <cell r="S280"/>
          <cell r="T280">
            <v>24.76</v>
          </cell>
          <cell r="U280"/>
          <cell r="V280"/>
          <cell r="W280">
            <v>22.93</v>
          </cell>
          <cell r="X280"/>
          <cell r="Y280"/>
          <cell r="Z280">
            <v>17.43</v>
          </cell>
          <cell r="AA280"/>
          <cell r="AB280"/>
          <cell r="AC280">
            <v>35.9</v>
          </cell>
          <cell r="AD280"/>
          <cell r="AE280"/>
          <cell r="AF280">
            <v>26.36</v>
          </cell>
          <cell r="AG280"/>
          <cell r="AH280"/>
          <cell r="AI280">
            <v>27.71</v>
          </cell>
          <cell r="AJ280"/>
          <cell r="AK280"/>
          <cell r="AL280">
            <v>32.99</v>
          </cell>
          <cell r="AM280"/>
          <cell r="AN280"/>
          <cell r="AO280">
            <v>26.28</v>
          </cell>
        </row>
        <row r="281">
          <cell r="A281" t="str">
            <v>CarrosserieFrais postaux</v>
          </cell>
          <cell r="C281"/>
          <cell r="D281"/>
          <cell r="E281">
            <v>587.62999999999988</v>
          </cell>
          <cell r="F281"/>
          <cell r="G281"/>
          <cell r="H281">
            <v>158.76</v>
          </cell>
          <cell r="I281"/>
          <cell r="J281"/>
          <cell r="K281">
            <v>97.98</v>
          </cell>
          <cell r="L281"/>
          <cell r="M281"/>
          <cell r="N281">
            <v>88.77</v>
          </cell>
          <cell r="O281"/>
          <cell r="P281"/>
          <cell r="Q281">
            <v>28.72</v>
          </cell>
          <cell r="R281"/>
          <cell r="S281"/>
          <cell r="T281">
            <v>46.19</v>
          </cell>
          <cell r="U281"/>
          <cell r="V281"/>
          <cell r="W281">
            <v>19.329999999999998</v>
          </cell>
          <cell r="X281"/>
          <cell r="Y281"/>
          <cell r="Z281">
            <v>11.94</v>
          </cell>
          <cell r="AA281"/>
          <cell r="AB281"/>
          <cell r="AC281">
            <v>44.65</v>
          </cell>
          <cell r="AD281"/>
          <cell r="AE281"/>
          <cell r="AF281">
            <v>17.11</v>
          </cell>
          <cell r="AG281"/>
          <cell r="AH281"/>
          <cell r="AI281">
            <v>19.09</v>
          </cell>
          <cell r="AJ281"/>
          <cell r="AK281"/>
          <cell r="AL281">
            <v>25.53</v>
          </cell>
          <cell r="AM281"/>
          <cell r="AN281"/>
          <cell r="AO281">
            <v>29.56</v>
          </cell>
        </row>
        <row r="282">
          <cell r="A282" t="str">
            <v>CarrosserieDivers</v>
          </cell>
          <cell r="C282"/>
          <cell r="D282"/>
          <cell r="E282">
            <v>436.65999999999997</v>
          </cell>
          <cell r="F282"/>
          <cell r="G282"/>
          <cell r="H282">
            <v>19.57</v>
          </cell>
          <cell r="I282"/>
          <cell r="J282"/>
          <cell r="K282">
            <v>15.58</v>
          </cell>
          <cell r="L282"/>
          <cell r="M282"/>
          <cell r="N282">
            <v>15.58</v>
          </cell>
          <cell r="O282"/>
          <cell r="P282"/>
          <cell r="Q282">
            <v>26.49</v>
          </cell>
          <cell r="R282"/>
          <cell r="S282"/>
          <cell r="T282">
            <v>24.43</v>
          </cell>
          <cell r="U282"/>
          <cell r="V282"/>
          <cell r="W282">
            <v>13.72</v>
          </cell>
          <cell r="X282"/>
          <cell r="Y282"/>
          <cell r="Z282">
            <v>13.72</v>
          </cell>
          <cell r="AA282"/>
          <cell r="AB282"/>
          <cell r="AC282">
            <v>13.72</v>
          </cell>
          <cell r="AD282"/>
          <cell r="AE282"/>
          <cell r="AF282">
            <v>29.47</v>
          </cell>
          <cell r="AG282"/>
          <cell r="AH282"/>
          <cell r="AI282">
            <v>13.72</v>
          </cell>
          <cell r="AJ282"/>
          <cell r="AK282"/>
          <cell r="AL282">
            <v>89.76</v>
          </cell>
          <cell r="AM282"/>
          <cell r="AN282"/>
          <cell r="AO282">
            <v>160.9</v>
          </cell>
        </row>
        <row r="283">
          <cell r="A283" t="str">
            <v>CarrosserieFormation</v>
          </cell>
          <cell r="C283"/>
          <cell r="D283"/>
          <cell r="E283">
            <v>868.87</v>
          </cell>
          <cell r="F283"/>
          <cell r="G283"/>
          <cell r="H283">
            <v>22.33</v>
          </cell>
          <cell r="I283"/>
          <cell r="J283"/>
          <cell r="K283">
            <v>66.58</v>
          </cell>
          <cell r="L283"/>
          <cell r="M283"/>
          <cell r="N283">
            <v>148.75</v>
          </cell>
          <cell r="O283"/>
          <cell r="P283"/>
          <cell r="Q283">
            <v>22.33</v>
          </cell>
          <cell r="R283"/>
          <cell r="S283"/>
          <cell r="T283">
            <v>-9.5500000000000007</v>
          </cell>
          <cell r="U283"/>
          <cell r="V283"/>
          <cell r="W283">
            <v>22.33</v>
          </cell>
          <cell r="X283"/>
          <cell r="Y283"/>
          <cell r="Z283">
            <v>131.96</v>
          </cell>
          <cell r="AA283"/>
          <cell r="AB283"/>
          <cell r="AC283">
            <v>91.95</v>
          </cell>
          <cell r="AD283"/>
          <cell r="AE283"/>
          <cell r="AF283">
            <v>90.63</v>
          </cell>
          <cell r="AG283"/>
          <cell r="AH283"/>
          <cell r="AI283">
            <v>133.72</v>
          </cell>
          <cell r="AJ283"/>
          <cell r="AK283"/>
          <cell r="AL283">
            <v>125.51</v>
          </cell>
          <cell r="AM283"/>
          <cell r="AN283"/>
          <cell r="AO283">
            <v>22.33</v>
          </cell>
        </row>
        <row r="284">
          <cell r="A284" t="str">
            <v>CarrosserieFrais bancaires</v>
          </cell>
          <cell r="C284"/>
          <cell r="D284"/>
          <cell r="E284">
            <v>2670.5399999999995</v>
          </cell>
          <cell r="F284"/>
          <cell r="G284"/>
          <cell r="H284">
            <v>155.71</v>
          </cell>
          <cell r="I284"/>
          <cell r="J284"/>
          <cell r="K284">
            <v>120.3</v>
          </cell>
          <cell r="L284"/>
          <cell r="M284"/>
          <cell r="N284">
            <v>206.67</v>
          </cell>
          <cell r="O284"/>
          <cell r="P284"/>
          <cell r="Q284">
            <v>256.04000000000002</v>
          </cell>
          <cell r="R284"/>
          <cell r="S284"/>
          <cell r="T284">
            <v>253.32</v>
          </cell>
          <cell r="U284"/>
          <cell r="V284"/>
          <cell r="W284">
            <v>195.21</v>
          </cell>
          <cell r="X284"/>
          <cell r="Y284"/>
          <cell r="Z284">
            <v>216.81</v>
          </cell>
          <cell r="AA284"/>
          <cell r="AB284"/>
          <cell r="AC284">
            <v>210.56</v>
          </cell>
          <cell r="AD284"/>
          <cell r="AE284"/>
          <cell r="AF284">
            <v>223.14</v>
          </cell>
          <cell r="AG284"/>
          <cell r="AH284"/>
          <cell r="AI284">
            <v>258.08</v>
          </cell>
          <cell r="AJ284"/>
          <cell r="AK284"/>
          <cell r="AL284">
            <v>353.23</v>
          </cell>
          <cell r="AM284"/>
          <cell r="AN284"/>
          <cell r="AO284">
            <v>221.47</v>
          </cell>
        </row>
        <row r="285">
          <cell r="A285" t="str">
            <v>Carrosserie[...]</v>
          </cell>
          <cell r="C285"/>
          <cell r="D285"/>
          <cell r="E285"/>
          <cell r="F285"/>
          <cell r="G285"/>
          <cell r="H285"/>
          <cell r="I285"/>
          <cell r="J285"/>
          <cell r="K285"/>
          <cell r="L285"/>
          <cell r="M285"/>
          <cell r="N285"/>
          <cell r="O285"/>
          <cell r="P285"/>
          <cell r="Q285"/>
          <cell r="R285"/>
          <cell r="S285"/>
          <cell r="T285"/>
          <cell r="U285"/>
          <cell r="V285"/>
          <cell r="W285"/>
          <cell r="X285"/>
          <cell r="Y285"/>
          <cell r="Z285"/>
          <cell r="AA285"/>
          <cell r="AB285"/>
          <cell r="AC285"/>
          <cell r="AD285"/>
          <cell r="AE285"/>
          <cell r="AF285"/>
          <cell r="AG285"/>
          <cell r="AH285"/>
          <cell r="AI285"/>
          <cell r="AJ285"/>
          <cell r="AK285"/>
          <cell r="AL285"/>
          <cell r="AM285"/>
          <cell r="AN285"/>
          <cell r="AO285"/>
        </row>
        <row r="286">
          <cell r="A286" t="str">
            <v>Carrosserie[...]</v>
          </cell>
          <cell r="C286"/>
          <cell r="D286"/>
          <cell r="E286"/>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v>
          </cell>
          <cell r="C287"/>
          <cell r="D287"/>
          <cell r="E287"/>
          <cell r="F287"/>
          <cell r="G287"/>
          <cell r="H287"/>
          <cell r="I287"/>
          <cell r="J287"/>
          <cell r="K287"/>
          <cell r="L287"/>
          <cell r="M287"/>
          <cell r="N287"/>
          <cell r="O287"/>
          <cell r="P287"/>
          <cell r="Q287"/>
          <cell r="R287"/>
          <cell r="S287"/>
          <cell r="T287"/>
          <cell r="U287"/>
          <cell r="V287"/>
          <cell r="W287"/>
          <cell r="X287"/>
          <cell r="Y287"/>
          <cell r="Z287"/>
          <cell r="AA287"/>
          <cell r="AB287"/>
          <cell r="AC287"/>
          <cell r="AD287"/>
          <cell r="AE287"/>
          <cell r="AF287"/>
          <cell r="AG287"/>
          <cell r="AH287"/>
          <cell r="AI287"/>
          <cell r="AJ287"/>
          <cell r="AK287"/>
          <cell r="AL287"/>
          <cell r="AM287"/>
          <cell r="AN287"/>
          <cell r="AO287"/>
        </row>
        <row r="288">
          <cell r="A288" t="str">
            <v>CarrosserieTOTAL SEMI-FIXES</v>
          </cell>
          <cell r="C288" t="str">
            <v>% brut</v>
          </cell>
          <cell r="D288">
            <v>0</v>
          </cell>
          <cell r="E288">
            <v>53307.710000000006</v>
          </cell>
          <cell r="F288" t="str">
            <v>% brut</v>
          </cell>
          <cell r="G288">
            <v>0</v>
          </cell>
          <cell r="H288">
            <v>15678.189999999997</v>
          </cell>
          <cell r="I288" t="str">
            <v>% brut</v>
          </cell>
          <cell r="J288">
            <v>0</v>
          </cell>
          <cell r="K288">
            <v>2950.36</v>
          </cell>
          <cell r="L288" t="str">
            <v>% brut</v>
          </cell>
          <cell r="M288">
            <v>0</v>
          </cell>
          <cell r="N288">
            <v>4025.41</v>
          </cell>
          <cell r="O288" t="str">
            <v>% brut</v>
          </cell>
          <cell r="P288">
            <v>0</v>
          </cell>
          <cell r="Q288">
            <v>4052.7599999999993</v>
          </cell>
          <cell r="R288" t="str">
            <v>% brut</v>
          </cell>
          <cell r="S288">
            <v>0</v>
          </cell>
          <cell r="T288">
            <v>3809.61</v>
          </cell>
          <cell r="U288" t="str">
            <v>% brut</v>
          </cell>
          <cell r="V288">
            <v>0</v>
          </cell>
          <cell r="W288">
            <v>2934.7399999999993</v>
          </cell>
          <cell r="X288" t="str">
            <v>% brut</v>
          </cell>
          <cell r="Y288">
            <v>0</v>
          </cell>
          <cell r="Z288">
            <v>3398.75</v>
          </cell>
          <cell r="AA288" t="str">
            <v>% brut</v>
          </cell>
          <cell r="AB288">
            <v>0</v>
          </cell>
          <cell r="AC288">
            <v>3080.8100000000004</v>
          </cell>
          <cell r="AD288" t="str">
            <v>% brut</v>
          </cell>
          <cell r="AE288">
            <v>0</v>
          </cell>
          <cell r="AF288">
            <v>3380.19</v>
          </cell>
          <cell r="AG288" t="str">
            <v>% brut</v>
          </cell>
          <cell r="AH288">
            <v>0</v>
          </cell>
          <cell r="AI288">
            <v>3495.0999999999995</v>
          </cell>
          <cell r="AJ288" t="str">
            <v>% brut</v>
          </cell>
          <cell r="AK288">
            <v>0</v>
          </cell>
          <cell r="AL288">
            <v>4670.18</v>
          </cell>
          <cell r="AM288" t="str">
            <v>% brut</v>
          </cell>
          <cell r="AN288">
            <v>0</v>
          </cell>
          <cell r="AO288">
            <v>1831.61</v>
          </cell>
        </row>
        <row r="289">
          <cell r="A289" t="str">
            <v>Carrosserie</v>
          </cell>
          <cell r="C289"/>
          <cell r="D289"/>
          <cell r="E289"/>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row>
        <row r="290">
          <cell r="A290" t="str">
            <v>CarrosserieTOTAL DES DÉPENSES</v>
          </cell>
          <cell r="C290" t="str">
            <v>% brut</v>
          </cell>
          <cell r="D290">
            <v>0</v>
          </cell>
          <cell r="E290">
            <v>146082.66</v>
          </cell>
          <cell r="F290" t="str">
            <v>% brut</v>
          </cell>
          <cell r="G290">
            <v>0</v>
          </cell>
          <cell r="H290">
            <v>23078.189999999995</v>
          </cell>
          <cell r="I290" t="str">
            <v>% brut</v>
          </cell>
          <cell r="J290">
            <v>0</v>
          </cell>
          <cell r="K290">
            <v>9586.27</v>
          </cell>
          <cell r="L290" t="str">
            <v>% brut</v>
          </cell>
          <cell r="M290">
            <v>0</v>
          </cell>
          <cell r="N290">
            <v>11134.259999999998</v>
          </cell>
          <cell r="O290" t="str">
            <v>% brut</v>
          </cell>
          <cell r="P290">
            <v>0</v>
          </cell>
          <cell r="Q290">
            <v>11801.91</v>
          </cell>
          <cell r="R290" t="str">
            <v>% brut</v>
          </cell>
          <cell r="S290">
            <v>0</v>
          </cell>
          <cell r="T290">
            <v>12332.689999999999</v>
          </cell>
          <cell r="U290" t="str">
            <v>% brut</v>
          </cell>
          <cell r="V290">
            <v>0</v>
          </cell>
          <cell r="W290">
            <v>9252.6999999999989</v>
          </cell>
          <cell r="X290" t="str">
            <v>% brut</v>
          </cell>
          <cell r="Y290">
            <v>0</v>
          </cell>
          <cell r="Z290">
            <v>8318.99</v>
          </cell>
          <cell r="AA290" t="str">
            <v>% brut</v>
          </cell>
          <cell r="AB290">
            <v>0</v>
          </cell>
          <cell r="AC290">
            <v>10778.310000000001</v>
          </cell>
          <cell r="AD290" t="str">
            <v>% brut</v>
          </cell>
          <cell r="AE290">
            <v>0</v>
          </cell>
          <cell r="AF290">
            <v>11504.05</v>
          </cell>
          <cell r="AG290" t="str">
            <v>% brut</v>
          </cell>
          <cell r="AH290">
            <v>0</v>
          </cell>
          <cell r="AI290">
            <v>13531.09</v>
          </cell>
          <cell r="AJ290" t="str">
            <v>% brut</v>
          </cell>
          <cell r="AK290">
            <v>0</v>
          </cell>
          <cell r="AL290">
            <v>13522.390000000001</v>
          </cell>
          <cell r="AM290" t="str">
            <v>% brut</v>
          </cell>
          <cell r="AN290">
            <v>0</v>
          </cell>
          <cell r="AO290">
            <v>11241.81</v>
          </cell>
        </row>
        <row r="291">
          <cell r="A291" t="str">
            <v>Carrosserie</v>
          </cell>
          <cell r="C291"/>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t="str">
            <v>CarrosseriePROFIT DÉPARTEMENTAL</v>
          </cell>
          <cell r="C292"/>
          <cell r="D292"/>
          <cell r="E292">
            <v>-46337.800000000134</v>
          </cell>
          <cell r="F292"/>
          <cell r="G292"/>
          <cell r="H292">
            <v>-20798.630000000005</v>
          </cell>
          <cell r="I292"/>
          <cell r="J292"/>
          <cell r="K292">
            <v>-4680.3600000000006</v>
          </cell>
          <cell r="L292"/>
          <cell r="M292"/>
          <cell r="N292">
            <v>-8391.4299999999985</v>
          </cell>
          <cell r="O292"/>
          <cell r="P292"/>
          <cell r="Q292">
            <v>-7486.32</v>
          </cell>
          <cell r="R292"/>
          <cell r="S292"/>
          <cell r="T292">
            <v>-10303.700000000008</v>
          </cell>
          <cell r="U292"/>
          <cell r="V292"/>
          <cell r="W292">
            <v>-5667.7099999999991</v>
          </cell>
          <cell r="X292"/>
          <cell r="Y292"/>
          <cell r="Z292">
            <v>1329.5999999999894</v>
          </cell>
          <cell r="AA292"/>
          <cell r="AB292"/>
          <cell r="AC292">
            <v>-1291.4800000000105</v>
          </cell>
          <cell r="AD292"/>
          <cell r="AE292"/>
          <cell r="AF292">
            <v>1514.9500000000007</v>
          </cell>
          <cell r="AG292"/>
          <cell r="AH292"/>
          <cell r="AI292">
            <v>1145.6199999999008</v>
          </cell>
          <cell r="AJ292"/>
          <cell r="AK292"/>
          <cell r="AL292">
            <v>7915.83</v>
          </cell>
          <cell r="AM292"/>
          <cell r="AN292"/>
          <cell r="AO292">
            <v>375.82999999999993</v>
          </cell>
        </row>
        <row r="293">
          <cell r="A293"/>
          <cell r="C293"/>
          <cell r="D293"/>
          <cell r="E293"/>
          <cell r="F293"/>
          <cell r="G293"/>
          <cell r="H293"/>
          <cell r="I293"/>
          <cell r="J293"/>
          <cell r="K293"/>
          <cell r="L293"/>
          <cell r="M293"/>
          <cell r="N293"/>
          <cell r="O293"/>
          <cell r="P293"/>
          <cell r="Q293"/>
          <cell r="R293"/>
          <cell r="S293"/>
          <cell r="T293"/>
          <cell r="U293"/>
          <cell r="V293"/>
          <cell r="W293"/>
          <cell r="X293"/>
          <cell r="Y293"/>
          <cell r="Z293"/>
          <cell r="AA293"/>
          <cell r="AB293"/>
          <cell r="AC293"/>
          <cell r="AD293"/>
          <cell r="AE293"/>
          <cell r="AF293"/>
          <cell r="AG293"/>
          <cell r="AH293"/>
          <cell r="AI293"/>
          <cell r="AJ293"/>
          <cell r="AK293"/>
          <cell r="AL293"/>
          <cell r="AM293"/>
          <cell r="AN293"/>
          <cell r="AO293"/>
        </row>
        <row r="294">
          <cell r="A294"/>
          <cell r="C294" t="str">
            <v>Pièces</v>
          </cell>
          <cell r="D294"/>
          <cell r="E294"/>
          <cell r="F294"/>
          <cell r="G294"/>
          <cell r="H294"/>
          <cell r="I294"/>
          <cell r="J294"/>
          <cell r="K294"/>
          <cell r="L294"/>
          <cell r="M294"/>
          <cell r="N294"/>
          <cell r="O294"/>
          <cell r="P294"/>
          <cell r="Q294"/>
          <cell r="R294"/>
          <cell r="S294"/>
          <cell r="T294"/>
          <cell r="U294"/>
          <cell r="V294"/>
          <cell r="W294"/>
          <cell r="X294"/>
          <cell r="Y294"/>
          <cell r="Z294"/>
          <cell r="AA294"/>
          <cell r="AB294"/>
          <cell r="AC294"/>
          <cell r="AD294"/>
          <cell r="AE294"/>
          <cell r="AF294"/>
          <cell r="AG294"/>
          <cell r="AH294"/>
          <cell r="AI294"/>
          <cell r="AJ294"/>
          <cell r="AK294"/>
          <cell r="AL294"/>
          <cell r="AM294"/>
          <cell r="AN294"/>
          <cell r="AO294"/>
        </row>
        <row r="295">
          <cell r="A295"/>
          <cell r="C295"/>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cell r="AD295"/>
          <cell r="AE295"/>
          <cell r="AF295"/>
          <cell r="AG295"/>
          <cell r="AH295"/>
          <cell r="AI295"/>
          <cell r="AJ295"/>
          <cell r="AK295"/>
          <cell r="AL295"/>
          <cell r="AM295"/>
          <cell r="AN295"/>
          <cell r="AO295"/>
        </row>
        <row r="296">
          <cell r="A296"/>
          <cell r="C296">
            <v>2025</v>
          </cell>
          <cell r="D296"/>
          <cell r="E296"/>
          <cell r="F296" t="str">
            <v>Janvier</v>
          </cell>
          <cell r="G296"/>
          <cell r="H296"/>
          <cell r="I296" t="str">
            <v>Février</v>
          </cell>
          <cell r="J296"/>
          <cell r="K296"/>
          <cell r="L296" t="str">
            <v>Mars</v>
          </cell>
          <cell r="M296"/>
          <cell r="N296"/>
          <cell r="O296" t="str">
            <v>Avril</v>
          </cell>
          <cell r="P296"/>
          <cell r="Q296"/>
          <cell r="R296" t="str">
            <v>Mai</v>
          </cell>
          <cell r="S296"/>
          <cell r="T296"/>
          <cell r="U296" t="str">
            <v>Juin</v>
          </cell>
          <cell r="V296"/>
          <cell r="W296"/>
          <cell r="X296" t="str">
            <v>Juillet</v>
          </cell>
          <cell r="Y296"/>
          <cell r="Z296"/>
          <cell r="AA296" t="str">
            <v>Août</v>
          </cell>
          <cell r="AB296"/>
          <cell r="AC296"/>
          <cell r="AD296" t="str">
            <v>Septembre</v>
          </cell>
          <cell r="AE296"/>
          <cell r="AF296"/>
          <cell r="AG296" t="str">
            <v>Octobre</v>
          </cell>
          <cell r="AH296"/>
          <cell r="AI296"/>
          <cell r="AJ296" t="str">
            <v>Novembre</v>
          </cell>
          <cell r="AK296"/>
          <cell r="AL296"/>
          <cell r="AM296" t="str">
            <v>Décembre</v>
          </cell>
          <cell r="AN296"/>
          <cell r="AO296"/>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1068736.54</v>
          </cell>
          <cell r="D298">
            <v>0.3426406287184674</v>
          </cell>
          <cell r="E298">
            <v>366192.55999999947</v>
          </cell>
          <cell r="F298">
            <v>67070.5</v>
          </cell>
          <cell r="G298">
            <v>0.32451867810736468</v>
          </cell>
          <cell r="H298">
            <v>21765.63</v>
          </cell>
          <cell r="I298">
            <v>60578.83</v>
          </cell>
          <cell r="J298">
            <v>0.28341881148909609</v>
          </cell>
          <cell r="K298">
            <v>17169.18</v>
          </cell>
          <cell r="L298">
            <v>76633.429999999993</v>
          </cell>
          <cell r="M298">
            <v>0.30231636506417503</v>
          </cell>
          <cell r="N298">
            <v>23167.539999999899</v>
          </cell>
          <cell r="O298">
            <v>79614.17</v>
          </cell>
          <cell r="P298">
            <v>0.33377638679144556</v>
          </cell>
          <cell r="Q298">
            <v>26573.3299999999</v>
          </cell>
          <cell r="R298">
            <v>118021.43</v>
          </cell>
          <cell r="S298">
            <v>0.31805825433567364</v>
          </cell>
          <cell r="T298">
            <v>37537.6899999999</v>
          </cell>
          <cell r="U298">
            <v>86209.07</v>
          </cell>
          <cell r="V298">
            <v>0.33914215754792387</v>
          </cell>
          <cell r="W298">
            <v>29237.13</v>
          </cell>
          <cell r="X298">
            <v>87058.76</v>
          </cell>
          <cell r="Y298">
            <v>0.34657282047205706</v>
          </cell>
          <cell r="Z298">
            <v>30172.199999999899</v>
          </cell>
          <cell r="AA298">
            <v>86794.299999999901</v>
          </cell>
          <cell r="AB298">
            <v>0.37558307400370688</v>
          </cell>
          <cell r="AC298">
            <v>32598.469999999899</v>
          </cell>
          <cell r="AD298">
            <v>86276.05</v>
          </cell>
          <cell r="AE298">
            <v>0.38774375971083513</v>
          </cell>
          <cell r="AF298">
            <v>33453</v>
          </cell>
          <cell r="AG298">
            <v>113725.39</v>
          </cell>
          <cell r="AH298">
            <v>0.33353070936929741</v>
          </cell>
          <cell r="AI298">
            <v>37930.910000000003</v>
          </cell>
          <cell r="AJ298">
            <v>130393.98</v>
          </cell>
          <cell r="AK298">
            <v>0.37232447387525103</v>
          </cell>
          <cell r="AL298">
            <v>48548.87</v>
          </cell>
          <cell r="AM298">
            <v>76360.63</v>
          </cell>
          <cell r="AN298">
            <v>0.36718672960136656</v>
          </cell>
          <cell r="AO298">
            <v>28038.61</v>
          </cell>
        </row>
        <row r="299">
          <cell r="A299" t="str">
            <v>PiècesPièces Ro Carrosserie</v>
          </cell>
          <cell r="C299">
            <v>326097.83</v>
          </cell>
          <cell r="D299">
            <v>0.23345794726692898</v>
          </cell>
          <cell r="E299">
            <v>76130.129999999976</v>
          </cell>
          <cell r="F299">
            <v>2353.8200000000002</v>
          </cell>
          <cell r="G299">
            <v>0.27891682456602457</v>
          </cell>
          <cell r="H299">
            <v>656.52</v>
          </cell>
          <cell r="I299">
            <v>10964.62</v>
          </cell>
          <cell r="J299">
            <v>0.23183931590880485</v>
          </cell>
          <cell r="K299">
            <v>2542.0300000000002</v>
          </cell>
          <cell r="L299">
            <v>4912.8599999999997</v>
          </cell>
          <cell r="M299">
            <v>0.21582336968690133</v>
          </cell>
          <cell r="N299">
            <v>1060.3099999999899</v>
          </cell>
          <cell r="O299">
            <v>5388.62</v>
          </cell>
          <cell r="P299">
            <v>0.25085829024870748</v>
          </cell>
          <cell r="Q299">
            <v>1351.77999999999</v>
          </cell>
          <cell r="R299">
            <v>1379.61</v>
          </cell>
          <cell r="S299">
            <v>0.23078986090271819</v>
          </cell>
          <cell r="T299">
            <v>318.39999999999901</v>
          </cell>
          <cell r="U299">
            <v>6139.71</v>
          </cell>
          <cell r="V299">
            <v>0.23077474343250742</v>
          </cell>
          <cell r="W299">
            <v>1416.89</v>
          </cell>
          <cell r="X299">
            <v>18886.29</v>
          </cell>
          <cell r="Y299">
            <v>0.23393848130045655</v>
          </cell>
          <cell r="Z299">
            <v>4418.2299999999996</v>
          </cell>
          <cell r="AA299">
            <v>7894.69</v>
          </cell>
          <cell r="AB299">
            <v>0.23078170263810233</v>
          </cell>
          <cell r="AC299">
            <v>1821.95</v>
          </cell>
          <cell r="AD299">
            <v>61917.71</v>
          </cell>
          <cell r="AE299">
            <v>0.23422248658744002</v>
          </cell>
          <cell r="AF299">
            <v>14502.52</v>
          </cell>
          <cell r="AG299">
            <v>65502.26</v>
          </cell>
          <cell r="AH299">
            <v>0.23487235402259402</v>
          </cell>
          <cell r="AI299">
            <v>15384.67</v>
          </cell>
          <cell r="AJ299">
            <v>79245.39</v>
          </cell>
          <cell r="AK299">
            <v>0.23140828759881174</v>
          </cell>
          <cell r="AL299">
            <v>18338.04</v>
          </cell>
          <cell r="AM299">
            <v>61512.25</v>
          </cell>
          <cell r="AN299">
            <v>0.2327794870127495</v>
          </cell>
          <cell r="AO299">
            <v>14318.79</v>
          </cell>
        </row>
        <row r="300">
          <cell r="A300" t="str">
            <v>PiècesP/A Garantie</v>
          </cell>
          <cell r="C300">
            <v>1034204.6900000002</v>
          </cell>
          <cell r="D300">
            <v>0.23300102226378366</v>
          </cell>
          <cell r="E300">
            <v>240970.74999999953</v>
          </cell>
          <cell r="F300">
            <v>93363.8</v>
          </cell>
          <cell r="G300">
            <v>0.2310724285001253</v>
          </cell>
          <cell r="H300">
            <v>21573.8</v>
          </cell>
          <cell r="I300">
            <v>81364.36</v>
          </cell>
          <cell r="J300">
            <v>0.23102350955627257</v>
          </cell>
          <cell r="K300">
            <v>18797.080000000002</v>
          </cell>
          <cell r="L300">
            <v>136018.10999999999</v>
          </cell>
          <cell r="M300">
            <v>0.23098468284848175</v>
          </cell>
          <cell r="N300">
            <v>31418.0999999999</v>
          </cell>
          <cell r="O300">
            <v>49369.33</v>
          </cell>
          <cell r="P300">
            <v>0.24429944664025213</v>
          </cell>
          <cell r="Q300">
            <v>12060.9</v>
          </cell>
          <cell r="R300">
            <v>85718.31</v>
          </cell>
          <cell r="S300">
            <v>0.2366525891609389</v>
          </cell>
          <cell r="T300">
            <v>20285.46</v>
          </cell>
          <cell r="U300">
            <v>73741.789999999994</v>
          </cell>
          <cell r="V300">
            <v>0.23132961649018696</v>
          </cell>
          <cell r="W300">
            <v>17058.659999999902</v>
          </cell>
          <cell r="X300">
            <v>95506.71</v>
          </cell>
          <cell r="Y300">
            <v>0.23560993777295858</v>
          </cell>
          <cell r="Z300">
            <v>22502.33</v>
          </cell>
          <cell r="AA300">
            <v>101671.38</v>
          </cell>
          <cell r="AB300">
            <v>0.23110790863662811</v>
          </cell>
          <cell r="AC300">
            <v>23497.059999999899</v>
          </cell>
          <cell r="AD300">
            <v>97642.15</v>
          </cell>
          <cell r="AE300">
            <v>0.23087375687651185</v>
          </cell>
          <cell r="AF300">
            <v>22543.0099999999</v>
          </cell>
          <cell r="AG300">
            <v>95605.78</v>
          </cell>
          <cell r="AH300">
            <v>0.23241199433757978</v>
          </cell>
          <cell r="AI300">
            <v>22219.929999999898</v>
          </cell>
          <cell r="AJ300">
            <v>17813.3</v>
          </cell>
          <cell r="AK300">
            <v>0.23083426428567419</v>
          </cell>
          <cell r="AL300">
            <v>4111.92</v>
          </cell>
          <cell r="AM300">
            <v>106389.67</v>
          </cell>
          <cell r="AN300">
            <v>0.23406877754203018</v>
          </cell>
          <cell r="AO300">
            <v>24902.5</v>
          </cell>
        </row>
        <row r="301">
          <cell r="A301" t="str">
            <v>PiècesVentes Internes</v>
          </cell>
          <cell r="C301">
            <v>777694.79999999993</v>
          </cell>
          <cell r="D301">
            <v>0.28146415534731545</v>
          </cell>
          <cell r="E301">
            <v>218893.20999999941</v>
          </cell>
          <cell r="F301">
            <v>80439.509999999995</v>
          </cell>
          <cell r="G301">
            <v>0.26709399398380101</v>
          </cell>
          <cell r="H301">
            <v>21484.909999999902</v>
          </cell>
          <cell r="I301">
            <v>63496.06</v>
          </cell>
          <cell r="J301">
            <v>0.25951720468955081</v>
          </cell>
          <cell r="K301">
            <v>16478.32</v>
          </cell>
          <cell r="L301">
            <v>47434.68</v>
          </cell>
          <cell r="M301">
            <v>0.278487385178945</v>
          </cell>
          <cell r="N301">
            <v>13209.96</v>
          </cell>
          <cell r="O301">
            <v>51699.32</v>
          </cell>
          <cell r="P301">
            <v>0.32751823428238519</v>
          </cell>
          <cell r="Q301">
            <v>16932.47</v>
          </cell>
          <cell r="R301">
            <v>56839.72</v>
          </cell>
          <cell r="S301">
            <v>0.28767435870549679</v>
          </cell>
          <cell r="T301">
            <v>16351.33</v>
          </cell>
          <cell r="U301">
            <v>66243.42</v>
          </cell>
          <cell r="V301">
            <v>0.28202242577451314</v>
          </cell>
          <cell r="W301">
            <v>18682.129999999899</v>
          </cell>
          <cell r="X301">
            <v>73676.91</v>
          </cell>
          <cell r="Y301">
            <v>0.28959995743578282</v>
          </cell>
          <cell r="Z301">
            <v>21336.83</v>
          </cell>
          <cell r="AA301">
            <v>70514.59</v>
          </cell>
          <cell r="AB301">
            <v>0.29256314189729954</v>
          </cell>
          <cell r="AC301">
            <v>20629.969999999899</v>
          </cell>
          <cell r="AD301">
            <v>82005.509999999995</v>
          </cell>
          <cell r="AE301">
            <v>0.28171643588339251</v>
          </cell>
          <cell r="AF301">
            <v>23102.299999999901</v>
          </cell>
          <cell r="AG301">
            <v>47768.99</v>
          </cell>
          <cell r="AH301">
            <v>0.27434157598893971</v>
          </cell>
          <cell r="AI301">
            <v>13105.0199999999</v>
          </cell>
          <cell r="AJ301">
            <v>71056.259999999995</v>
          </cell>
          <cell r="AK301">
            <v>0.24788048231077603</v>
          </cell>
          <cell r="AL301">
            <v>17613.459999999901</v>
          </cell>
          <cell r="AM301">
            <v>66519.83</v>
          </cell>
          <cell r="AN301">
            <v>0.30015876468716168</v>
          </cell>
          <cell r="AO301">
            <v>19966.509999999998</v>
          </cell>
        </row>
        <row r="302">
          <cell r="A302" t="str">
            <v>PiècesVentes Détails</v>
          </cell>
          <cell r="C302">
            <v>221768.57</v>
          </cell>
          <cell r="D302">
            <v>0.28474386609427987</v>
          </cell>
          <cell r="E302">
            <v>63147.23999999994</v>
          </cell>
          <cell r="F302">
            <v>11490.9</v>
          </cell>
          <cell r="G302">
            <v>0.34181569763900044</v>
          </cell>
          <cell r="H302">
            <v>3927.76999999999</v>
          </cell>
          <cell r="I302">
            <v>19021.86</v>
          </cell>
          <cell r="J302">
            <v>0.28937180696314663</v>
          </cell>
          <cell r="K302">
            <v>5504.39</v>
          </cell>
          <cell r="L302">
            <v>13465.41</v>
          </cell>
          <cell r="M302">
            <v>0.33371356683532105</v>
          </cell>
          <cell r="N302">
            <v>4493.59</v>
          </cell>
          <cell r="O302">
            <v>18999.689999999999</v>
          </cell>
          <cell r="P302">
            <v>0.26101741659995453</v>
          </cell>
          <cell r="Q302">
            <v>4959.24999999999</v>
          </cell>
          <cell r="R302">
            <v>22502.2</v>
          </cell>
          <cell r="S302">
            <v>0.24628525210868227</v>
          </cell>
          <cell r="T302">
            <v>5541.95999999999</v>
          </cell>
          <cell r="U302">
            <v>18169.66</v>
          </cell>
          <cell r="V302">
            <v>0.29129438855762796</v>
          </cell>
          <cell r="W302">
            <v>5292.7199999999903</v>
          </cell>
          <cell r="X302">
            <v>15743.02</v>
          </cell>
          <cell r="Y302">
            <v>0.29404713962124163</v>
          </cell>
          <cell r="Z302">
            <v>4629.1899999999996</v>
          </cell>
          <cell r="AA302">
            <v>14854.09</v>
          </cell>
          <cell r="AB302">
            <v>0.31747081106954378</v>
          </cell>
          <cell r="AC302">
            <v>4715.74</v>
          </cell>
          <cell r="AD302">
            <v>25579.81</v>
          </cell>
          <cell r="AE302">
            <v>0.29575669248520609</v>
          </cell>
          <cell r="AF302">
            <v>7565.4</v>
          </cell>
          <cell r="AG302">
            <v>21253.360000000001</v>
          </cell>
          <cell r="AH302">
            <v>0.24759708582548831</v>
          </cell>
          <cell r="AI302">
            <v>5262.27</v>
          </cell>
          <cell r="AJ302">
            <v>28107.19</v>
          </cell>
          <cell r="AK302">
            <v>0.26250756479036114</v>
          </cell>
          <cell r="AL302">
            <v>7378.3499999999904</v>
          </cell>
          <cell r="AM302">
            <v>12581.38</v>
          </cell>
          <cell r="AN302">
            <v>0.3081227973401956</v>
          </cell>
          <cell r="AO302">
            <v>3876.6099999999901</v>
          </cell>
        </row>
        <row r="303">
          <cell r="A303" t="str">
            <v>PiècesVentes de Gros</v>
          </cell>
          <cell r="C303">
            <v>2334098.1999999997</v>
          </cell>
          <cell r="D303">
            <v>0.13910266071924443</v>
          </cell>
          <cell r="E303">
            <v>324679.26999999909</v>
          </cell>
          <cell r="F303">
            <v>197836.52</v>
          </cell>
          <cell r="G303">
            <v>0.12331332961174156</v>
          </cell>
          <cell r="H303">
            <v>24395.879999999899</v>
          </cell>
          <cell r="I303">
            <v>198781.86</v>
          </cell>
          <cell r="J303">
            <v>0.12800126731885847</v>
          </cell>
          <cell r="K303">
            <v>25444.3299999999</v>
          </cell>
          <cell r="L303">
            <v>219537.13</v>
          </cell>
          <cell r="M303">
            <v>0.15792066699605664</v>
          </cell>
          <cell r="N303">
            <v>34669.449999999997</v>
          </cell>
          <cell r="O303">
            <v>185450.93</v>
          </cell>
          <cell r="P303">
            <v>0.1377988236564783</v>
          </cell>
          <cell r="Q303">
            <v>25554.9199999999</v>
          </cell>
          <cell r="R303">
            <v>196342.46</v>
          </cell>
          <cell r="S303">
            <v>0.13329399051025387</v>
          </cell>
          <cell r="T303">
            <v>26171.269999999899</v>
          </cell>
          <cell r="U303">
            <v>164152.71</v>
          </cell>
          <cell r="V303">
            <v>0.13230771517570378</v>
          </cell>
          <cell r="W303">
            <v>21718.6699999999</v>
          </cell>
          <cell r="X303">
            <v>186492.61</v>
          </cell>
          <cell r="Y303">
            <v>0.13094845956630616</v>
          </cell>
          <cell r="Z303">
            <v>24420.9199999999</v>
          </cell>
          <cell r="AA303">
            <v>199492.56</v>
          </cell>
          <cell r="AB303">
            <v>0.14976428193612784</v>
          </cell>
          <cell r="AC303">
            <v>29876.859999999899</v>
          </cell>
          <cell r="AD303">
            <v>193165.16</v>
          </cell>
          <cell r="AE303">
            <v>0.12674071245560017</v>
          </cell>
          <cell r="AF303">
            <v>24481.89</v>
          </cell>
          <cell r="AG303">
            <v>228136.25</v>
          </cell>
          <cell r="AH303">
            <v>0.17792555983540495</v>
          </cell>
          <cell r="AI303">
            <v>40591.269999999902</v>
          </cell>
          <cell r="AJ303">
            <v>193330.53</v>
          </cell>
          <cell r="AK303">
            <v>0.11165168791499148</v>
          </cell>
          <cell r="AL303">
            <v>21585.679999999898</v>
          </cell>
          <cell r="AM303">
            <v>171379.48</v>
          </cell>
          <cell r="AN303">
            <v>0.15035714894221874</v>
          </cell>
          <cell r="AO303">
            <v>25768.13</v>
          </cell>
        </row>
        <row r="304">
          <cell r="A304" t="str">
            <v>Pièces[...]</v>
          </cell>
          <cell r="C304"/>
          <cell r="D304"/>
          <cell r="E304"/>
          <cell r="F304"/>
          <cell r="G304"/>
          <cell r="H304"/>
          <cell r="I304"/>
          <cell r="J304"/>
          <cell r="K304"/>
          <cell r="L304"/>
          <cell r="M304"/>
          <cell r="N304"/>
          <cell r="O304"/>
          <cell r="P304"/>
          <cell r="Q304"/>
          <cell r="R304"/>
          <cell r="S304"/>
          <cell r="T304"/>
          <cell r="U304"/>
          <cell r="V304"/>
          <cell r="W304"/>
          <cell r="X304"/>
          <cell r="Y304"/>
          <cell r="Z304"/>
          <cell r="AA304"/>
          <cell r="AB304"/>
          <cell r="AC304"/>
          <cell r="AD304"/>
          <cell r="AE304"/>
          <cell r="AF304"/>
          <cell r="AG304"/>
          <cell r="AH304"/>
          <cell r="AI304"/>
          <cell r="AJ304"/>
          <cell r="AK304"/>
          <cell r="AL304"/>
          <cell r="AM304"/>
          <cell r="AN304"/>
          <cell r="AO304"/>
        </row>
        <row r="305">
          <cell r="A305" t="str">
            <v>PiècesEscomptes</v>
          </cell>
          <cell r="C305">
            <v>0</v>
          </cell>
          <cell r="D305">
            <v>0</v>
          </cell>
          <cell r="E305">
            <v>221717.48999999996</v>
          </cell>
          <cell r="F305">
            <v>0</v>
          </cell>
          <cell r="G305">
            <v>0</v>
          </cell>
          <cell r="H305">
            <v>6625.76</v>
          </cell>
          <cell r="I305">
            <v>0</v>
          </cell>
          <cell r="J305">
            <v>0</v>
          </cell>
          <cell r="K305">
            <v>5644.3099999999904</v>
          </cell>
          <cell r="L305">
            <v>0</v>
          </cell>
          <cell r="M305">
            <v>0</v>
          </cell>
          <cell r="N305">
            <v>4948.08</v>
          </cell>
          <cell r="O305">
            <v>0</v>
          </cell>
          <cell r="P305">
            <v>0</v>
          </cell>
          <cell r="Q305">
            <v>8155.1299999999901</v>
          </cell>
          <cell r="R305">
            <v>0</v>
          </cell>
          <cell r="S305">
            <v>0</v>
          </cell>
          <cell r="T305">
            <v>22987.82</v>
          </cell>
          <cell r="U305">
            <v>0</v>
          </cell>
          <cell r="V305">
            <v>0</v>
          </cell>
          <cell r="W305">
            <v>5450.69</v>
          </cell>
          <cell r="X305">
            <v>0</v>
          </cell>
          <cell r="Y305">
            <v>0</v>
          </cell>
          <cell r="Z305">
            <v>4672.6899999999996</v>
          </cell>
          <cell r="AA305">
            <v>0</v>
          </cell>
          <cell r="AB305">
            <v>0</v>
          </cell>
          <cell r="AC305">
            <v>75917.240000000005</v>
          </cell>
          <cell r="AD305">
            <v>0</v>
          </cell>
          <cell r="AE305">
            <v>0</v>
          </cell>
          <cell r="AF305">
            <v>6967.79</v>
          </cell>
          <cell r="AG305">
            <v>0</v>
          </cell>
          <cell r="AH305">
            <v>0</v>
          </cell>
          <cell r="AI305">
            <v>12626.59</v>
          </cell>
          <cell r="AJ305">
            <v>0</v>
          </cell>
          <cell r="AK305">
            <v>0</v>
          </cell>
          <cell r="AL305">
            <v>34531.65</v>
          </cell>
          <cell r="AM305">
            <v>0</v>
          </cell>
          <cell r="AN305">
            <v>0</v>
          </cell>
          <cell r="AO305">
            <v>33189.74</v>
          </cell>
        </row>
        <row r="306">
          <cell r="A306" t="str">
            <v>PiècesRectif. Inventaire</v>
          </cell>
          <cell r="C306">
            <v>0</v>
          </cell>
          <cell r="D306">
            <v>0</v>
          </cell>
          <cell r="E306">
            <v>59190.97</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59190.97</v>
          </cell>
        </row>
        <row r="307">
          <cell r="A307" t="str">
            <v>PiècesSous-total Pièces</v>
          </cell>
          <cell r="C307">
            <v>5762600.6299999999</v>
          </cell>
          <cell r="D307">
            <v>0.27260636661541426</v>
          </cell>
          <cell r="E307">
            <v>1570921.6199999973</v>
          </cell>
          <cell r="F307">
            <v>452555.05</v>
          </cell>
          <cell r="G307">
            <v>0.22191835004382293</v>
          </cell>
          <cell r="H307">
            <v>100430.26999999979</v>
          </cell>
          <cell r="I307">
            <v>434207.58999999997</v>
          </cell>
          <cell r="J307">
            <v>0.21091211233778734</v>
          </cell>
          <cell r="K307">
            <v>91579.639999999898</v>
          </cell>
          <cell r="L307">
            <v>498001.61999999994</v>
          </cell>
          <cell r="M307">
            <v>0.22684068778732047</v>
          </cell>
          <cell r="N307">
            <v>112967.0299999998</v>
          </cell>
          <cell r="O307">
            <v>390522.06</v>
          </cell>
          <cell r="P307">
            <v>0.24476921995136403</v>
          </cell>
          <cell r="Q307">
            <v>95587.779999999781</v>
          </cell>
          <cell r="R307">
            <v>480803.73</v>
          </cell>
          <cell r="S307">
            <v>0.26870409262423939</v>
          </cell>
          <cell r="T307">
            <v>129193.92999999979</v>
          </cell>
          <cell r="U307">
            <v>414656.36</v>
          </cell>
          <cell r="V307">
            <v>0.23840678580210298</v>
          </cell>
          <cell r="W307">
            <v>98856.889999999694</v>
          </cell>
          <cell r="X307">
            <v>477364.30000000005</v>
          </cell>
          <cell r="Y307">
            <v>0.23494088267597682</v>
          </cell>
          <cell r="Z307">
            <v>112152.38999999981</v>
          </cell>
          <cell r="AA307">
            <v>481221.60999999993</v>
          </cell>
          <cell r="AB307">
            <v>0.39286949312188957</v>
          </cell>
          <cell r="AC307">
            <v>189057.2899999996</v>
          </cell>
          <cell r="AD307">
            <v>546586.39</v>
          </cell>
          <cell r="AE307">
            <v>0.24262570826178054</v>
          </cell>
          <cell r="AF307">
            <v>132615.9099999998</v>
          </cell>
          <cell r="AG307">
            <v>571992.03</v>
          </cell>
          <cell r="AH307">
            <v>0.25720753486722481</v>
          </cell>
          <cell r="AI307">
            <v>147120.65999999971</v>
          </cell>
          <cell r="AJ307">
            <v>519946.65</v>
          </cell>
          <cell r="AK307">
            <v>0.2925453409498836</v>
          </cell>
          <cell r="AL307">
            <v>152107.9699999998</v>
          </cell>
          <cell r="AM307">
            <v>494743.24</v>
          </cell>
          <cell r="AN307">
            <v>0.42295041767523694</v>
          </cell>
          <cell r="AO307">
            <v>209251.86</v>
          </cell>
        </row>
        <row r="308">
          <cell r="A308" t="str">
            <v>Pièces</v>
          </cell>
          <cell r="C308"/>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cell r="AD308"/>
          <cell r="AE308"/>
          <cell r="AF308"/>
          <cell r="AG308"/>
          <cell r="AH308"/>
          <cell r="AI308"/>
          <cell r="AJ308"/>
          <cell r="AK308"/>
          <cell r="AL308"/>
          <cell r="AM308"/>
          <cell r="AN308"/>
          <cell r="AO308"/>
        </row>
        <row r="309">
          <cell r="A309" t="str">
            <v>Pièces</v>
          </cell>
          <cell r="C309"/>
          <cell r="D309"/>
          <cell r="E309"/>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row>
        <row r="310">
          <cell r="A310" t="str">
            <v>PiècesVentes Pneus</v>
          </cell>
          <cell r="C310">
            <v>630398.0299999998</v>
          </cell>
          <cell r="D310">
            <v>0.17757660188119559</v>
          </cell>
          <cell r="E310">
            <v>111943.93999999996</v>
          </cell>
          <cell r="F310">
            <v>53714.22</v>
          </cell>
          <cell r="G310">
            <v>0.14131881650706274</v>
          </cell>
          <cell r="H310">
            <v>7590.83</v>
          </cell>
          <cell r="I310">
            <v>49338.75</v>
          </cell>
          <cell r="J310">
            <v>0.17106047477895145</v>
          </cell>
          <cell r="K310">
            <v>8439.9099999999908</v>
          </cell>
          <cell r="L310">
            <v>28787.21</v>
          </cell>
          <cell r="M310">
            <v>0.16886874414019248</v>
          </cell>
          <cell r="N310">
            <v>4861.2599999999902</v>
          </cell>
          <cell r="O310">
            <v>42082.239999999998</v>
          </cell>
          <cell r="P310">
            <v>0.16357636855832769</v>
          </cell>
          <cell r="Q310">
            <v>6883.66</v>
          </cell>
          <cell r="R310">
            <v>41058.479999999901</v>
          </cell>
          <cell r="S310">
            <v>0.16683398898351828</v>
          </cell>
          <cell r="T310">
            <v>6849.9499999999898</v>
          </cell>
          <cell r="U310">
            <v>28187.74</v>
          </cell>
          <cell r="V310">
            <v>0.16461199088681816</v>
          </cell>
          <cell r="W310">
            <v>4640.04</v>
          </cell>
          <cell r="X310">
            <v>32612.16</v>
          </cell>
          <cell r="Y310">
            <v>0.17193372042820837</v>
          </cell>
          <cell r="Z310">
            <v>5607.13</v>
          </cell>
          <cell r="AA310">
            <v>24174.58</v>
          </cell>
          <cell r="AB310">
            <v>0.19221595576841458</v>
          </cell>
          <cell r="AC310">
            <v>4646.74</v>
          </cell>
          <cell r="AD310">
            <v>40681.85</v>
          </cell>
          <cell r="AE310">
            <v>0.1991182800192221</v>
          </cell>
          <cell r="AF310">
            <v>8100.49999999999</v>
          </cell>
          <cell r="AG310">
            <v>68380.94</v>
          </cell>
          <cell r="AH310">
            <v>0.18902898965705939</v>
          </cell>
          <cell r="AI310">
            <v>12925.98</v>
          </cell>
          <cell r="AJ310">
            <v>144545.14000000001</v>
          </cell>
          <cell r="AK310">
            <v>0.18635908478140459</v>
          </cell>
          <cell r="AL310">
            <v>26937.3</v>
          </cell>
          <cell r="AM310">
            <v>76834.720000000001</v>
          </cell>
          <cell r="AN310">
            <v>0.18820449921597943</v>
          </cell>
          <cell r="AO310">
            <v>14460.64</v>
          </cell>
        </row>
        <row r="311">
          <cell r="A311" t="str">
            <v>PiècesHuiles et Graisse</v>
          </cell>
          <cell r="C311">
            <v>281617.26999999996</v>
          </cell>
          <cell r="D311">
            <v>0.27555934335987237</v>
          </cell>
          <cell r="E311">
            <v>77602.269999999873</v>
          </cell>
          <cell r="F311">
            <v>16409.46</v>
          </cell>
          <cell r="G311">
            <v>0.24421644587938848</v>
          </cell>
          <cell r="H311">
            <v>4007.45999999999</v>
          </cell>
          <cell r="I311">
            <v>16154.19</v>
          </cell>
          <cell r="J311">
            <v>0.25065199802651816</v>
          </cell>
          <cell r="K311">
            <v>4049.08</v>
          </cell>
          <cell r="L311">
            <v>16784.47</v>
          </cell>
          <cell r="M311">
            <v>0.26567058715586489</v>
          </cell>
          <cell r="N311">
            <v>4459.1400000000003</v>
          </cell>
          <cell r="O311">
            <v>27375.41</v>
          </cell>
          <cell r="P311">
            <v>0.26588460227627642</v>
          </cell>
          <cell r="Q311">
            <v>7278.7</v>
          </cell>
          <cell r="R311">
            <v>30042.26</v>
          </cell>
          <cell r="S311">
            <v>0.26962452225631461</v>
          </cell>
          <cell r="T311">
            <v>8100.1299999999901</v>
          </cell>
          <cell r="U311">
            <v>21272.07</v>
          </cell>
          <cell r="V311">
            <v>0.27779854052755565</v>
          </cell>
          <cell r="W311">
            <v>5909.35</v>
          </cell>
          <cell r="X311">
            <v>25642.9</v>
          </cell>
          <cell r="Y311">
            <v>0.28574459207031966</v>
          </cell>
          <cell r="Z311">
            <v>7327.32</v>
          </cell>
          <cell r="AA311">
            <v>22150.16</v>
          </cell>
          <cell r="AB311">
            <v>0.28566069048711162</v>
          </cell>
          <cell r="AC311">
            <v>6327.43</v>
          </cell>
          <cell r="AD311">
            <v>23823.07</v>
          </cell>
          <cell r="AE311">
            <v>0.2876854242547241</v>
          </cell>
          <cell r="AF311">
            <v>6853.5499999999902</v>
          </cell>
          <cell r="AG311">
            <v>28019.52</v>
          </cell>
          <cell r="AH311">
            <v>0.27804152248147007</v>
          </cell>
          <cell r="AI311">
            <v>7790.59</v>
          </cell>
          <cell r="AJ311">
            <v>37460.559999999998</v>
          </cell>
          <cell r="AK311">
            <v>0.28788437759606106</v>
          </cell>
          <cell r="AL311">
            <v>10784.309999999899</v>
          </cell>
          <cell r="AM311">
            <v>16483.2</v>
          </cell>
          <cell r="AN311">
            <v>0.28606156571539504</v>
          </cell>
          <cell r="AO311">
            <v>4715.21</v>
          </cell>
        </row>
        <row r="312">
          <cell r="A312" t="str">
            <v>PiècesSous-total Pièces et Acc.</v>
          </cell>
          <cell r="C312">
            <v>6674615.9299999997</v>
          </cell>
          <cell r="D312">
            <v>0.26375567500256109</v>
          </cell>
          <cell r="E312">
            <v>1760467.829999997</v>
          </cell>
          <cell r="F312">
            <v>522678.73000000004</v>
          </cell>
          <cell r="G312">
            <v>0.21433541020504082</v>
          </cell>
          <cell r="H312">
            <v>112028.55999999978</v>
          </cell>
          <cell r="I312">
            <v>499700.52999999997</v>
          </cell>
          <cell r="J312">
            <v>0.20826199644014765</v>
          </cell>
          <cell r="K312">
            <v>104068.62999999989</v>
          </cell>
          <cell r="L312">
            <v>543573.29999999993</v>
          </cell>
          <cell r="M312">
            <v>0.22496953032829206</v>
          </cell>
          <cell r="N312">
            <v>122287.42999999979</v>
          </cell>
          <cell r="O312">
            <v>459979.70999999996</v>
          </cell>
          <cell r="P312">
            <v>0.23859778510665131</v>
          </cell>
          <cell r="Q312">
            <v>109750.13999999978</v>
          </cell>
          <cell r="R312">
            <v>551904.46999999986</v>
          </cell>
          <cell r="S312">
            <v>0.26117565237331708</v>
          </cell>
          <cell r="T312">
            <v>144144.00999999978</v>
          </cell>
          <cell r="U312">
            <v>464116.17</v>
          </cell>
          <cell r="V312">
            <v>0.23573037759059268</v>
          </cell>
          <cell r="W312">
            <v>109406.27999999969</v>
          </cell>
          <cell r="X312">
            <v>535619.36</v>
          </cell>
          <cell r="Y312">
            <v>0.23353681614495755</v>
          </cell>
          <cell r="Z312">
            <v>125086.83999999982</v>
          </cell>
          <cell r="AA312">
            <v>527546.35</v>
          </cell>
          <cell r="AB312">
            <v>0.3791732423132102</v>
          </cell>
          <cell r="AC312">
            <v>200031.45999999958</v>
          </cell>
          <cell r="AD312">
            <v>611091.30999999994</v>
          </cell>
          <cell r="AE312">
            <v>0.24148594094718809</v>
          </cell>
          <cell r="AF312">
            <v>147569.95999999979</v>
          </cell>
          <cell r="AG312">
            <v>668392.49</v>
          </cell>
          <cell r="AH312">
            <v>0.25110579863038218</v>
          </cell>
          <cell r="AI312">
            <v>167837.22999999972</v>
          </cell>
          <cell r="AJ312">
            <v>701952.35000000009</v>
          </cell>
          <cell r="AK312">
            <v>0.27043086329150356</v>
          </cell>
          <cell r="AL312">
            <v>189829.5799999997</v>
          </cell>
          <cell r="AM312">
            <v>588061.15999999992</v>
          </cell>
          <cell r="AN312">
            <v>0.38844209673701291</v>
          </cell>
          <cell r="AO312">
            <v>228427.71</v>
          </cell>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PiècesPièces recond. MCPA</v>
          </cell>
          <cell r="C314">
            <v>0</v>
          </cell>
          <cell r="D314">
            <v>0</v>
          </cell>
          <cell r="E314">
            <v>0</v>
          </cell>
          <cell r="F314"/>
          <cell r="G314"/>
          <cell r="H314"/>
          <cell r="I314"/>
          <cell r="J314"/>
          <cell r="K314"/>
          <cell r="L314"/>
          <cell r="M314"/>
          <cell r="N314"/>
          <cell r="O314"/>
          <cell r="P314"/>
          <cell r="Q314"/>
          <cell r="R314"/>
          <cell r="S314"/>
          <cell r="T314"/>
          <cell r="U314"/>
          <cell r="V314"/>
          <cell r="W314"/>
          <cell r="X314"/>
          <cell r="Y314"/>
          <cell r="Z314"/>
          <cell r="AA314"/>
          <cell r="AB314"/>
          <cell r="AC314"/>
          <cell r="AD314"/>
          <cell r="AE314"/>
          <cell r="AF314"/>
          <cell r="AG314"/>
          <cell r="AH314"/>
          <cell r="AI314"/>
          <cell r="AJ314"/>
          <cell r="AK314"/>
          <cell r="AL314"/>
          <cell r="AM314"/>
          <cell r="AN314"/>
          <cell r="AO314"/>
        </row>
        <row r="315">
          <cell r="A315" t="str">
            <v>PiècesAutostock</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PiècesTotal Dépt. Pièces</v>
          </cell>
          <cell r="C317">
            <v>6674615.9299999997</v>
          </cell>
          <cell r="D317">
            <v>0.26375567500256109</v>
          </cell>
          <cell r="E317">
            <v>1760467.829999997</v>
          </cell>
          <cell r="F317">
            <v>522678.73000000004</v>
          </cell>
          <cell r="G317">
            <v>0.21433541020504082</v>
          </cell>
          <cell r="H317">
            <v>112028.55999999978</v>
          </cell>
          <cell r="I317">
            <v>499700.52999999997</v>
          </cell>
          <cell r="J317">
            <v>0.20826199644014765</v>
          </cell>
          <cell r="K317">
            <v>104068.62999999989</v>
          </cell>
          <cell r="L317">
            <v>543573.29999999993</v>
          </cell>
          <cell r="M317">
            <v>0.22496953032829206</v>
          </cell>
          <cell r="N317">
            <v>122287.42999999979</v>
          </cell>
          <cell r="O317">
            <v>459979.70999999996</v>
          </cell>
          <cell r="P317">
            <v>0.23859778510665131</v>
          </cell>
          <cell r="Q317">
            <v>109750.13999999978</v>
          </cell>
          <cell r="R317">
            <v>551904.46999999986</v>
          </cell>
          <cell r="S317">
            <v>0.26117565237331708</v>
          </cell>
          <cell r="T317">
            <v>144144.00999999978</v>
          </cell>
          <cell r="U317">
            <v>464116.17</v>
          </cell>
          <cell r="V317">
            <v>0.23573037759059268</v>
          </cell>
          <cell r="W317">
            <v>109406.27999999969</v>
          </cell>
          <cell r="X317">
            <v>535619.36</v>
          </cell>
          <cell r="Y317">
            <v>0.23353681614495755</v>
          </cell>
          <cell r="Z317">
            <v>125086.83999999982</v>
          </cell>
          <cell r="AA317">
            <v>527546.35</v>
          </cell>
          <cell r="AB317">
            <v>0.3791732423132102</v>
          </cell>
          <cell r="AC317">
            <v>200031.45999999958</v>
          </cell>
          <cell r="AD317">
            <v>611091.30999999994</v>
          </cell>
          <cell r="AE317">
            <v>0.24148594094718809</v>
          </cell>
          <cell r="AF317">
            <v>147569.95999999979</v>
          </cell>
          <cell r="AG317">
            <v>668392.49</v>
          </cell>
          <cell r="AH317">
            <v>0.25110579863038218</v>
          </cell>
          <cell r="AI317">
            <v>167837.22999999972</v>
          </cell>
          <cell r="AJ317">
            <v>701952.35000000009</v>
          </cell>
          <cell r="AK317">
            <v>0.27043086329150356</v>
          </cell>
          <cell r="AL317">
            <v>189829.5799999997</v>
          </cell>
          <cell r="AM317">
            <v>588061.15999999992</v>
          </cell>
          <cell r="AN317">
            <v>0.38844209673701291</v>
          </cell>
          <cell r="AO317">
            <v>228427.71</v>
          </cell>
        </row>
        <row r="318">
          <cell r="A318" t="str">
            <v>Pièces</v>
          </cell>
          <cell r="C318"/>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cell r="AD318"/>
          <cell r="AE318"/>
          <cell r="AF318"/>
          <cell r="AG318"/>
          <cell r="AH318"/>
          <cell r="AI318"/>
          <cell r="AJ318"/>
          <cell r="AK318"/>
          <cell r="AL318"/>
          <cell r="AM318"/>
          <cell r="AN318"/>
          <cell r="AO318"/>
        </row>
        <row r="319">
          <cell r="A319" t="str">
            <v>Pièces</v>
          </cell>
          <cell r="C319"/>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cell r="AD319"/>
          <cell r="AE319"/>
          <cell r="AF319"/>
          <cell r="AG319"/>
          <cell r="AH319"/>
          <cell r="AI319"/>
          <cell r="AJ319"/>
          <cell r="AK319"/>
          <cell r="AL319"/>
          <cell r="AM319"/>
          <cell r="AN319"/>
          <cell r="AO319"/>
        </row>
        <row r="320">
          <cell r="A320" t="str">
            <v>PiècesDEPENSES</v>
          </cell>
          <cell r="C320"/>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cell r="AD320"/>
          <cell r="AE320"/>
          <cell r="AF320"/>
          <cell r="AG320"/>
          <cell r="AH320"/>
          <cell r="AI320"/>
          <cell r="AJ320"/>
          <cell r="AK320"/>
          <cell r="AL320"/>
          <cell r="AM320"/>
          <cell r="AN320"/>
          <cell r="AO320"/>
        </row>
        <row r="321">
          <cell r="A321" t="str">
            <v>PiècesSalaires cadres</v>
          </cell>
          <cell r="C321"/>
          <cell r="D321"/>
          <cell r="E321">
            <v>109729.98</v>
          </cell>
          <cell r="F321"/>
          <cell r="G321"/>
          <cell r="H321">
            <v>9997.7199999999993</v>
          </cell>
          <cell r="I321"/>
          <cell r="J321"/>
          <cell r="K321">
            <v>8533.68</v>
          </cell>
          <cell r="L321"/>
          <cell r="M321"/>
          <cell r="N321">
            <v>10126.49</v>
          </cell>
          <cell r="O321"/>
          <cell r="P321"/>
          <cell r="Q321">
            <v>7994.18</v>
          </cell>
          <cell r="R321"/>
          <cell r="S321"/>
          <cell r="T321">
            <v>9851.89</v>
          </cell>
          <cell r="U321"/>
          <cell r="V321"/>
          <cell r="W321">
            <v>9334.2999999999993</v>
          </cell>
          <cell r="X321"/>
          <cell r="Y321"/>
          <cell r="Z321">
            <v>8530.26</v>
          </cell>
          <cell r="AA321"/>
          <cell r="AB321"/>
          <cell r="AC321">
            <v>8454.76</v>
          </cell>
          <cell r="AD321"/>
          <cell r="AE321"/>
          <cell r="AF321">
            <v>10042.18</v>
          </cell>
          <cell r="AG321"/>
          <cell r="AH321"/>
          <cell r="AI321">
            <v>9901.6</v>
          </cell>
          <cell r="AJ321"/>
          <cell r="AK321"/>
          <cell r="AL321">
            <v>7300.68</v>
          </cell>
          <cell r="AM321"/>
          <cell r="AN321"/>
          <cell r="AO321">
            <v>9662.24</v>
          </cell>
        </row>
        <row r="322">
          <cell r="A322" t="str">
            <v>PiècesSalaires commis</v>
          </cell>
          <cell r="C322"/>
          <cell r="D322"/>
          <cell r="E322">
            <v>303846.52999999997</v>
          </cell>
          <cell r="F322"/>
          <cell r="G322"/>
          <cell r="H322">
            <v>27924.71</v>
          </cell>
          <cell r="I322"/>
          <cell r="J322"/>
          <cell r="K322">
            <v>25401.96</v>
          </cell>
          <cell r="L322"/>
          <cell r="M322"/>
          <cell r="N322">
            <v>25203.67</v>
          </cell>
          <cell r="O322"/>
          <cell r="P322"/>
          <cell r="Q322">
            <v>24736.400000000001</v>
          </cell>
          <cell r="R322"/>
          <cell r="S322"/>
          <cell r="T322">
            <v>30722.14</v>
          </cell>
          <cell r="U322"/>
          <cell r="V322"/>
          <cell r="W322">
            <v>23696.7</v>
          </cell>
          <cell r="X322"/>
          <cell r="Y322"/>
          <cell r="Z322">
            <v>22650.76</v>
          </cell>
          <cell r="AA322"/>
          <cell r="AB322"/>
          <cell r="AC322">
            <v>24603.3</v>
          </cell>
          <cell r="AD322"/>
          <cell r="AE322"/>
          <cell r="AF322">
            <v>25984.86</v>
          </cell>
          <cell r="AG322"/>
          <cell r="AH322"/>
          <cell r="AI322">
            <v>28079.91</v>
          </cell>
          <cell r="AJ322"/>
          <cell r="AK322"/>
          <cell r="AL322">
            <v>22449.58</v>
          </cell>
          <cell r="AM322"/>
          <cell r="AN322"/>
          <cell r="AO322">
            <v>22392.54</v>
          </cell>
        </row>
        <row r="323">
          <cell r="A323" t="str">
            <v>PiècesSalaires autres</v>
          </cell>
          <cell r="C323"/>
          <cell r="D323"/>
          <cell r="E323">
            <v>1367.0400000000002</v>
          </cell>
          <cell r="F323"/>
          <cell r="G323"/>
          <cell r="H323">
            <v>113.92</v>
          </cell>
          <cell r="I323"/>
          <cell r="J323"/>
          <cell r="K323">
            <v>113.92</v>
          </cell>
          <cell r="L323"/>
          <cell r="M323"/>
          <cell r="N323">
            <v>113.92</v>
          </cell>
          <cell r="O323"/>
          <cell r="P323"/>
          <cell r="Q323">
            <v>113.92</v>
          </cell>
          <cell r="R323"/>
          <cell r="S323"/>
          <cell r="T323">
            <v>113.92</v>
          </cell>
          <cell r="U323"/>
          <cell r="V323"/>
          <cell r="W323">
            <v>113.92</v>
          </cell>
          <cell r="X323"/>
          <cell r="Y323"/>
          <cell r="Z323">
            <v>113.92</v>
          </cell>
          <cell r="AA323"/>
          <cell r="AB323"/>
          <cell r="AC323">
            <v>113.92</v>
          </cell>
          <cell r="AD323"/>
          <cell r="AE323"/>
          <cell r="AF323">
            <v>113.92</v>
          </cell>
          <cell r="AG323"/>
          <cell r="AH323"/>
          <cell r="AI323">
            <v>113.92</v>
          </cell>
          <cell r="AJ323"/>
          <cell r="AK323"/>
          <cell r="AL323">
            <v>113.92</v>
          </cell>
          <cell r="AM323"/>
          <cell r="AN323"/>
          <cell r="AO323">
            <v>113.92</v>
          </cell>
        </row>
        <row r="324">
          <cell r="A324" t="str">
            <v>PiècesSalaires spécialistes</v>
          </cell>
          <cell r="C324"/>
          <cell r="D324"/>
          <cell r="E324">
            <v>0</v>
          </cell>
          <cell r="F324"/>
          <cell r="G324"/>
          <cell r="H324">
            <v>0</v>
          </cell>
          <cell r="I324"/>
          <cell r="J324"/>
          <cell r="K324">
            <v>0</v>
          </cell>
          <cell r="L324"/>
          <cell r="M324"/>
          <cell r="N324">
            <v>0</v>
          </cell>
          <cell r="O324"/>
          <cell r="P324"/>
          <cell r="Q324">
            <v>0</v>
          </cell>
          <cell r="R324"/>
          <cell r="S324"/>
          <cell r="T324">
            <v>0</v>
          </cell>
          <cell r="U324"/>
          <cell r="V324"/>
          <cell r="W324">
            <v>0</v>
          </cell>
          <cell r="X324"/>
          <cell r="Y324"/>
          <cell r="Z324">
            <v>0</v>
          </cell>
          <cell r="AA324"/>
          <cell r="AB324"/>
          <cell r="AC324">
            <v>0</v>
          </cell>
          <cell r="AD324"/>
          <cell r="AE324"/>
          <cell r="AF324">
            <v>0</v>
          </cell>
          <cell r="AG324"/>
          <cell r="AH324"/>
          <cell r="AI324">
            <v>0</v>
          </cell>
          <cell r="AJ324"/>
          <cell r="AK324"/>
          <cell r="AL324">
            <v>0</v>
          </cell>
          <cell r="AM324"/>
          <cell r="AN324"/>
          <cell r="AO324">
            <v>0</v>
          </cell>
        </row>
        <row r="325">
          <cell r="A325" t="str">
            <v>Pièces[...]</v>
          </cell>
          <cell r="C325"/>
          <cell r="D325"/>
          <cell r="E325"/>
          <cell r="F325"/>
          <cell r="G325"/>
          <cell r="H325"/>
          <cell r="I325"/>
          <cell r="J325"/>
          <cell r="K325"/>
          <cell r="L325"/>
          <cell r="M325"/>
          <cell r="N325"/>
          <cell r="O325"/>
          <cell r="P325"/>
          <cell r="Q325"/>
          <cell r="R325"/>
          <cell r="S325"/>
          <cell r="T325"/>
          <cell r="U325"/>
          <cell r="V325"/>
          <cell r="W325"/>
          <cell r="X325"/>
          <cell r="Y325"/>
          <cell r="Z325"/>
          <cell r="AA325"/>
          <cell r="AB325"/>
          <cell r="AC325"/>
          <cell r="AD325"/>
          <cell r="AE325"/>
          <cell r="AF325"/>
          <cell r="AG325"/>
          <cell r="AH325"/>
          <cell r="AI325"/>
          <cell r="AJ325"/>
          <cell r="AK325"/>
          <cell r="AL325"/>
          <cell r="AM325"/>
          <cell r="AN325"/>
          <cell r="AO325"/>
        </row>
        <row r="326">
          <cell r="A326" t="str">
            <v>Pièces[...]</v>
          </cell>
          <cell r="C326"/>
          <cell r="D326"/>
          <cell r="E326"/>
          <cell r="F326"/>
          <cell r="G326"/>
          <cell r="H326"/>
          <cell r="I326"/>
          <cell r="J326"/>
          <cell r="K326"/>
          <cell r="L326"/>
          <cell r="M326"/>
          <cell r="N326"/>
          <cell r="O326"/>
          <cell r="P326"/>
          <cell r="Q326"/>
          <cell r="R326"/>
          <cell r="S326"/>
          <cell r="T326"/>
          <cell r="U326"/>
          <cell r="V326"/>
          <cell r="W326"/>
          <cell r="X326"/>
          <cell r="Y326"/>
          <cell r="Z326"/>
          <cell r="AA326"/>
          <cell r="AB326"/>
          <cell r="AC326"/>
          <cell r="AD326"/>
          <cell r="AE326"/>
          <cell r="AF326"/>
          <cell r="AG326"/>
          <cell r="AH326"/>
          <cell r="AI326"/>
          <cell r="AJ326"/>
          <cell r="AK326"/>
          <cell r="AL326"/>
          <cell r="AM326"/>
          <cell r="AN326"/>
          <cell r="AO326"/>
        </row>
        <row r="327">
          <cell r="A327" t="str">
            <v>Pièces[...]</v>
          </cell>
          <cell r="C327"/>
          <cell r="D327"/>
          <cell r="E327"/>
          <cell r="F327"/>
          <cell r="G327"/>
          <cell r="H327"/>
          <cell r="I327"/>
          <cell r="J327"/>
          <cell r="K327"/>
          <cell r="L327"/>
          <cell r="M327"/>
          <cell r="N327"/>
          <cell r="O327"/>
          <cell r="P327"/>
          <cell r="Q327"/>
          <cell r="R327"/>
          <cell r="S327"/>
          <cell r="T327"/>
          <cell r="U327"/>
          <cell r="V327"/>
          <cell r="W327"/>
          <cell r="X327"/>
          <cell r="Y327"/>
          <cell r="Z327"/>
          <cell r="AA327"/>
          <cell r="AB327"/>
          <cell r="AC327"/>
          <cell r="AD327"/>
          <cell r="AE327"/>
          <cell r="AF327"/>
          <cell r="AG327"/>
          <cell r="AH327"/>
          <cell r="AI327"/>
          <cell r="AJ327"/>
          <cell r="AK327"/>
          <cell r="AL327"/>
          <cell r="AM327"/>
          <cell r="AN327"/>
          <cell r="AO327"/>
        </row>
        <row r="328">
          <cell r="A328" t="str">
            <v>PiècesSalaires en absences</v>
          </cell>
          <cell r="C328"/>
          <cell r="D328"/>
          <cell r="E328">
            <v>43969.920000000006</v>
          </cell>
          <cell r="F328"/>
          <cell r="G328"/>
          <cell r="H328">
            <v>5295.44</v>
          </cell>
          <cell r="I328"/>
          <cell r="J328"/>
          <cell r="K328">
            <v>3031.99</v>
          </cell>
          <cell r="L328"/>
          <cell r="M328"/>
          <cell r="N328">
            <v>3793.81</v>
          </cell>
          <cell r="O328"/>
          <cell r="P328"/>
          <cell r="Q328">
            <v>4453.74</v>
          </cell>
          <cell r="R328"/>
          <cell r="S328"/>
          <cell r="T328">
            <v>4518.67</v>
          </cell>
          <cell r="U328"/>
          <cell r="V328"/>
          <cell r="W328">
            <v>3502.47</v>
          </cell>
          <cell r="X328"/>
          <cell r="Y328"/>
          <cell r="Z328">
            <v>3917.79</v>
          </cell>
          <cell r="AA328"/>
          <cell r="AB328"/>
          <cell r="AC328">
            <v>3562.92</v>
          </cell>
          <cell r="AD328"/>
          <cell r="AE328"/>
          <cell r="AF328">
            <v>1519.03</v>
          </cell>
          <cell r="AG328"/>
          <cell r="AH328"/>
          <cell r="AI328">
            <v>3850.07</v>
          </cell>
          <cell r="AJ328"/>
          <cell r="AK328"/>
          <cell r="AL328">
            <v>3229.19</v>
          </cell>
          <cell r="AM328"/>
          <cell r="AN328"/>
          <cell r="AO328">
            <v>3294.8</v>
          </cell>
        </row>
        <row r="329">
          <cell r="A329" t="str">
            <v>PiècesDéduction à la source</v>
          </cell>
          <cell r="C329"/>
          <cell r="D329"/>
          <cell r="E329">
            <v>70618.63</v>
          </cell>
          <cell r="F329"/>
          <cell r="G329"/>
          <cell r="H329">
            <v>9261.6</v>
          </cell>
          <cell r="I329"/>
          <cell r="J329"/>
          <cell r="K329">
            <v>8266.7199999999993</v>
          </cell>
          <cell r="L329"/>
          <cell r="M329"/>
          <cell r="N329">
            <v>4791.7</v>
          </cell>
          <cell r="O329"/>
          <cell r="P329"/>
          <cell r="Q329">
            <v>4954.4799999999996</v>
          </cell>
          <cell r="R329"/>
          <cell r="S329"/>
          <cell r="T329">
            <v>6165.28</v>
          </cell>
          <cell r="U329"/>
          <cell r="V329"/>
          <cell r="W329">
            <v>8011.01</v>
          </cell>
          <cell r="X329"/>
          <cell r="Y329"/>
          <cell r="Z329">
            <v>6835.35</v>
          </cell>
          <cell r="AA329"/>
          <cell r="AB329"/>
          <cell r="AC329">
            <v>4964.9399999999996</v>
          </cell>
          <cell r="AD329"/>
          <cell r="AE329"/>
          <cell r="AF329">
            <v>301.86</v>
          </cell>
          <cell r="AG329"/>
          <cell r="AH329"/>
          <cell r="AI329">
            <v>6057.79</v>
          </cell>
          <cell r="AJ329"/>
          <cell r="AK329"/>
          <cell r="AL329">
            <v>5788.36</v>
          </cell>
          <cell r="AM329"/>
          <cell r="AN329"/>
          <cell r="AO329">
            <v>5219.54</v>
          </cell>
        </row>
        <row r="330">
          <cell r="A330" t="str">
            <v>PiècesBénéfices marginaux</v>
          </cell>
          <cell r="C330"/>
          <cell r="D330"/>
          <cell r="E330">
            <v>16317.810000000001</v>
          </cell>
          <cell r="F330"/>
          <cell r="G330"/>
          <cell r="H330">
            <v>2134.81</v>
          </cell>
          <cell r="I330"/>
          <cell r="J330"/>
          <cell r="K330">
            <v>1589.14</v>
          </cell>
          <cell r="L330"/>
          <cell r="M330"/>
          <cell r="N330">
            <v>1593.34</v>
          </cell>
          <cell r="O330"/>
          <cell r="P330"/>
          <cell r="Q330">
            <v>1601.67</v>
          </cell>
          <cell r="R330"/>
          <cell r="S330"/>
          <cell r="T330">
            <v>1705.62</v>
          </cell>
          <cell r="U330"/>
          <cell r="V330"/>
          <cell r="W330">
            <v>-1280.45</v>
          </cell>
          <cell r="X330"/>
          <cell r="Y330"/>
          <cell r="Z330">
            <v>756.55</v>
          </cell>
          <cell r="AA330"/>
          <cell r="AB330"/>
          <cell r="AC330">
            <v>1812.95</v>
          </cell>
          <cell r="AD330"/>
          <cell r="AE330"/>
          <cell r="AF330">
            <v>1554.18</v>
          </cell>
          <cell r="AG330"/>
          <cell r="AH330"/>
          <cell r="AI330">
            <v>1816.9</v>
          </cell>
          <cell r="AJ330"/>
          <cell r="AK330"/>
          <cell r="AL330">
            <v>1424.57</v>
          </cell>
          <cell r="AM330"/>
          <cell r="AN330"/>
          <cell r="AO330">
            <v>1608.53</v>
          </cell>
        </row>
        <row r="331">
          <cell r="A331" t="str">
            <v>PiècesCsst</v>
          </cell>
          <cell r="C331"/>
          <cell r="D331"/>
          <cell r="E331">
            <v>13142.74</v>
          </cell>
          <cell r="F331"/>
          <cell r="G331"/>
          <cell r="H331">
            <v>1160.49</v>
          </cell>
          <cell r="I331"/>
          <cell r="J331"/>
          <cell r="K331">
            <v>1613.73</v>
          </cell>
          <cell r="L331"/>
          <cell r="M331"/>
          <cell r="N331">
            <v>1136.6600000000001</v>
          </cell>
          <cell r="O331"/>
          <cell r="P331"/>
          <cell r="Q331">
            <v>1626.85</v>
          </cell>
          <cell r="R331"/>
          <cell r="S331"/>
          <cell r="T331">
            <v>1138</v>
          </cell>
          <cell r="U331"/>
          <cell r="V331"/>
          <cell r="W331">
            <v>839.5</v>
          </cell>
          <cell r="X331"/>
          <cell r="Y331"/>
          <cell r="Z331">
            <v>1425.7</v>
          </cell>
          <cell r="AA331"/>
          <cell r="AB331"/>
          <cell r="AC331">
            <v>833.81</v>
          </cell>
          <cell r="AD331"/>
          <cell r="AE331"/>
          <cell r="AF331">
            <v>695.16</v>
          </cell>
          <cell r="AG331"/>
          <cell r="AH331"/>
          <cell r="AI331">
            <v>1401.04</v>
          </cell>
          <cell r="AJ331"/>
          <cell r="AK331"/>
          <cell r="AL331">
            <v>620.52</v>
          </cell>
          <cell r="AM331"/>
          <cell r="AN331"/>
          <cell r="AO331">
            <v>651.28</v>
          </cell>
        </row>
        <row r="332">
          <cell r="A332" t="str">
            <v>Pièces[...]</v>
          </cell>
          <cell r="C332"/>
          <cell r="D332"/>
          <cell r="E332"/>
          <cell r="F332"/>
          <cell r="G332"/>
          <cell r="H332"/>
          <cell r="I332"/>
          <cell r="J332"/>
          <cell r="K332"/>
          <cell r="L332"/>
          <cell r="M332"/>
          <cell r="N332"/>
          <cell r="O332"/>
          <cell r="P332"/>
          <cell r="Q332"/>
          <cell r="R332"/>
          <cell r="S332"/>
          <cell r="T332"/>
          <cell r="U332"/>
          <cell r="V332"/>
          <cell r="W332"/>
          <cell r="X332"/>
          <cell r="Y332"/>
          <cell r="Z332"/>
          <cell r="AA332"/>
          <cell r="AB332"/>
          <cell r="AC332"/>
          <cell r="AD332"/>
          <cell r="AE332"/>
          <cell r="AF332"/>
          <cell r="AG332"/>
          <cell r="AH332"/>
          <cell r="AI332"/>
          <cell r="AJ332"/>
          <cell r="AK332"/>
          <cell r="AL332"/>
          <cell r="AM332"/>
          <cell r="AN332"/>
          <cell r="AO332"/>
        </row>
        <row r="333">
          <cell r="A333" t="str">
            <v>PiècesTOTAL PERSONNEL</v>
          </cell>
          <cell r="C333" t="str">
            <v>% brut</v>
          </cell>
          <cell r="D333">
            <v>0.3175250580977676</v>
          </cell>
          <cell r="E333">
            <v>558992.64999999991</v>
          </cell>
          <cell r="F333"/>
          <cell r="G333"/>
          <cell r="H333">
            <v>55888.6899999999</v>
          </cell>
          <cell r="I333"/>
          <cell r="J333"/>
          <cell r="K333">
            <v>48551.14</v>
          </cell>
          <cell r="L333"/>
          <cell r="M333"/>
          <cell r="N333">
            <v>46759.589999999902</v>
          </cell>
          <cell r="O333"/>
          <cell r="P333"/>
          <cell r="Q333">
            <v>45481.24</v>
          </cell>
          <cell r="R333"/>
          <cell r="S333"/>
          <cell r="T333">
            <v>54215.519999999997</v>
          </cell>
          <cell r="U333"/>
          <cell r="V333"/>
          <cell r="W333">
            <v>44217.45</v>
          </cell>
          <cell r="X333"/>
          <cell r="Y333"/>
          <cell r="Z333">
            <v>44230.3299999999</v>
          </cell>
          <cell r="AA333"/>
          <cell r="AB333"/>
          <cell r="AC333">
            <v>44346.599999999897</v>
          </cell>
          <cell r="AD333"/>
          <cell r="AE333"/>
          <cell r="AF333">
            <v>40211.19</v>
          </cell>
          <cell r="AG333"/>
          <cell r="AH333"/>
          <cell r="AI333">
            <v>51221.23</v>
          </cell>
          <cell r="AJ333"/>
          <cell r="AK333"/>
          <cell r="AL333">
            <v>40926.82</v>
          </cell>
          <cell r="AM333"/>
          <cell r="AN333"/>
          <cell r="AO333">
            <v>42942.85</v>
          </cell>
        </row>
        <row r="334">
          <cell r="A334" t="str">
            <v>PiècesPublicité 2</v>
          </cell>
          <cell r="C334"/>
          <cell r="D334"/>
          <cell r="E334">
            <v>59265.64</v>
          </cell>
          <cell r="F334"/>
          <cell r="G334"/>
          <cell r="H334">
            <v>7036.21</v>
          </cell>
          <cell r="I334"/>
          <cell r="J334"/>
          <cell r="K334">
            <v>2753.47</v>
          </cell>
          <cell r="L334"/>
          <cell r="M334"/>
          <cell r="N334">
            <v>5459.85</v>
          </cell>
          <cell r="O334"/>
          <cell r="P334"/>
          <cell r="Q334">
            <v>12743.83</v>
          </cell>
          <cell r="R334"/>
          <cell r="S334"/>
          <cell r="T334">
            <v>7263.68</v>
          </cell>
          <cell r="U334"/>
          <cell r="V334"/>
          <cell r="W334">
            <v>1697.62</v>
          </cell>
          <cell r="X334"/>
          <cell r="Y334"/>
          <cell r="Z334">
            <v>2995.28</v>
          </cell>
          <cell r="AA334"/>
          <cell r="AB334"/>
          <cell r="AC334">
            <v>5154.0600000000004</v>
          </cell>
          <cell r="AD334"/>
          <cell r="AE334"/>
          <cell r="AF334">
            <v>784.84</v>
          </cell>
          <cell r="AG334"/>
          <cell r="AH334"/>
          <cell r="AI334">
            <v>3851.62</v>
          </cell>
          <cell r="AJ334"/>
          <cell r="AK334"/>
          <cell r="AL334">
            <v>8642.44</v>
          </cell>
          <cell r="AM334"/>
          <cell r="AN334"/>
          <cell r="AO334">
            <v>882.74</v>
          </cell>
        </row>
        <row r="335">
          <cell r="A335" t="str">
            <v>PiècesService gratuit 2</v>
          </cell>
          <cell r="C335"/>
          <cell r="D335"/>
          <cell r="E335">
            <v>12407.42</v>
          </cell>
          <cell r="F335"/>
          <cell r="G335"/>
          <cell r="H335">
            <v>269.95</v>
          </cell>
          <cell r="I335"/>
          <cell r="J335"/>
          <cell r="K335">
            <v>6048.78</v>
          </cell>
          <cell r="L335"/>
          <cell r="M335"/>
          <cell r="N335">
            <v>271.33</v>
          </cell>
          <cell r="O335"/>
          <cell r="P335"/>
          <cell r="Q335">
            <v>669.47</v>
          </cell>
          <cell r="R335"/>
          <cell r="S335"/>
          <cell r="T335">
            <v>522.87</v>
          </cell>
          <cell r="U335"/>
          <cell r="V335"/>
          <cell r="W335">
            <v>4182.3</v>
          </cell>
          <cell r="X335"/>
          <cell r="Y335"/>
          <cell r="Z335">
            <v>517.6</v>
          </cell>
          <cell r="AA335"/>
          <cell r="AB335"/>
          <cell r="AC335">
            <v>-54.59</v>
          </cell>
          <cell r="AD335"/>
          <cell r="AE335"/>
          <cell r="AF335">
            <v>-678.09</v>
          </cell>
          <cell r="AG335"/>
          <cell r="AH335"/>
          <cell r="AI335">
            <v>25.22</v>
          </cell>
          <cell r="AJ335"/>
          <cell r="AK335"/>
          <cell r="AL335">
            <v>571.02</v>
          </cell>
          <cell r="AM335"/>
          <cell r="AN335"/>
          <cell r="AO335">
            <v>61.56</v>
          </cell>
        </row>
        <row r="336">
          <cell r="A336" t="str">
            <v>PiècesFrais véhicules de cie</v>
          </cell>
          <cell r="C336"/>
          <cell r="D336"/>
          <cell r="E336">
            <v>14609.640000000001</v>
          </cell>
          <cell r="F336"/>
          <cell r="G336"/>
          <cell r="H336">
            <v>1353.63</v>
          </cell>
          <cell r="I336"/>
          <cell r="J336"/>
          <cell r="K336">
            <v>1170.8399999999999</v>
          </cell>
          <cell r="L336"/>
          <cell r="M336"/>
          <cell r="N336">
            <v>1170.8399999999999</v>
          </cell>
          <cell r="O336"/>
          <cell r="P336"/>
          <cell r="Q336">
            <v>1170.8399999999999</v>
          </cell>
          <cell r="R336"/>
          <cell r="S336"/>
          <cell r="T336">
            <v>1353.63</v>
          </cell>
          <cell r="U336"/>
          <cell r="V336"/>
          <cell r="W336">
            <v>1142.53</v>
          </cell>
          <cell r="X336"/>
          <cell r="Y336"/>
          <cell r="Z336">
            <v>1088.69</v>
          </cell>
          <cell r="AA336"/>
          <cell r="AB336"/>
          <cell r="AC336">
            <v>1271.48</v>
          </cell>
          <cell r="AD336"/>
          <cell r="AE336"/>
          <cell r="AF336">
            <v>1142.53</v>
          </cell>
          <cell r="AG336"/>
          <cell r="AH336"/>
          <cell r="AI336">
            <v>1325.32</v>
          </cell>
          <cell r="AJ336"/>
          <cell r="AK336"/>
          <cell r="AL336">
            <v>1142.53</v>
          </cell>
          <cell r="AM336"/>
          <cell r="AN336"/>
          <cell r="AO336">
            <v>1276.78</v>
          </cell>
        </row>
        <row r="337">
          <cell r="A337" t="str">
            <v>PiècesInformatique</v>
          </cell>
          <cell r="C337"/>
          <cell r="D337"/>
          <cell r="E337">
            <v>75299.23</v>
          </cell>
          <cell r="F337"/>
          <cell r="G337"/>
          <cell r="H337">
            <v>4192.93</v>
          </cell>
          <cell r="I337"/>
          <cell r="J337"/>
          <cell r="K337">
            <v>9396.99</v>
          </cell>
          <cell r="L337"/>
          <cell r="M337"/>
          <cell r="N337">
            <v>6976.03</v>
          </cell>
          <cell r="O337"/>
          <cell r="P337"/>
          <cell r="Q337">
            <v>5543.45</v>
          </cell>
          <cell r="R337"/>
          <cell r="S337"/>
          <cell r="T337">
            <v>7804.67</v>
          </cell>
          <cell r="U337"/>
          <cell r="V337"/>
          <cell r="W337">
            <v>5549.46</v>
          </cell>
          <cell r="X337"/>
          <cell r="Y337"/>
          <cell r="Z337">
            <v>5753.09</v>
          </cell>
          <cell r="AA337"/>
          <cell r="AB337"/>
          <cell r="AC337">
            <v>6163.09</v>
          </cell>
          <cell r="AD337"/>
          <cell r="AE337"/>
          <cell r="AF337">
            <v>5607.23</v>
          </cell>
          <cell r="AG337"/>
          <cell r="AH337"/>
          <cell r="AI337">
            <v>5937.37</v>
          </cell>
          <cell r="AJ337"/>
          <cell r="AK337"/>
          <cell r="AL337">
            <v>5547.26</v>
          </cell>
          <cell r="AM337"/>
          <cell r="AN337"/>
          <cell r="AO337">
            <v>6827.66</v>
          </cell>
        </row>
        <row r="338">
          <cell r="A338" t="str">
            <v>PiècesFrais de déplacement</v>
          </cell>
          <cell r="C338"/>
          <cell r="D338"/>
          <cell r="E338">
            <v>12085.989999999998</v>
          </cell>
          <cell r="F338"/>
          <cell r="G338"/>
          <cell r="H338">
            <v>1043.31</v>
          </cell>
          <cell r="I338"/>
          <cell r="J338"/>
          <cell r="K338">
            <v>728.54</v>
          </cell>
          <cell r="L338"/>
          <cell r="M338"/>
          <cell r="N338">
            <v>684.84</v>
          </cell>
          <cell r="O338"/>
          <cell r="P338"/>
          <cell r="Q338">
            <v>1020.62</v>
          </cell>
          <cell r="R338"/>
          <cell r="S338"/>
          <cell r="T338">
            <v>945.81</v>
          </cell>
          <cell r="U338"/>
          <cell r="V338"/>
          <cell r="W338">
            <v>1557.1</v>
          </cell>
          <cell r="X338"/>
          <cell r="Y338"/>
          <cell r="Z338">
            <v>641.58000000000004</v>
          </cell>
          <cell r="AA338"/>
          <cell r="AB338"/>
          <cell r="AC338">
            <v>597.73</v>
          </cell>
          <cell r="AD338"/>
          <cell r="AE338"/>
          <cell r="AF338">
            <v>665.2</v>
          </cell>
          <cell r="AG338"/>
          <cell r="AH338"/>
          <cell r="AI338">
            <v>1721.87</v>
          </cell>
          <cell r="AJ338"/>
          <cell r="AK338"/>
          <cell r="AL338">
            <v>1303.1600000000001</v>
          </cell>
          <cell r="AM338"/>
          <cell r="AN338"/>
          <cell r="AO338">
            <v>1176.23</v>
          </cell>
        </row>
        <row r="339">
          <cell r="A339" t="str">
            <v>PiècesServices extérieurs</v>
          </cell>
          <cell r="C339"/>
          <cell r="D339"/>
          <cell r="E339">
            <v>168014.43000000002</v>
          </cell>
          <cell r="F339"/>
          <cell r="G339"/>
          <cell r="H339">
            <v>14123.46</v>
          </cell>
          <cell r="I339"/>
          <cell r="J339"/>
          <cell r="K339">
            <v>13220.71</v>
          </cell>
          <cell r="L339"/>
          <cell r="M339"/>
          <cell r="N339">
            <v>15726.58</v>
          </cell>
          <cell r="O339"/>
          <cell r="P339"/>
          <cell r="Q339">
            <v>13547.66</v>
          </cell>
          <cell r="R339"/>
          <cell r="S339"/>
          <cell r="T339">
            <v>14454.17</v>
          </cell>
          <cell r="U339"/>
          <cell r="V339"/>
          <cell r="W339">
            <v>12748.85</v>
          </cell>
          <cell r="X339"/>
          <cell r="Y339"/>
          <cell r="Z339">
            <v>15111.77</v>
          </cell>
          <cell r="AA339"/>
          <cell r="AB339"/>
          <cell r="AC339">
            <v>13928.11</v>
          </cell>
          <cell r="AD339"/>
          <cell r="AE339"/>
          <cell r="AF339">
            <v>16512.89</v>
          </cell>
          <cell r="AG339"/>
          <cell r="AH339"/>
          <cell r="AI339">
            <v>15918.21</v>
          </cell>
          <cell r="AJ339"/>
          <cell r="AK339"/>
          <cell r="AL339">
            <v>15196.04</v>
          </cell>
          <cell r="AM339"/>
          <cell r="AN339"/>
          <cell r="AO339">
            <v>7525.98</v>
          </cell>
        </row>
        <row r="340">
          <cell r="A340" t="str">
            <v>PiècesFournitures d'atelier</v>
          </cell>
          <cell r="C340"/>
          <cell r="D340"/>
          <cell r="E340">
            <v>0</v>
          </cell>
          <cell r="F340"/>
          <cell r="G340"/>
          <cell r="H340">
            <v>0</v>
          </cell>
          <cell r="I340"/>
          <cell r="J340"/>
          <cell r="K340">
            <v>0</v>
          </cell>
          <cell r="L340"/>
          <cell r="M340"/>
          <cell r="N340">
            <v>0</v>
          </cell>
          <cell r="O340"/>
          <cell r="P340"/>
          <cell r="Q340">
            <v>0</v>
          </cell>
          <cell r="R340"/>
          <cell r="S340"/>
          <cell r="T340">
            <v>0</v>
          </cell>
          <cell r="U340"/>
          <cell r="V340"/>
          <cell r="W340">
            <v>0</v>
          </cell>
          <cell r="X340"/>
          <cell r="Y340"/>
          <cell r="Z340">
            <v>0</v>
          </cell>
          <cell r="AA340"/>
          <cell r="AB340"/>
          <cell r="AC340">
            <v>0</v>
          </cell>
          <cell r="AD340"/>
          <cell r="AE340"/>
          <cell r="AF340">
            <v>0</v>
          </cell>
          <cell r="AG340"/>
          <cell r="AH340"/>
          <cell r="AI340">
            <v>0</v>
          </cell>
          <cell r="AJ340"/>
          <cell r="AK340"/>
          <cell r="AL340">
            <v>0</v>
          </cell>
          <cell r="AM340"/>
          <cell r="AN340"/>
          <cell r="AO340">
            <v>0</v>
          </cell>
        </row>
        <row r="341">
          <cell r="A341" t="str">
            <v>PiècesFournitures autres</v>
          </cell>
          <cell r="C341"/>
          <cell r="D341"/>
          <cell r="E341">
            <v>516.1</v>
          </cell>
          <cell r="F341"/>
          <cell r="G341"/>
          <cell r="H341">
            <v>0</v>
          </cell>
          <cell r="I341"/>
          <cell r="J341"/>
          <cell r="K341">
            <v>0</v>
          </cell>
          <cell r="L341"/>
          <cell r="M341"/>
          <cell r="N341">
            <v>0</v>
          </cell>
          <cell r="O341"/>
          <cell r="P341"/>
          <cell r="Q341">
            <v>0</v>
          </cell>
          <cell r="R341"/>
          <cell r="S341"/>
          <cell r="T341">
            <v>0</v>
          </cell>
          <cell r="U341"/>
          <cell r="V341"/>
          <cell r="W341">
            <v>114.94</v>
          </cell>
          <cell r="X341"/>
          <cell r="Y341"/>
          <cell r="Z341">
            <v>0</v>
          </cell>
          <cell r="AA341"/>
          <cell r="AB341"/>
          <cell r="AC341">
            <v>16.38</v>
          </cell>
          <cell r="AD341"/>
          <cell r="AE341"/>
          <cell r="AF341">
            <v>20.04</v>
          </cell>
          <cell r="AG341"/>
          <cell r="AH341"/>
          <cell r="AI341">
            <v>0</v>
          </cell>
          <cell r="AJ341"/>
          <cell r="AK341"/>
          <cell r="AL341">
            <v>364.74</v>
          </cell>
          <cell r="AM341"/>
          <cell r="AN341"/>
          <cell r="AO341">
            <v>0</v>
          </cell>
        </row>
        <row r="342">
          <cell r="A342" t="str">
            <v>PiècesUniformes</v>
          </cell>
          <cell r="C342"/>
          <cell r="D342"/>
          <cell r="E342">
            <v>361.45</v>
          </cell>
          <cell r="F342"/>
          <cell r="G342"/>
          <cell r="H342">
            <v>0</v>
          </cell>
          <cell r="I342"/>
          <cell r="J342"/>
          <cell r="K342">
            <v>361.45</v>
          </cell>
          <cell r="L342"/>
          <cell r="M342"/>
          <cell r="N342">
            <v>0</v>
          </cell>
          <cell r="O342"/>
          <cell r="P342"/>
          <cell r="Q342">
            <v>0</v>
          </cell>
          <cell r="R342"/>
          <cell r="S342"/>
          <cell r="T342">
            <v>0</v>
          </cell>
          <cell r="U342"/>
          <cell r="V342"/>
          <cell r="W342">
            <v>0</v>
          </cell>
          <cell r="X342"/>
          <cell r="Y342"/>
          <cell r="Z342">
            <v>0</v>
          </cell>
          <cell r="AA342"/>
          <cell r="AB342"/>
          <cell r="AC342">
            <v>0</v>
          </cell>
          <cell r="AD342"/>
          <cell r="AE342"/>
          <cell r="AF342">
            <v>0</v>
          </cell>
          <cell r="AG342"/>
          <cell r="AH342"/>
          <cell r="AI342">
            <v>0</v>
          </cell>
          <cell r="AJ342"/>
          <cell r="AK342"/>
          <cell r="AL342">
            <v>0</v>
          </cell>
          <cell r="AM342"/>
          <cell r="AN342"/>
          <cell r="AO342">
            <v>0</v>
          </cell>
        </row>
        <row r="343">
          <cell r="A343" t="str">
            <v>PiècesPapeterie</v>
          </cell>
          <cell r="C343"/>
          <cell r="D343"/>
          <cell r="E343">
            <v>5929.73</v>
          </cell>
          <cell r="F343"/>
          <cell r="G343"/>
          <cell r="H343">
            <v>126.35</v>
          </cell>
          <cell r="I343"/>
          <cell r="J343"/>
          <cell r="K343">
            <v>814</v>
          </cell>
          <cell r="L343"/>
          <cell r="M343"/>
          <cell r="N343">
            <v>424.2</v>
          </cell>
          <cell r="O343"/>
          <cell r="P343"/>
          <cell r="Q343">
            <v>45.41</v>
          </cell>
          <cell r="R343"/>
          <cell r="S343"/>
          <cell r="T343">
            <v>818.22</v>
          </cell>
          <cell r="U343"/>
          <cell r="V343"/>
          <cell r="W343">
            <v>319.17</v>
          </cell>
          <cell r="X343"/>
          <cell r="Y343"/>
          <cell r="Z343">
            <v>799.65</v>
          </cell>
          <cell r="AA343"/>
          <cell r="AB343"/>
          <cell r="AC343">
            <v>614.75</v>
          </cell>
          <cell r="AD343"/>
          <cell r="AE343"/>
          <cell r="AF343">
            <v>234.02</v>
          </cell>
          <cell r="AG343"/>
          <cell r="AH343"/>
          <cell r="AI343">
            <v>46.04</v>
          </cell>
          <cell r="AJ343"/>
          <cell r="AK343"/>
          <cell r="AL343">
            <v>1481.6</v>
          </cell>
          <cell r="AM343"/>
          <cell r="AN343"/>
          <cell r="AO343">
            <v>206.32</v>
          </cell>
        </row>
        <row r="344">
          <cell r="A344" t="str">
            <v>PiècesTéléphone</v>
          </cell>
          <cell r="C344"/>
          <cell r="D344"/>
          <cell r="E344">
            <v>1199.06</v>
          </cell>
          <cell r="F344"/>
          <cell r="G344"/>
          <cell r="H344">
            <v>130.26</v>
          </cell>
          <cell r="I344"/>
          <cell r="J344"/>
          <cell r="K344">
            <v>120.99</v>
          </cell>
          <cell r="L344"/>
          <cell r="M344"/>
          <cell r="N344">
            <v>87.49</v>
          </cell>
          <cell r="O344"/>
          <cell r="P344"/>
          <cell r="Q344">
            <v>94.67</v>
          </cell>
          <cell r="R344"/>
          <cell r="S344"/>
          <cell r="T344">
            <v>88.45</v>
          </cell>
          <cell r="U344"/>
          <cell r="V344"/>
          <cell r="W344">
            <v>81.89</v>
          </cell>
          <cell r="X344"/>
          <cell r="Y344"/>
          <cell r="Z344">
            <v>62.25</v>
          </cell>
          <cell r="AA344"/>
          <cell r="AB344"/>
          <cell r="AC344">
            <v>128.25</v>
          </cell>
          <cell r="AD344"/>
          <cell r="AE344"/>
          <cell r="AF344">
            <v>94.15</v>
          </cell>
          <cell r="AG344"/>
          <cell r="AH344"/>
          <cell r="AI344">
            <v>98.98</v>
          </cell>
          <cell r="AJ344"/>
          <cell r="AK344"/>
          <cell r="AL344">
            <v>117.83</v>
          </cell>
          <cell r="AM344"/>
          <cell r="AN344"/>
          <cell r="AO344">
            <v>93.85</v>
          </cell>
        </row>
        <row r="345">
          <cell r="A345" t="str">
            <v>PiècesFrais postaux</v>
          </cell>
          <cell r="C345"/>
          <cell r="D345"/>
          <cell r="E345">
            <v>-7840.2800000000007</v>
          </cell>
          <cell r="F345"/>
          <cell r="G345"/>
          <cell r="H345">
            <v>-581.91999999999996</v>
          </cell>
          <cell r="I345"/>
          <cell r="J345"/>
          <cell r="K345">
            <v>144.59</v>
          </cell>
          <cell r="L345"/>
          <cell r="M345"/>
          <cell r="N345">
            <v>31.58</v>
          </cell>
          <cell r="O345"/>
          <cell r="P345"/>
          <cell r="Q345">
            <v>-558.02</v>
          </cell>
          <cell r="R345"/>
          <cell r="S345"/>
          <cell r="T345">
            <v>-151.96</v>
          </cell>
          <cell r="U345"/>
          <cell r="V345"/>
          <cell r="W345">
            <v>-997.2</v>
          </cell>
          <cell r="X345"/>
          <cell r="Y345"/>
          <cell r="Z345">
            <v>-335.96</v>
          </cell>
          <cell r="AA345"/>
          <cell r="AB345"/>
          <cell r="AC345">
            <v>108.91</v>
          </cell>
          <cell r="AD345"/>
          <cell r="AE345"/>
          <cell r="AF345">
            <v>-2231.29</v>
          </cell>
          <cell r="AG345"/>
          <cell r="AH345"/>
          <cell r="AI345">
            <v>-1258.1199999999999</v>
          </cell>
          <cell r="AJ345"/>
          <cell r="AK345"/>
          <cell r="AL345">
            <v>-564.29999999999995</v>
          </cell>
          <cell r="AM345"/>
          <cell r="AN345"/>
          <cell r="AO345">
            <v>-1446.59</v>
          </cell>
        </row>
        <row r="346">
          <cell r="A346" t="str">
            <v>PiècesDivers</v>
          </cell>
          <cell r="C346"/>
          <cell r="D346"/>
          <cell r="E346">
            <v>1559.52</v>
          </cell>
          <cell r="F346"/>
          <cell r="G346"/>
          <cell r="H346">
            <v>69.86</v>
          </cell>
          <cell r="I346"/>
          <cell r="J346"/>
          <cell r="K346">
            <v>55.63</v>
          </cell>
          <cell r="L346"/>
          <cell r="M346"/>
          <cell r="N346">
            <v>55.63</v>
          </cell>
          <cell r="O346"/>
          <cell r="P346"/>
          <cell r="Q346">
            <v>94.59</v>
          </cell>
          <cell r="R346"/>
          <cell r="S346"/>
          <cell r="T346">
            <v>87.25</v>
          </cell>
          <cell r="U346"/>
          <cell r="V346"/>
          <cell r="W346">
            <v>49</v>
          </cell>
          <cell r="X346"/>
          <cell r="Y346"/>
          <cell r="Z346">
            <v>49</v>
          </cell>
          <cell r="AA346"/>
          <cell r="AB346"/>
          <cell r="AC346">
            <v>49</v>
          </cell>
          <cell r="AD346"/>
          <cell r="AE346"/>
          <cell r="AF346">
            <v>105.25</v>
          </cell>
          <cell r="AG346"/>
          <cell r="AH346"/>
          <cell r="AI346">
            <v>49</v>
          </cell>
          <cell r="AJ346"/>
          <cell r="AK346"/>
          <cell r="AL346">
            <v>320.62</v>
          </cell>
          <cell r="AM346"/>
          <cell r="AN346"/>
          <cell r="AO346">
            <v>574.69000000000005</v>
          </cell>
        </row>
        <row r="347">
          <cell r="A347" t="str">
            <v>PiècesFormation</v>
          </cell>
          <cell r="C347"/>
          <cell r="D347"/>
          <cell r="E347">
            <v>3103.06</v>
          </cell>
          <cell r="F347"/>
          <cell r="G347"/>
          <cell r="H347">
            <v>79.75</v>
          </cell>
          <cell r="I347"/>
          <cell r="J347"/>
          <cell r="K347">
            <v>237.81</v>
          </cell>
          <cell r="L347"/>
          <cell r="M347"/>
          <cell r="N347">
            <v>531.23</v>
          </cell>
          <cell r="O347"/>
          <cell r="P347"/>
          <cell r="Q347">
            <v>79.75</v>
          </cell>
          <cell r="R347"/>
          <cell r="S347"/>
          <cell r="T347">
            <v>-34.119999999999997</v>
          </cell>
          <cell r="U347"/>
          <cell r="V347"/>
          <cell r="W347">
            <v>79.75</v>
          </cell>
          <cell r="X347"/>
          <cell r="Y347"/>
          <cell r="Z347">
            <v>471.28</v>
          </cell>
          <cell r="AA347"/>
          <cell r="AB347"/>
          <cell r="AC347">
            <v>328.38</v>
          </cell>
          <cell r="AD347"/>
          <cell r="AE347"/>
          <cell r="AF347">
            <v>323.68</v>
          </cell>
          <cell r="AG347"/>
          <cell r="AH347"/>
          <cell r="AI347">
            <v>477.55</v>
          </cell>
          <cell r="AJ347"/>
          <cell r="AK347"/>
          <cell r="AL347">
            <v>448.25</v>
          </cell>
          <cell r="AM347"/>
          <cell r="AN347"/>
          <cell r="AO347">
            <v>79.75</v>
          </cell>
        </row>
        <row r="348">
          <cell r="A348" t="str">
            <v>PiècesFrais bancaires</v>
          </cell>
          <cell r="C348"/>
          <cell r="D348"/>
          <cell r="E348">
            <v>21412.67</v>
          </cell>
          <cell r="F348"/>
          <cell r="G348"/>
          <cell r="H348">
            <v>1255.17</v>
          </cell>
          <cell r="I348"/>
          <cell r="J348"/>
          <cell r="K348">
            <v>962.38</v>
          </cell>
          <cell r="L348"/>
          <cell r="M348"/>
          <cell r="N348">
            <v>1654.17</v>
          </cell>
          <cell r="O348"/>
          <cell r="P348"/>
          <cell r="Q348">
            <v>2048.8200000000002</v>
          </cell>
          <cell r="R348"/>
          <cell r="S348"/>
          <cell r="T348">
            <v>2026.49</v>
          </cell>
          <cell r="U348"/>
          <cell r="V348"/>
          <cell r="W348">
            <v>1568.94</v>
          </cell>
          <cell r="X348"/>
          <cell r="Y348"/>
          <cell r="Z348">
            <v>1733.14</v>
          </cell>
          <cell r="AA348"/>
          <cell r="AB348"/>
          <cell r="AC348">
            <v>1687.46</v>
          </cell>
          <cell r="AD348"/>
          <cell r="AE348"/>
          <cell r="AF348">
            <v>1785.08</v>
          </cell>
          <cell r="AG348"/>
          <cell r="AH348"/>
          <cell r="AI348">
            <v>2064.63</v>
          </cell>
          <cell r="AJ348"/>
          <cell r="AK348"/>
          <cell r="AL348">
            <v>2836.47</v>
          </cell>
          <cell r="AM348"/>
          <cell r="AN348"/>
          <cell r="AO348">
            <v>1789.92</v>
          </cell>
        </row>
        <row r="349">
          <cell r="A349" t="str">
            <v>Pièces[...]</v>
          </cell>
          <cell r="C349"/>
          <cell r="D349"/>
          <cell r="E349"/>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v>
          </cell>
          <cell r="C350"/>
          <cell r="D350"/>
          <cell r="E350"/>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cell r="AN350"/>
          <cell r="AO350"/>
        </row>
        <row r="351">
          <cell r="A351" t="str">
            <v>Pièces[...]</v>
          </cell>
          <cell r="C351"/>
          <cell r="D351"/>
          <cell r="E351"/>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PiècesTOTAL SEMI-FIXES</v>
          </cell>
          <cell r="C352" t="str">
            <v>% brut</v>
          </cell>
          <cell r="D352">
            <v>0.2089919814098509</v>
          </cell>
          <cell r="E352">
            <v>367923.65999999992</v>
          </cell>
          <cell r="F352" t="str">
            <v>% brut</v>
          </cell>
          <cell r="G352">
            <v>0.25974590765069244</v>
          </cell>
          <cell r="H352">
            <v>29098.959999999999</v>
          </cell>
          <cell r="I352" t="str">
            <v>% brut</v>
          </cell>
          <cell r="J352">
            <v>0.34608104286565533</v>
          </cell>
          <cell r="K352">
            <v>36016.179999999986</v>
          </cell>
          <cell r="L352" t="str">
            <v>% brut</v>
          </cell>
          <cell r="M352">
            <v>0.27045927778513346</v>
          </cell>
          <cell r="N352">
            <v>33073.770000000004</v>
          </cell>
          <cell r="O352" t="str">
            <v>% brut</v>
          </cell>
          <cell r="P352">
            <v>0.33258353930118056</v>
          </cell>
          <cell r="Q352">
            <v>36501.089999999997</v>
          </cell>
          <cell r="R352" t="str">
            <v>% brut</v>
          </cell>
          <cell r="S352">
            <v>0.24405564962428927</v>
          </cell>
          <cell r="T352">
            <v>35179.159999999996</v>
          </cell>
          <cell r="U352" t="str">
            <v>% brut</v>
          </cell>
          <cell r="V352">
            <v>0.25678918979788062</v>
          </cell>
          <cell r="W352">
            <v>28094.349999999995</v>
          </cell>
          <cell r="X352" t="str">
            <v>% brut</v>
          </cell>
          <cell r="Y352">
            <v>0.23093852238972576</v>
          </cell>
          <cell r="Z352">
            <v>28887.370000000003</v>
          </cell>
          <cell r="AA352" t="str">
            <v>% brut</v>
          </cell>
          <cell r="AB352">
            <v>0.14994146420768045</v>
          </cell>
          <cell r="AC352">
            <v>29993.010000000002</v>
          </cell>
          <cell r="AD352" t="str">
            <v>% brut</v>
          </cell>
          <cell r="AE352">
            <v>0.16511172056968798</v>
          </cell>
          <cell r="AF352">
            <v>24365.53</v>
          </cell>
          <cell r="AG352" t="str">
            <v>% brut</v>
          </cell>
          <cell r="AH352">
            <v>0.18027996529733034</v>
          </cell>
          <cell r="AI352">
            <v>30257.69</v>
          </cell>
          <cell r="AJ352" t="str">
            <v>% brut</v>
          </cell>
          <cell r="AK352">
            <v>0.19705917275906143</v>
          </cell>
          <cell r="AL352">
            <v>37407.660000000011</v>
          </cell>
          <cell r="AM352" t="str">
            <v>% brut</v>
          </cell>
          <cell r="AN352">
            <v>8.3391327610822671E-2</v>
          </cell>
          <cell r="AO352">
            <v>19048.889999999992</v>
          </cell>
        </row>
        <row r="353">
          <cell r="A353" t="str">
            <v>Pièces</v>
          </cell>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t="str">
            <v>PiècesTOTAL DES DÉPENSES</v>
          </cell>
          <cell r="C354" t="str">
            <v>% brut</v>
          </cell>
          <cell r="D354">
            <v>0.52651703950761852</v>
          </cell>
          <cell r="E354">
            <v>926916.30999999982</v>
          </cell>
          <cell r="F354" t="str">
            <v>% brut</v>
          </cell>
          <cell r="G354">
            <v>0.75862485423359971</v>
          </cell>
          <cell r="H354">
            <v>84987.649999999907</v>
          </cell>
          <cell r="I354" t="str">
            <v>% brut</v>
          </cell>
          <cell r="J354">
            <v>0.81261106252671977</v>
          </cell>
          <cell r="K354">
            <v>84567.319999999978</v>
          </cell>
          <cell r="L354" t="str">
            <v>% brut</v>
          </cell>
          <cell r="M354">
            <v>0.65283373769487207</v>
          </cell>
          <cell r="N354">
            <v>79833.359999999899</v>
          </cell>
          <cell r="O354" t="str">
            <v>% brut</v>
          </cell>
          <cell r="P354">
            <v>0.74699066443104445</v>
          </cell>
          <cell r="Q354">
            <v>81982.329999999987</v>
          </cell>
          <cell r="R354" t="str">
            <v>% brut</v>
          </cell>
          <cell r="S354">
            <v>0.62017616965144884</v>
          </cell>
          <cell r="T354">
            <v>89394.68</v>
          </cell>
          <cell r="U354" t="str">
            <v>% brut</v>
          </cell>
          <cell r="V354">
            <v>0.66094743373049691</v>
          </cell>
          <cell r="W354">
            <v>72311.799999999988</v>
          </cell>
          <cell r="X354" t="str">
            <v>% brut</v>
          </cell>
          <cell r="Y354">
            <v>0.58453551148945804</v>
          </cell>
          <cell r="Z354">
            <v>73117.699999999895</v>
          </cell>
          <cell r="AA354" t="str">
            <v>% brut</v>
          </cell>
          <cell r="AB354">
            <v>0.37163959109232142</v>
          </cell>
          <cell r="AC354">
            <v>74339.609999999899</v>
          </cell>
          <cell r="AD354" t="str">
            <v>% brut</v>
          </cell>
          <cell r="AE354">
            <v>0.43760071494225583</v>
          </cell>
          <cell r="AF354">
            <v>64576.72</v>
          </cell>
          <cell r="AG354" t="str">
            <v>% brut</v>
          </cell>
          <cell r="AH354">
            <v>0.48546392239671815</v>
          </cell>
          <cell r="AI354">
            <v>81478.92</v>
          </cell>
          <cell r="AJ354" t="str">
            <v>% brut</v>
          </cell>
          <cell r="AK354">
            <v>0.41265686833421922</v>
          </cell>
          <cell r="AL354">
            <v>78334.48000000001</v>
          </cell>
          <cell r="AM354" t="str">
            <v>% brut</v>
          </cell>
          <cell r="AN354">
            <v>0.27138450059320735</v>
          </cell>
          <cell r="AO354">
            <v>61991.739999999991</v>
          </cell>
        </row>
        <row r="355">
          <cell r="A355" t="str">
            <v>Pièces</v>
          </cell>
          <cell r="C355"/>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t="str">
            <v>PiècesPROFIT DÉPARTEMENTAL</v>
          </cell>
          <cell r="C356"/>
          <cell r="D356"/>
          <cell r="E356">
            <v>833551.51999999722</v>
          </cell>
          <cell r="F356"/>
          <cell r="G356"/>
          <cell r="H356">
            <v>27040.909999999873</v>
          </cell>
          <cell r="I356"/>
          <cell r="J356"/>
          <cell r="K356">
            <v>19501.30999999991</v>
          </cell>
          <cell r="L356"/>
          <cell r="M356"/>
          <cell r="N356">
            <v>42454.069999999891</v>
          </cell>
          <cell r="O356"/>
          <cell r="P356"/>
          <cell r="Q356">
            <v>27767.809999999794</v>
          </cell>
          <cell r="R356"/>
          <cell r="S356"/>
          <cell r="T356">
            <v>54749.329999999783</v>
          </cell>
          <cell r="U356"/>
          <cell r="V356"/>
          <cell r="W356">
            <v>37094.479999999705</v>
          </cell>
          <cell r="X356"/>
          <cell r="Y356"/>
          <cell r="Z356">
            <v>51969.139999999927</v>
          </cell>
          <cell r="AA356"/>
          <cell r="AB356"/>
          <cell r="AC356">
            <v>125691.84999999969</v>
          </cell>
          <cell r="AD356"/>
          <cell r="AE356"/>
          <cell r="AF356">
            <v>82993.239999999787</v>
          </cell>
          <cell r="AG356"/>
          <cell r="AH356"/>
          <cell r="AI356">
            <v>86358.309999999721</v>
          </cell>
          <cell r="AJ356"/>
          <cell r="AK356"/>
          <cell r="AL356">
            <v>111495.09999999969</v>
          </cell>
          <cell r="AM356"/>
          <cell r="AN356"/>
          <cell r="AO356">
            <v>166435.97</v>
          </cell>
        </row>
        <row r="357">
          <cell r="A357"/>
          <cell r="C357"/>
          <cell r="D357"/>
          <cell r="E357">
            <v>833551.51999999769</v>
          </cell>
          <cell r="F357"/>
          <cell r="G357"/>
          <cell r="H357"/>
          <cell r="I357"/>
          <cell r="J357"/>
          <cell r="K357"/>
          <cell r="L357"/>
          <cell r="M357"/>
          <cell r="N357"/>
          <cell r="O357"/>
          <cell r="P357"/>
          <cell r="Q357"/>
          <cell r="R357"/>
          <cell r="S357"/>
          <cell r="T357"/>
          <cell r="U357"/>
          <cell r="V357"/>
          <cell r="W357"/>
          <cell r="X357"/>
          <cell r="Y357"/>
          <cell r="Z357"/>
          <cell r="AA357"/>
          <cell r="AB357"/>
          <cell r="AC357"/>
          <cell r="AD357"/>
          <cell r="AE357"/>
          <cell r="AF357"/>
          <cell r="AG357"/>
          <cell r="AH357"/>
          <cell r="AI357"/>
          <cell r="AJ357"/>
          <cell r="AK357"/>
          <cell r="AL357"/>
          <cell r="AM357"/>
          <cell r="AN357"/>
          <cell r="AO357"/>
        </row>
        <row r="358">
          <cell r="A358"/>
          <cell r="C358"/>
          <cell r="D358"/>
          <cell r="E358"/>
          <cell r="F358"/>
          <cell r="G358"/>
          <cell r="H358"/>
          <cell r="I358"/>
          <cell r="J358"/>
          <cell r="K358"/>
          <cell r="L358"/>
          <cell r="M358"/>
          <cell r="N358"/>
          <cell r="O358"/>
          <cell r="P358"/>
          <cell r="Q358"/>
          <cell r="R358"/>
          <cell r="S358"/>
          <cell r="T358"/>
          <cell r="U358"/>
          <cell r="V358"/>
          <cell r="W358"/>
          <cell r="X358"/>
          <cell r="Y358"/>
          <cell r="Z358"/>
          <cell r="AA358"/>
          <cell r="AB358"/>
          <cell r="AC358"/>
          <cell r="AD358"/>
          <cell r="AE358"/>
          <cell r="AF358"/>
          <cell r="AG358"/>
          <cell r="AH358"/>
          <cell r="AI358"/>
          <cell r="AJ358"/>
          <cell r="AK358"/>
          <cell r="AL358"/>
          <cell r="AM358"/>
          <cell r="AN358"/>
          <cell r="AO358"/>
        </row>
        <row r="359">
          <cell r="A359"/>
          <cell r="C359" t="str">
            <v>Boutique</v>
          </cell>
          <cell r="D359"/>
          <cell r="E359"/>
          <cell r="F359"/>
          <cell r="G359"/>
          <cell r="H359"/>
          <cell r="I359"/>
          <cell r="J359"/>
          <cell r="K359"/>
          <cell r="L359"/>
          <cell r="M359"/>
          <cell r="N359"/>
          <cell r="O359"/>
          <cell r="P359"/>
          <cell r="Q359"/>
          <cell r="R359"/>
          <cell r="S359"/>
          <cell r="T359"/>
          <cell r="U359"/>
          <cell r="V359"/>
          <cell r="W359"/>
          <cell r="X359"/>
          <cell r="Y359"/>
          <cell r="Z359"/>
          <cell r="AA359"/>
          <cell r="AB359"/>
          <cell r="AC359"/>
          <cell r="AD359"/>
          <cell r="AE359"/>
          <cell r="AF359"/>
          <cell r="AG359"/>
          <cell r="AH359"/>
          <cell r="AI359"/>
          <cell r="AJ359"/>
          <cell r="AK359"/>
          <cell r="AL359"/>
          <cell r="AM359"/>
          <cell r="AN359"/>
          <cell r="AO359"/>
        </row>
        <row r="360">
          <cell r="A360"/>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cell r="C361">
            <v>2025</v>
          </cell>
          <cell r="D361"/>
          <cell r="E361"/>
          <cell r="F361" t="str">
            <v>Janvier</v>
          </cell>
          <cell r="G361"/>
          <cell r="H361"/>
          <cell r="I361" t="str">
            <v>Février</v>
          </cell>
          <cell r="J361"/>
          <cell r="K361"/>
          <cell r="L361" t="str">
            <v>Mars</v>
          </cell>
          <cell r="M361"/>
          <cell r="N361"/>
          <cell r="O361" t="str">
            <v>Avril</v>
          </cell>
          <cell r="P361"/>
          <cell r="Q361"/>
          <cell r="R361" t="str">
            <v>Mai</v>
          </cell>
          <cell r="S361"/>
          <cell r="T361"/>
          <cell r="U361" t="str">
            <v>Juin</v>
          </cell>
          <cell r="V361"/>
          <cell r="W361"/>
          <cell r="X361" t="str">
            <v>Juillet</v>
          </cell>
          <cell r="Y361"/>
          <cell r="Z361"/>
          <cell r="AA361" t="str">
            <v>Août</v>
          </cell>
          <cell r="AB361"/>
          <cell r="AC361"/>
          <cell r="AD361" t="str">
            <v>Septembre</v>
          </cell>
          <cell r="AE361"/>
          <cell r="AF361"/>
          <cell r="AG361" t="str">
            <v>Octobre</v>
          </cell>
          <cell r="AH361"/>
          <cell r="AI361"/>
          <cell r="AJ361" t="str">
            <v>Novembre</v>
          </cell>
          <cell r="AK361"/>
          <cell r="AL361"/>
          <cell r="AM361" t="str">
            <v>Décembre</v>
          </cell>
          <cell r="AN361"/>
          <cell r="AO361"/>
        </row>
        <row r="362">
          <cell r="A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row>
        <row r="364">
          <cell r="A364" t="str">
            <v>Boutique</v>
          </cell>
          <cell r="C364"/>
          <cell r="D364"/>
          <cell r="E364"/>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cell r="C366"/>
          <cell r="D366"/>
          <cell r="E366"/>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BoutiqueDEPENSES</v>
          </cell>
          <cell r="C367"/>
          <cell r="D367"/>
          <cell r="E367"/>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BoutiqueSalaires cadres</v>
          </cell>
          <cell r="C368"/>
          <cell r="D368"/>
          <cell r="E368">
            <v>0</v>
          </cell>
          <cell r="F368"/>
          <cell r="G368"/>
          <cell r="H368">
            <v>0</v>
          </cell>
          <cell r="I368"/>
          <cell r="J368"/>
          <cell r="K368">
            <v>0</v>
          </cell>
          <cell r="L368"/>
          <cell r="M368"/>
          <cell r="N368">
            <v>0</v>
          </cell>
          <cell r="O368"/>
          <cell r="P368"/>
          <cell r="Q368">
            <v>0</v>
          </cell>
          <cell r="R368"/>
          <cell r="S368"/>
          <cell r="T368">
            <v>0</v>
          </cell>
          <cell r="U368"/>
          <cell r="V368"/>
          <cell r="W368">
            <v>0</v>
          </cell>
          <cell r="X368"/>
          <cell r="Y368"/>
          <cell r="Z368">
            <v>0</v>
          </cell>
          <cell r="AA368"/>
          <cell r="AB368"/>
          <cell r="AC368">
            <v>0</v>
          </cell>
          <cell r="AD368"/>
          <cell r="AE368"/>
          <cell r="AF368">
            <v>0</v>
          </cell>
          <cell r="AG368"/>
          <cell r="AH368"/>
          <cell r="AI368">
            <v>0</v>
          </cell>
          <cell r="AJ368"/>
          <cell r="AK368"/>
          <cell r="AL368">
            <v>0</v>
          </cell>
          <cell r="AM368"/>
          <cell r="AN368"/>
          <cell r="AO368">
            <v>0</v>
          </cell>
        </row>
        <row r="369">
          <cell r="A369" t="str">
            <v>BoutiqueSalaires commis</v>
          </cell>
          <cell r="C369"/>
          <cell r="D369"/>
          <cell r="E369">
            <v>0</v>
          </cell>
          <cell r="F369"/>
          <cell r="G369"/>
          <cell r="H369">
            <v>0</v>
          </cell>
          <cell r="I369"/>
          <cell r="J369"/>
          <cell r="K369">
            <v>0</v>
          </cell>
          <cell r="L369"/>
          <cell r="M369"/>
          <cell r="N369">
            <v>0</v>
          </cell>
          <cell r="O369"/>
          <cell r="P369"/>
          <cell r="Q369">
            <v>0</v>
          </cell>
          <cell r="R369"/>
          <cell r="S369"/>
          <cell r="T369">
            <v>0</v>
          </cell>
          <cell r="U369"/>
          <cell r="V369"/>
          <cell r="W369">
            <v>0</v>
          </cell>
          <cell r="X369"/>
          <cell r="Y369"/>
          <cell r="Z369">
            <v>0</v>
          </cell>
          <cell r="AA369"/>
          <cell r="AB369"/>
          <cell r="AC369">
            <v>0</v>
          </cell>
          <cell r="AD369"/>
          <cell r="AE369"/>
          <cell r="AF369">
            <v>0</v>
          </cell>
          <cell r="AG369"/>
          <cell r="AH369"/>
          <cell r="AI369">
            <v>0</v>
          </cell>
          <cell r="AJ369"/>
          <cell r="AK369"/>
          <cell r="AL369">
            <v>0</v>
          </cell>
          <cell r="AM369"/>
          <cell r="AN369"/>
          <cell r="AO369">
            <v>0</v>
          </cell>
        </row>
        <row r="370">
          <cell r="A370" t="str">
            <v>BoutiqueSalaires autres</v>
          </cell>
          <cell r="C370"/>
          <cell r="D370"/>
          <cell r="E370">
            <v>0</v>
          </cell>
          <cell r="F370"/>
          <cell r="G370"/>
          <cell r="H370">
            <v>0</v>
          </cell>
          <cell r="I370"/>
          <cell r="J370"/>
          <cell r="K370">
            <v>0</v>
          </cell>
          <cell r="L370"/>
          <cell r="M370"/>
          <cell r="N370">
            <v>0</v>
          </cell>
          <cell r="O370"/>
          <cell r="P370"/>
          <cell r="Q370">
            <v>0</v>
          </cell>
          <cell r="R370"/>
          <cell r="S370"/>
          <cell r="T370">
            <v>0</v>
          </cell>
          <cell r="U370"/>
          <cell r="V370"/>
          <cell r="W370">
            <v>0</v>
          </cell>
          <cell r="X370"/>
          <cell r="Y370"/>
          <cell r="Z370">
            <v>0</v>
          </cell>
          <cell r="AA370"/>
          <cell r="AB370"/>
          <cell r="AC370">
            <v>0</v>
          </cell>
          <cell r="AD370"/>
          <cell r="AE370"/>
          <cell r="AF370">
            <v>0</v>
          </cell>
          <cell r="AG370"/>
          <cell r="AH370"/>
          <cell r="AI370">
            <v>0</v>
          </cell>
          <cell r="AJ370"/>
          <cell r="AK370"/>
          <cell r="AL370">
            <v>0</v>
          </cell>
          <cell r="AM370"/>
          <cell r="AN370"/>
          <cell r="AO370">
            <v>0</v>
          </cell>
        </row>
        <row r="371">
          <cell r="A371" t="str">
            <v>BoutiqueSalaires spécialistes</v>
          </cell>
          <cell r="C371"/>
          <cell r="D371"/>
          <cell r="E371">
            <v>0</v>
          </cell>
          <cell r="F371"/>
          <cell r="G371"/>
          <cell r="H371">
            <v>0</v>
          </cell>
          <cell r="I371"/>
          <cell r="J371"/>
          <cell r="K371">
            <v>0</v>
          </cell>
          <cell r="L371"/>
          <cell r="M371"/>
          <cell r="N371">
            <v>0</v>
          </cell>
          <cell r="O371"/>
          <cell r="P371"/>
          <cell r="Q371">
            <v>0</v>
          </cell>
          <cell r="R371"/>
          <cell r="S371"/>
          <cell r="T371">
            <v>0</v>
          </cell>
          <cell r="U371"/>
          <cell r="V371"/>
          <cell r="W371">
            <v>0</v>
          </cell>
          <cell r="X371"/>
          <cell r="Y371"/>
          <cell r="Z371">
            <v>0</v>
          </cell>
          <cell r="AA371"/>
          <cell r="AB371"/>
          <cell r="AC371">
            <v>0</v>
          </cell>
          <cell r="AD371"/>
          <cell r="AE371"/>
          <cell r="AF371">
            <v>0</v>
          </cell>
          <cell r="AG371"/>
          <cell r="AH371"/>
          <cell r="AI371">
            <v>0</v>
          </cell>
          <cell r="AJ371"/>
          <cell r="AK371"/>
          <cell r="AL371">
            <v>0</v>
          </cell>
          <cell r="AM371"/>
          <cell r="AN371"/>
          <cell r="AO371">
            <v>0</v>
          </cell>
        </row>
        <row r="372">
          <cell r="A372" t="str">
            <v>Boutique[...]</v>
          </cell>
          <cell r="C372"/>
          <cell r="D372"/>
          <cell r="E372"/>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v>
          </cell>
          <cell r="C373"/>
          <cell r="D373"/>
          <cell r="E373"/>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v>
          </cell>
          <cell r="C374"/>
          <cell r="D374"/>
          <cell r="E374"/>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BoutiqueSalaires en absences</v>
          </cell>
          <cell r="C375"/>
          <cell r="D375"/>
          <cell r="E375">
            <v>0</v>
          </cell>
          <cell r="F375"/>
          <cell r="G375"/>
          <cell r="H375">
            <v>0</v>
          </cell>
          <cell r="I375"/>
          <cell r="J375"/>
          <cell r="K375">
            <v>0</v>
          </cell>
          <cell r="L375"/>
          <cell r="M375"/>
          <cell r="N375">
            <v>0</v>
          </cell>
          <cell r="O375"/>
          <cell r="P375"/>
          <cell r="Q375">
            <v>0</v>
          </cell>
          <cell r="R375"/>
          <cell r="S375"/>
          <cell r="T375">
            <v>0</v>
          </cell>
          <cell r="U375"/>
          <cell r="V375"/>
          <cell r="W375">
            <v>0</v>
          </cell>
          <cell r="X375"/>
          <cell r="Y375"/>
          <cell r="Z375">
            <v>0</v>
          </cell>
          <cell r="AA375"/>
          <cell r="AB375"/>
          <cell r="AC375">
            <v>0</v>
          </cell>
          <cell r="AD375"/>
          <cell r="AE375"/>
          <cell r="AF375">
            <v>0</v>
          </cell>
          <cell r="AG375"/>
          <cell r="AH375"/>
          <cell r="AI375">
            <v>0</v>
          </cell>
          <cell r="AJ375"/>
          <cell r="AK375"/>
          <cell r="AL375">
            <v>0</v>
          </cell>
          <cell r="AM375"/>
          <cell r="AN375"/>
          <cell r="AO375">
            <v>0</v>
          </cell>
        </row>
        <row r="376">
          <cell r="A376" t="str">
            <v>BoutiqueDéduction à la source</v>
          </cell>
          <cell r="C376"/>
          <cell r="D376"/>
          <cell r="E376">
            <v>0</v>
          </cell>
          <cell r="F376"/>
          <cell r="G376"/>
          <cell r="H376">
            <v>0</v>
          </cell>
          <cell r="I376"/>
          <cell r="J376"/>
          <cell r="K376">
            <v>0</v>
          </cell>
          <cell r="L376"/>
          <cell r="M376"/>
          <cell r="N376">
            <v>0</v>
          </cell>
          <cell r="O376"/>
          <cell r="P376"/>
          <cell r="Q376">
            <v>0</v>
          </cell>
          <cell r="R376"/>
          <cell r="S376"/>
          <cell r="T376">
            <v>0</v>
          </cell>
          <cell r="U376"/>
          <cell r="V376"/>
          <cell r="W376">
            <v>0</v>
          </cell>
          <cell r="X376"/>
          <cell r="Y376"/>
          <cell r="Z376">
            <v>0</v>
          </cell>
          <cell r="AA376"/>
          <cell r="AB376"/>
          <cell r="AC376">
            <v>0</v>
          </cell>
          <cell r="AD376"/>
          <cell r="AE376"/>
          <cell r="AF376">
            <v>0</v>
          </cell>
          <cell r="AG376"/>
          <cell r="AH376"/>
          <cell r="AI376">
            <v>0</v>
          </cell>
          <cell r="AJ376"/>
          <cell r="AK376"/>
          <cell r="AL376">
            <v>0</v>
          </cell>
          <cell r="AM376"/>
          <cell r="AN376"/>
          <cell r="AO376">
            <v>0</v>
          </cell>
        </row>
        <row r="377">
          <cell r="A377" t="str">
            <v>BoutiqueBénéfices marginaux</v>
          </cell>
          <cell r="C377"/>
          <cell r="D377"/>
          <cell r="E377">
            <v>0</v>
          </cell>
          <cell r="F377"/>
          <cell r="G377"/>
          <cell r="H377">
            <v>0</v>
          </cell>
          <cell r="I377"/>
          <cell r="J377"/>
          <cell r="K377">
            <v>0</v>
          </cell>
          <cell r="L377"/>
          <cell r="M377"/>
          <cell r="N377">
            <v>0</v>
          </cell>
          <cell r="O377"/>
          <cell r="P377"/>
          <cell r="Q377">
            <v>0</v>
          </cell>
          <cell r="R377"/>
          <cell r="S377"/>
          <cell r="T377">
            <v>0</v>
          </cell>
          <cell r="U377"/>
          <cell r="V377"/>
          <cell r="W377">
            <v>0</v>
          </cell>
          <cell r="X377"/>
          <cell r="Y377"/>
          <cell r="Z377">
            <v>0</v>
          </cell>
          <cell r="AA377"/>
          <cell r="AB377"/>
          <cell r="AC377">
            <v>0</v>
          </cell>
          <cell r="AD377"/>
          <cell r="AE377"/>
          <cell r="AF377">
            <v>0</v>
          </cell>
          <cell r="AG377"/>
          <cell r="AH377"/>
          <cell r="AI377">
            <v>0</v>
          </cell>
          <cell r="AJ377"/>
          <cell r="AK377"/>
          <cell r="AL377">
            <v>0</v>
          </cell>
          <cell r="AM377"/>
          <cell r="AN377"/>
          <cell r="AO377">
            <v>0</v>
          </cell>
        </row>
        <row r="378">
          <cell r="A378" t="str">
            <v>BoutiqueCsst</v>
          </cell>
          <cell r="C378"/>
          <cell r="D378"/>
          <cell r="E378">
            <v>0</v>
          </cell>
          <cell r="F378"/>
          <cell r="G378"/>
          <cell r="H378">
            <v>0</v>
          </cell>
          <cell r="I378"/>
          <cell r="J378"/>
          <cell r="K378">
            <v>0</v>
          </cell>
          <cell r="L378"/>
          <cell r="M378"/>
          <cell r="N378">
            <v>0</v>
          </cell>
          <cell r="O378"/>
          <cell r="P378"/>
          <cell r="Q378">
            <v>0</v>
          </cell>
          <cell r="R378"/>
          <cell r="S378"/>
          <cell r="T378">
            <v>0</v>
          </cell>
          <cell r="U378"/>
          <cell r="V378"/>
          <cell r="W378">
            <v>0</v>
          </cell>
          <cell r="X378"/>
          <cell r="Y378"/>
          <cell r="Z378">
            <v>0</v>
          </cell>
          <cell r="AA378"/>
          <cell r="AB378"/>
          <cell r="AC378">
            <v>0</v>
          </cell>
          <cell r="AD378"/>
          <cell r="AE378"/>
          <cell r="AF378">
            <v>0</v>
          </cell>
          <cell r="AG378"/>
          <cell r="AH378"/>
          <cell r="AI378">
            <v>0</v>
          </cell>
          <cell r="AJ378"/>
          <cell r="AK378"/>
          <cell r="AL378">
            <v>0</v>
          </cell>
          <cell r="AM378"/>
          <cell r="AN378"/>
          <cell r="AO378">
            <v>0</v>
          </cell>
        </row>
        <row r="379">
          <cell r="A379" t="str">
            <v>Boutique[...]</v>
          </cell>
          <cell r="C379"/>
          <cell r="D379"/>
          <cell r="E379"/>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BoutiqueTOTAL PERSONNEL</v>
          </cell>
          <cell r="C380" t="str">
            <v>% brut</v>
          </cell>
          <cell r="D380">
            <v>0</v>
          </cell>
          <cell r="E380">
            <v>0</v>
          </cell>
          <cell r="F380"/>
          <cell r="G380"/>
          <cell r="H380">
            <v>0</v>
          </cell>
          <cell r="I380"/>
          <cell r="J380"/>
          <cell r="K380">
            <v>0</v>
          </cell>
          <cell r="L380"/>
          <cell r="M380"/>
          <cell r="N380">
            <v>0</v>
          </cell>
          <cell r="O380"/>
          <cell r="P380"/>
          <cell r="Q380">
            <v>0</v>
          </cell>
          <cell r="R380"/>
          <cell r="S380"/>
          <cell r="T380">
            <v>0</v>
          </cell>
          <cell r="U380"/>
          <cell r="V380"/>
          <cell r="W380">
            <v>0</v>
          </cell>
          <cell r="X380"/>
          <cell r="Y380"/>
          <cell r="Z380">
            <v>0</v>
          </cell>
          <cell r="AA380"/>
          <cell r="AB380"/>
          <cell r="AC380">
            <v>0</v>
          </cell>
          <cell r="AD380"/>
          <cell r="AE380"/>
          <cell r="AF380">
            <v>0</v>
          </cell>
          <cell r="AG380"/>
          <cell r="AH380"/>
          <cell r="AI380">
            <v>0</v>
          </cell>
          <cell r="AJ380"/>
          <cell r="AK380"/>
          <cell r="AL380">
            <v>0</v>
          </cell>
          <cell r="AM380"/>
          <cell r="AN380"/>
          <cell r="AO380">
            <v>0</v>
          </cell>
        </row>
        <row r="381">
          <cell r="A381" t="str">
            <v>BoutiquePublicité 2</v>
          </cell>
          <cell r="C381"/>
          <cell r="D381"/>
          <cell r="E381">
            <v>0</v>
          </cell>
          <cell r="F381"/>
          <cell r="G381"/>
          <cell r="H381">
            <v>0</v>
          </cell>
          <cell r="I381"/>
          <cell r="J381"/>
          <cell r="K381">
            <v>0</v>
          </cell>
          <cell r="L381"/>
          <cell r="M381"/>
          <cell r="N381">
            <v>0</v>
          </cell>
          <cell r="O381"/>
          <cell r="P381"/>
          <cell r="Q381">
            <v>0</v>
          </cell>
          <cell r="R381"/>
          <cell r="S381"/>
          <cell r="T381">
            <v>0</v>
          </cell>
          <cell r="U381"/>
          <cell r="V381"/>
          <cell r="W381">
            <v>0</v>
          </cell>
          <cell r="X381"/>
          <cell r="Y381"/>
          <cell r="Z381">
            <v>0</v>
          </cell>
          <cell r="AA381"/>
          <cell r="AB381"/>
          <cell r="AC381">
            <v>0</v>
          </cell>
          <cell r="AD381"/>
          <cell r="AE381"/>
          <cell r="AF381">
            <v>0</v>
          </cell>
          <cell r="AG381"/>
          <cell r="AH381"/>
          <cell r="AI381">
            <v>0</v>
          </cell>
          <cell r="AJ381"/>
          <cell r="AK381"/>
          <cell r="AL381">
            <v>0</v>
          </cell>
          <cell r="AM381"/>
          <cell r="AN381"/>
          <cell r="AO381">
            <v>0</v>
          </cell>
        </row>
        <row r="382">
          <cell r="A382" t="str">
            <v>BoutiqueService gratuit 2</v>
          </cell>
          <cell r="C382"/>
          <cell r="D382"/>
          <cell r="E382">
            <v>0</v>
          </cell>
          <cell r="F382"/>
          <cell r="G382"/>
          <cell r="H382">
            <v>0</v>
          </cell>
          <cell r="I382"/>
          <cell r="J382"/>
          <cell r="K382">
            <v>0</v>
          </cell>
          <cell r="L382"/>
          <cell r="M382"/>
          <cell r="N382">
            <v>0</v>
          </cell>
          <cell r="O382"/>
          <cell r="P382"/>
          <cell r="Q382">
            <v>0</v>
          </cell>
          <cell r="R382"/>
          <cell r="S382"/>
          <cell r="T382">
            <v>0</v>
          </cell>
          <cell r="U382"/>
          <cell r="V382"/>
          <cell r="W382">
            <v>0</v>
          </cell>
          <cell r="X382"/>
          <cell r="Y382"/>
          <cell r="Z382">
            <v>0</v>
          </cell>
          <cell r="AA382"/>
          <cell r="AB382"/>
          <cell r="AC382">
            <v>0</v>
          </cell>
          <cell r="AD382"/>
          <cell r="AE382"/>
          <cell r="AF382">
            <v>0</v>
          </cell>
          <cell r="AG382"/>
          <cell r="AH382"/>
          <cell r="AI382">
            <v>0</v>
          </cell>
          <cell r="AJ382"/>
          <cell r="AK382"/>
          <cell r="AL382">
            <v>0</v>
          </cell>
          <cell r="AM382"/>
          <cell r="AN382"/>
          <cell r="AO382">
            <v>0</v>
          </cell>
        </row>
        <row r="383">
          <cell r="A383" t="str">
            <v>BoutiqueFrais véhicules de cie</v>
          </cell>
          <cell r="C383"/>
          <cell r="D383"/>
          <cell r="E383">
            <v>0</v>
          </cell>
          <cell r="F383"/>
          <cell r="G383"/>
          <cell r="H383">
            <v>0</v>
          </cell>
          <cell r="I383"/>
          <cell r="J383"/>
          <cell r="K383">
            <v>0</v>
          </cell>
          <cell r="L383"/>
          <cell r="M383"/>
          <cell r="N383">
            <v>0</v>
          </cell>
          <cell r="O383"/>
          <cell r="P383"/>
          <cell r="Q383">
            <v>0</v>
          </cell>
          <cell r="R383"/>
          <cell r="S383"/>
          <cell r="T383">
            <v>0</v>
          </cell>
          <cell r="U383"/>
          <cell r="V383"/>
          <cell r="W383">
            <v>0</v>
          </cell>
          <cell r="X383"/>
          <cell r="Y383"/>
          <cell r="Z383">
            <v>0</v>
          </cell>
          <cell r="AA383"/>
          <cell r="AB383"/>
          <cell r="AC383">
            <v>0</v>
          </cell>
          <cell r="AD383"/>
          <cell r="AE383"/>
          <cell r="AF383">
            <v>0</v>
          </cell>
          <cell r="AG383"/>
          <cell r="AH383"/>
          <cell r="AI383">
            <v>0</v>
          </cell>
          <cell r="AJ383"/>
          <cell r="AK383"/>
          <cell r="AL383">
            <v>0</v>
          </cell>
          <cell r="AM383"/>
          <cell r="AN383"/>
          <cell r="AO383">
            <v>0</v>
          </cell>
        </row>
        <row r="384">
          <cell r="A384" t="str">
            <v>BoutiqueInformatique</v>
          </cell>
          <cell r="C384"/>
          <cell r="D384"/>
          <cell r="E384">
            <v>0</v>
          </cell>
          <cell r="F384"/>
          <cell r="G384"/>
          <cell r="H384">
            <v>0</v>
          </cell>
          <cell r="I384"/>
          <cell r="J384"/>
          <cell r="K384">
            <v>0</v>
          </cell>
          <cell r="L384"/>
          <cell r="M384"/>
          <cell r="N384">
            <v>0</v>
          </cell>
          <cell r="O384"/>
          <cell r="P384"/>
          <cell r="Q384">
            <v>0</v>
          </cell>
          <cell r="R384"/>
          <cell r="S384"/>
          <cell r="T384">
            <v>0</v>
          </cell>
          <cell r="U384"/>
          <cell r="V384"/>
          <cell r="W384">
            <v>0</v>
          </cell>
          <cell r="X384"/>
          <cell r="Y384"/>
          <cell r="Z384">
            <v>0</v>
          </cell>
          <cell r="AA384"/>
          <cell r="AB384"/>
          <cell r="AC384">
            <v>0</v>
          </cell>
          <cell r="AD384"/>
          <cell r="AE384"/>
          <cell r="AF384">
            <v>0</v>
          </cell>
          <cell r="AG384"/>
          <cell r="AH384"/>
          <cell r="AI384">
            <v>0</v>
          </cell>
          <cell r="AJ384"/>
          <cell r="AK384"/>
          <cell r="AL384">
            <v>0</v>
          </cell>
          <cell r="AM384"/>
          <cell r="AN384"/>
          <cell r="AO384">
            <v>0</v>
          </cell>
        </row>
        <row r="385">
          <cell r="A385" t="str">
            <v>BoutiqueFrais de déplacement</v>
          </cell>
          <cell r="C385"/>
          <cell r="D385"/>
          <cell r="E385">
            <v>0</v>
          </cell>
          <cell r="F385"/>
          <cell r="G385"/>
          <cell r="H385">
            <v>0</v>
          </cell>
          <cell r="I385"/>
          <cell r="J385"/>
          <cell r="K385">
            <v>0</v>
          </cell>
          <cell r="L385"/>
          <cell r="M385"/>
          <cell r="N385">
            <v>0</v>
          </cell>
          <cell r="O385"/>
          <cell r="P385"/>
          <cell r="Q385">
            <v>0</v>
          </cell>
          <cell r="R385"/>
          <cell r="S385"/>
          <cell r="T385">
            <v>0</v>
          </cell>
          <cell r="U385"/>
          <cell r="V385"/>
          <cell r="W385">
            <v>0</v>
          </cell>
          <cell r="X385"/>
          <cell r="Y385"/>
          <cell r="Z385">
            <v>0</v>
          </cell>
          <cell r="AA385"/>
          <cell r="AB385"/>
          <cell r="AC385">
            <v>0</v>
          </cell>
          <cell r="AD385"/>
          <cell r="AE385"/>
          <cell r="AF385">
            <v>0</v>
          </cell>
          <cell r="AG385"/>
          <cell r="AH385"/>
          <cell r="AI385">
            <v>0</v>
          </cell>
          <cell r="AJ385"/>
          <cell r="AK385"/>
          <cell r="AL385">
            <v>0</v>
          </cell>
          <cell r="AM385"/>
          <cell r="AN385"/>
          <cell r="AO385">
            <v>0</v>
          </cell>
        </row>
        <row r="386">
          <cell r="A386" t="str">
            <v>BoutiqueServices extérieurs</v>
          </cell>
          <cell r="C386"/>
          <cell r="D386"/>
          <cell r="E386">
            <v>0</v>
          </cell>
          <cell r="F386"/>
          <cell r="G386"/>
          <cell r="H386">
            <v>0</v>
          </cell>
          <cell r="I386"/>
          <cell r="J386"/>
          <cell r="K386">
            <v>0</v>
          </cell>
          <cell r="L386"/>
          <cell r="M386"/>
          <cell r="N386">
            <v>0</v>
          </cell>
          <cell r="O386"/>
          <cell r="P386"/>
          <cell r="Q386">
            <v>0</v>
          </cell>
          <cell r="R386"/>
          <cell r="S386"/>
          <cell r="T386">
            <v>0</v>
          </cell>
          <cell r="U386"/>
          <cell r="V386"/>
          <cell r="W386">
            <v>0</v>
          </cell>
          <cell r="X386"/>
          <cell r="Y386"/>
          <cell r="Z386">
            <v>0</v>
          </cell>
          <cell r="AA386"/>
          <cell r="AB386"/>
          <cell r="AC386">
            <v>0</v>
          </cell>
          <cell r="AD386"/>
          <cell r="AE386"/>
          <cell r="AF386">
            <v>0</v>
          </cell>
          <cell r="AG386"/>
          <cell r="AH386"/>
          <cell r="AI386">
            <v>0</v>
          </cell>
          <cell r="AJ386"/>
          <cell r="AK386"/>
          <cell r="AL386">
            <v>0</v>
          </cell>
          <cell r="AM386"/>
          <cell r="AN386"/>
          <cell r="AO386">
            <v>0</v>
          </cell>
        </row>
        <row r="387">
          <cell r="A387" t="str">
            <v>BoutiqueFournitures autres</v>
          </cell>
          <cell r="C387"/>
          <cell r="D387"/>
          <cell r="E387">
            <v>0</v>
          </cell>
          <cell r="F387"/>
          <cell r="G387"/>
          <cell r="H387">
            <v>0</v>
          </cell>
          <cell r="I387"/>
          <cell r="J387"/>
          <cell r="K387">
            <v>0</v>
          </cell>
          <cell r="L387"/>
          <cell r="M387"/>
          <cell r="N387">
            <v>0</v>
          </cell>
          <cell r="O387"/>
          <cell r="P387"/>
          <cell r="Q387">
            <v>0</v>
          </cell>
          <cell r="R387"/>
          <cell r="S387"/>
          <cell r="T387">
            <v>0</v>
          </cell>
          <cell r="U387"/>
          <cell r="V387"/>
          <cell r="W387">
            <v>0</v>
          </cell>
          <cell r="X387"/>
          <cell r="Y387"/>
          <cell r="Z387">
            <v>0</v>
          </cell>
          <cell r="AA387"/>
          <cell r="AB387"/>
          <cell r="AC387">
            <v>0</v>
          </cell>
          <cell r="AD387"/>
          <cell r="AE387"/>
          <cell r="AF387">
            <v>0</v>
          </cell>
          <cell r="AG387"/>
          <cell r="AH387"/>
          <cell r="AI387">
            <v>0</v>
          </cell>
          <cell r="AJ387"/>
          <cell r="AK387"/>
          <cell r="AL387">
            <v>0</v>
          </cell>
          <cell r="AM387"/>
          <cell r="AN387"/>
          <cell r="AO387">
            <v>0</v>
          </cell>
        </row>
        <row r="388">
          <cell r="A388" t="str">
            <v>BoutiqueUniformes</v>
          </cell>
          <cell r="C388"/>
          <cell r="D388"/>
          <cell r="E388">
            <v>0</v>
          </cell>
          <cell r="F388"/>
          <cell r="G388"/>
          <cell r="H388">
            <v>0</v>
          </cell>
          <cell r="I388"/>
          <cell r="J388"/>
          <cell r="K388">
            <v>0</v>
          </cell>
          <cell r="L388"/>
          <cell r="M388"/>
          <cell r="N388">
            <v>0</v>
          </cell>
          <cell r="O388"/>
          <cell r="P388"/>
          <cell r="Q388">
            <v>0</v>
          </cell>
          <cell r="R388"/>
          <cell r="S388"/>
          <cell r="T388">
            <v>0</v>
          </cell>
          <cell r="U388"/>
          <cell r="V388"/>
          <cell r="W388">
            <v>0</v>
          </cell>
          <cell r="X388"/>
          <cell r="Y388"/>
          <cell r="Z388">
            <v>0</v>
          </cell>
          <cell r="AA388"/>
          <cell r="AB388"/>
          <cell r="AC388">
            <v>0</v>
          </cell>
          <cell r="AD388"/>
          <cell r="AE388"/>
          <cell r="AF388">
            <v>0</v>
          </cell>
          <cell r="AG388"/>
          <cell r="AH388"/>
          <cell r="AI388">
            <v>0</v>
          </cell>
          <cell r="AJ388"/>
          <cell r="AK388"/>
          <cell r="AL388">
            <v>0</v>
          </cell>
          <cell r="AM388"/>
          <cell r="AN388"/>
          <cell r="AO388">
            <v>0</v>
          </cell>
        </row>
        <row r="389">
          <cell r="A389" t="str">
            <v>BoutiquePapeterie</v>
          </cell>
          <cell r="C389"/>
          <cell r="D389"/>
          <cell r="E389">
            <v>0</v>
          </cell>
          <cell r="F389"/>
          <cell r="G389"/>
          <cell r="H389">
            <v>0</v>
          </cell>
          <cell r="I389"/>
          <cell r="J389"/>
          <cell r="K389">
            <v>0</v>
          </cell>
          <cell r="L389"/>
          <cell r="M389"/>
          <cell r="N389">
            <v>0</v>
          </cell>
          <cell r="O389"/>
          <cell r="P389"/>
          <cell r="Q389">
            <v>0</v>
          </cell>
          <cell r="R389"/>
          <cell r="S389"/>
          <cell r="T389">
            <v>0</v>
          </cell>
          <cell r="U389"/>
          <cell r="V389"/>
          <cell r="W389">
            <v>0</v>
          </cell>
          <cell r="X389"/>
          <cell r="Y389"/>
          <cell r="Z389">
            <v>0</v>
          </cell>
          <cell r="AA389"/>
          <cell r="AB389"/>
          <cell r="AC389">
            <v>0</v>
          </cell>
          <cell r="AD389"/>
          <cell r="AE389"/>
          <cell r="AF389">
            <v>0</v>
          </cell>
          <cell r="AG389"/>
          <cell r="AH389"/>
          <cell r="AI389">
            <v>0</v>
          </cell>
          <cell r="AJ389"/>
          <cell r="AK389"/>
          <cell r="AL389">
            <v>0</v>
          </cell>
          <cell r="AM389"/>
          <cell r="AN389"/>
          <cell r="AO389">
            <v>0</v>
          </cell>
        </row>
        <row r="390">
          <cell r="A390" t="str">
            <v>BoutiqueTéléphone</v>
          </cell>
          <cell r="C390"/>
          <cell r="D390"/>
          <cell r="E390">
            <v>0</v>
          </cell>
          <cell r="F390"/>
          <cell r="G390"/>
          <cell r="H390">
            <v>0</v>
          </cell>
          <cell r="I390"/>
          <cell r="J390"/>
          <cell r="K390">
            <v>0</v>
          </cell>
          <cell r="L390"/>
          <cell r="M390"/>
          <cell r="N390">
            <v>0</v>
          </cell>
          <cell r="O390"/>
          <cell r="P390"/>
          <cell r="Q390">
            <v>0</v>
          </cell>
          <cell r="R390"/>
          <cell r="S390"/>
          <cell r="T390">
            <v>0</v>
          </cell>
          <cell r="U390"/>
          <cell r="V390"/>
          <cell r="W390">
            <v>0</v>
          </cell>
          <cell r="X390"/>
          <cell r="Y390"/>
          <cell r="Z390">
            <v>0</v>
          </cell>
          <cell r="AA390"/>
          <cell r="AB390"/>
          <cell r="AC390">
            <v>0</v>
          </cell>
          <cell r="AD390"/>
          <cell r="AE390"/>
          <cell r="AF390">
            <v>0</v>
          </cell>
          <cell r="AG390"/>
          <cell r="AH390"/>
          <cell r="AI390">
            <v>0</v>
          </cell>
          <cell r="AJ390"/>
          <cell r="AK390"/>
          <cell r="AL390">
            <v>0</v>
          </cell>
          <cell r="AM390"/>
          <cell r="AN390"/>
          <cell r="AO390">
            <v>0</v>
          </cell>
        </row>
        <row r="391">
          <cell r="A391" t="str">
            <v>BoutiqueFrais postaux</v>
          </cell>
          <cell r="C391"/>
          <cell r="D391"/>
          <cell r="E391">
            <v>0</v>
          </cell>
          <cell r="F391"/>
          <cell r="G391"/>
          <cell r="H391">
            <v>0</v>
          </cell>
          <cell r="I391"/>
          <cell r="J391"/>
          <cell r="K391">
            <v>0</v>
          </cell>
          <cell r="L391"/>
          <cell r="M391"/>
          <cell r="N391">
            <v>0</v>
          </cell>
          <cell r="O391"/>
          <cell r="P391"/>
          <cell r="Q391">
            <v>0</v>
          </cell>
          <cell r="R391"/>
          <cell r="S391"/>
          <cell r="T391">
            <v>0</v>
          </cell>
          <cell r="U391"/>
          <cell r="V391"/>
          <cell r="W391">
            <v>0</v>
          </cell>
          <cell r="X391"/>
          <cell r="Y391"/>
          <cell r="Z391">
            <v>0</v>
          </cell>
          <cell r="AA391"/>
          <cell r="AB391"/>
          <cell r="AC391">
            <v>0</v>
          </cell>
          <cell r="AD391"/>
          <cell r="AE391"/>
          <cell r="AF391">
            <v>0</v>
          </cell>
          <cell r="AG391"/>
          <cell r="AH391"/>
          <cell r="AI391">
            <v>0</v>
          </cell>
          <cell r="AJ391"/>
          <cell r="AK391"/>
          <cell r="AL391">
            <v>0</v>
          </cell>
          <cell r="AM391"/>
          <cell r="AN391"/>
          <cell r="AO391">
            <v>0</v>
          </cell>
        </row>
        <row r="392">
          <cell r="A392" t="str">
            <v>BoutiqueDivers</v>
          </cell>
          <cell r="C392"/>
          <cell r="D392"/>
          <cell r="E392">
            <v>0</v>
          </cell>
          <cell r="F392"/>
          <cell r="G392"/>
          <cell r="H392">
            <v>0</v>
          </cell>
          <cell r="I392"/>
          <cell r="J392"/>
          <cell r="K392">
            <v>0</v>
          </cell>
          <cell r="L392"/>
          <cell r="M392"/>
          <cell r="N392">
            <v>0</v>
          </cell>
          <cell r="O392"/>
          <cell r="P392"/>
          <cell r="Q392">
            <v>0</v>
          </cell>
          <cell r="R392"/>
          <cell r="S392"/>
          <cell r="T392">
            <v>0</v>
          </cell>
          <cell r="U392"/>
          <cell r="V392"/>
          <cell r="W392">
            <v>0</v>
          </cell>
          <cell r="X392"/>
          <cell r="Y392"/>
          <cell r="Z392">
            <v>0</v>
          </cell>
          <cell r="AA392"/>
          <cell r="AB392"/>
          <cell r="AC392">
            <v>0</v>
          </cell>
          <cell r="AD392"/>
          <cell r="AE392"/>
          <cell r="AF392">
            <v>0</v>
          </cell>
          <cell r="AG392"/>
          <cell r="AH392"/>
          <cell r="AI392">
            <v>0</v>
          </cell>
          <cell r="AJ392"/>
          <cell r="AK392"/>
          <cell r="AL392">
            <v>0</v>
          </cell>
          <cell r="AM392"/>
          <cell r="AN392"/>
          <cell r="AO392">
            <v>0</v>
          </cell>
        </row>
        <row r="393">
          <cell r="A393" t="str">
            <v>BoutiqueFormation</v>
          </cell>
          <cell r="C393"/>
          <cell r="D393"/>
          <cell r="E393">
            <v>0</v>
          </cell>
          <cell r="F393"/>
          <cell r="G393"/>
          <cell r="H393">
            <v>0</v>
          </cell>
          <cell r="I393"/>
          <cell r="J393"/>
          <cell r="K393">
            <v>0</v>
          </cell>
          <cell r="L393"/>
          <cell r="M393"/>
          <cell r="N393">
            <v>0</v>
          </cell>
          <cell r="O393"/>
          <cell r="P393"/>
          <cell r="Q393">
            <v>0</v>
          </cell>
          <cell r="R393"/>
          <cell r="S393"/>
          <cell r="T393">
            <v>0</v>
          </cell>
          <cell r="U393"/>
          <cell r="V393"/>
          <cell r="W393">
            <v>0</v>
          </cell>
          <cell r="X393"/>
          <cell r="Y393"/>
          <cell r="Z393">
            <v>0</v>
          </cell>
          <cell r="AA393"/>
          <cell r="AB393"/>
          <cell r="AC393">
            <v>0</v>
          </cell>
          <cell r="AD393"/>
          <cell r="AE393"/>
          <cell r="AF393">
            <v>0</v>
          </cell>
          <cell r="AG393"/>
          <cell r="AH393"/>
          <cell r="AI393">
            <v>0</v>
          </cell>
          <cell r="AJ393"/>
          <cell r="AK393"/>
          <cell r="AL393">
            <v>0</v>
          </cell>
          <cell r="AM393"/>
          <cell r="AN393"/>
          <cell r="AO393">
            <v>0</v>
          </cell>
        </row>
        <row r="394">
          <cell r="A394" t="str">
            <v>BoutiqueFrais bancaires</v>
          </cell>
          <cell r="C394"/>
          <cell r="D394"/>
          <cell r="E394">
            <v>0</v>
          </cell>
          <cell r="F394"/>
          <cell r="G394"/>
          <cell r="H394"/>
          <cell r="I394"/>
          <cell r="J394"/>
          <cell r="K394"/>
          <cell r="L394"/>
          <cell r="M394"/>
          <cell r="N394"/>
          <cell r="O394"/>
          <cell r="P394"/>
          <cell r="Q394"/>
          <cell r="R394"/>
          <cell r="S394"/>
          <cell r="T394"/>
          <cell r="U394"/>
          <cell r="V394"/>
          <cell r="W394"/>
          <cell r="X394"/>
          <cell r="Y394"/>
          <cell r="Z394"/>
          <cell r="AA394"/>
          <cell r="AB394"/>
          <cell r="AC394"/>
          <cell r="AD394"/>
          <cell r="AE394"/>
          <cell r="AF394"/>
          <cell r="AG394"/>
          <cell r="AH394"/>
          <cell r="AI394"/>
          <cell r="AJ394"/>
          <cell r="AK394"/>
          <cell r="AL394"/>
          <cell r="AM394"/>
          <cell r="AN394"/>
          <cell r="AO394"/>
        </row>
        <row r="395">
          <cell r="A395" t="str">
            <v>Boutique[...]</v>
          </cell>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v>
          </cell>
          <cell r="C396"/>
          <cell r="D396"/>
          <cell r="E396"/>
          <cell r="F396"/>
          <cell r="G396"/>
          <cell r="H396"/>
          <cell r="I396"/>
          <cell r="J396"/>
          <cell r="K396"/>
          <cell r="L396"/>
          <cell r="M396"/>
          <cell r="N396"/>
          <cell r="O396"/>
          <cell r="P396"/>
          <cell r="Q396"/>
          <cell r="R396"/>
          <cell r="S396"/>
          <cell r="T396"/>
          <cell r="U396"/>
          <cell r="V396"/>
          <cell r="W396"/>
          <cell r="X396"/>
          <cell r="Y396"/>
          <cell r="Z396"/>
          <cell r="AA396"/>
          <cell r="AB396"/>
          <cell r="AC396"/>
          <cell r="AD396"/>
          <cell r="AE396"/>
          <cell r="AF396"/>
          <cell r="AG396"/>
          <cell r="AH396"/>
          <cell r="AI396"/>
          <cell r="AJ396"/>
          <cell r="AK396"/>
          <cell r="AL396"/>
          <cell r="AM396"/>
          <cell r="AN396"/>
          <cell r="AO396"/>
        </row>
        <row r="397">
          <cell r="A397" t="str">
            <v>Boutique[...]</v>
          </cell>
          <cell r="C397"/>
          <cell r="D397"/>
          <cell r="E397"/>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cell r="C401"/>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t="str">
            <v>BoutiquePROFIT DÉPARTEMENTAL</v>
          </cell>
          <cell r="C402"/>
          <cell r="D402"/>
          <cell r="E402">
            <v>0</v>
          </cell>
          <cell r="F402"/>
          <cell r="G402"/>
          <cell r="H402">
            <v>0</v>
          </cell>
          <cell r="I402"/>
          <cell r="J402"/>
          <cell r="K402">
            <v>0</v>
          </cell>
          <cell r="L402"/>
          <cell r="M402"/>
          <cell r="N402">
            <v>0</v>
          </cell>
          <cell r="O402"/>
          <cell r="P402"/>
          <cell r="Q402">
            <v>0</v>
          </cell>
          <cell r="R402"/>
          <cell r="S402"/>
          <cell r="T402">
            <v>0</v>
          </cell>
          <cell r="U402"/>
          <cell r="V402"/>
          <cell r="W402">
            <v>0</v>
          </cell>
          <cell r="X402"/>
          <cell r="Y402"/>
          <cell r="Z402">
            <v>0</v>
          </cell>
          <cell r="AA402"/>
          <cell r="AB402"/>
          <cell r="AC402">
            <v>0</v>
          </cell>
          <cell r="AD402"/>
          <cell r="AE402"/>
          <cell r="AF402">
            <v>0</v>
          </cell>
          <cell r="AG402"/>
          <cell r="AH402"/>
          <cell r="AI402">
            <v>0</v>
          </cell>
          <cell r="AJ402"/>
          <cell r="AK402"/>
          <cell r="AL402">
            <v>0</v>
          </cell>
          <cell r="AM402"/>
          <cell r="AN402"/>
          <cell r="AO402">
            <v>0</v>
          </cell>
        </row>
        <row r="403">
          <cell r="A403"/>
          <cell r="C403"/>
          <cell r="D403"/>
          <cell r="E403">
            <v>0</v>
          </cell>
          <cell r="F403"/>
          <cell r="G403"/>
          <cell r="H403"/>
          <cell r="I403"/>
          <cell r="J403"/>
          <cell r="K403"/>
          <cell r="L403"/>
          <cell r="M403"/>
          <cell r="N403"/>
          <cell r="O403"/>
          <cell r="P403"/>
          <cell r="Q403"/>
          <cell r="R403"/>
          <cell r="S403"/>
          <cell r="T403"/>
          <cell r="U403"/>
          <cell r="V403"/>
          <cell r="W403"/>
          <cell r="X403"/>
          <cell r="Y403"/>
          <cell r="Z403"/>
          <cell r="AA403"/>
          <cell r="AB403"/>
          <cell r="AC403"/>
          <cell r="AD403"/>
          <cell r="AE403"/>
          <cell r="AF403"/>
          <cell r="AG403"/>
          <cell r="AH403"/>
          <cell r="AI403"/>
          <cell r="AJ403"/>
          <cell r="AK403"/>
          <cell r="AL403"/>
          <cell r="AM403"/>
          <cell r="AN403"/>
          <cell r="AO403"/>
        </row>
        <row r="404">
          <cell r="A404"/>
          <cell r="C404"/>
          <cell r="D404"/>
          <cell r="E404"/>
          <cell r="F404"/>
          <cell r="G404"/>
          <cell r="H404">
            <v>0</v>
          </cell>
          <cell r="I404"/>
          <cell r="J404"/>
          <cell r="K404">
            <v>0</v>
          </cell>
          <cell r="L404"/>
          <cell r="M404"/>
          <cell r="N404">
            <v>0</v>
          </cell>
          <cell r="O404"/>
          <cell r="P404"/>
          <cell r="Q404">
            <v>0</v>
          </cell>
          <cell r="R404"/>
          <cell r="S404"/>
          <cell r="T404">
            <v>0</v>
          </cell>
          <cell r="U404"/>
          <cell r="V404"/>
          <cell r="W404">
            <v>0</v>
          </cell>
          <cell r="X404"/>
          <cell r="Y404"/>
          <cell r="Z404">
            <v>0</v>
          </cell>
          <cell r="AA404"/>
          <cell r="AB404"/>
          <cell r="AC404">
            <v>0</v>
          </cell>
          <cell r="AD404"/>
          <cell r="AE404"/>
          <cell r="AF404">
            <v>0</v>
          </cell>
          <cell r="AG404"/>
          <cell r="AH404"/>
          <cell r="AI404">
            <v>0</v>
          </cell>
          <cell r="AJ404"/>
          <cell r="AK404"/>
          <cell r="AL404">
            <v>0</v>
          </cell>
          <cell r="AM404"/>
          <cell r="AN404"/>
          <cell r="AO404">
            <v>0</v>
          </cell>
        </row>
        <row r="405">
          <cell r="A405"/>
          <cell r="C405" t="str">
            <v>TOTAL  DES  REVENUS  ET  DÉPENSES</v>
          </cell>
          <cell r="D405"/>
          <cell r="E405"/>
          <cell r="F405"/>
          <cell r="G405"/>
          <cell r="H405"/>
          <cell r="I405"/>
          <cell r="J405"/>
          <cell r="K405"/>
          <cell r="L405"/>
          <cell r="M405"/>
          <cell r="N405"/>
          <cell r="O405"/>
          <cell r="P405"/>
          <cell r="Q405"/>
          <cell r="R405"/>
          <cell r="S405"/>
          <cell r="T405"/>
          <cell r="U405"/>
          <cell r="V405"/>
          <cell r="W405"/>
          <cell r="X405"/>
          <cell r="Y405"/>
          <cell r="Z405"/>
          <cell r="AA405"/>
          <cell r="AB405"/>
          <cell r="AC405"/>
          <cell r="AD405"/>
          <cell r="AE405"/>
          <cell r="AF405"/>
          <cell r="AG405"/>
          <cell r="AH405"/>
          <cell r="AI405"/>
          <cell r="AJ405"/>
          <cell r="AK405"/>
          <cell r="AL405"/>
          <cell r="AM405"/>
          <cell r="AN405"/>
          <cell r="AO405"/>
        </row>
        <row r="406">
          <cell r="A406"/>
          <cell r="C406"/>
          <cell r="D406"/>
          <cell r="E406"/>
          <cell r="F406"/>
          <cell r="G406"/>
          <cell r="H406">
            <v>7055316.1389505528</v>
          </cell>
          <cell r="I406"/>
          <cell r="J406"/>
          <cell r="K406">
            <v>7055316.1389505528</v>
          </cell>
          <cell r="L406"/>
          <cell r="M406"/>
          <cell r="N406">
            <v>7055316.1389505528</v>
          </cell>
          <cell r="O406"/>
          <cell r="P406"/>
          <cell r="Q406">
            <v>7055316.1389505528</v>
          </cell>
          <cell r="R406"/>
          <cell r="S406"/>
          <cell r="T406">
            <v>7055316.1389505528</v>
          </cell>
          <cell r="U406"/>
          <cell r="V406"/>
          <cell r="W406">
            <v>7055316.1389505528</v>
          </cell>
          <cell r="X406"/>
          <cell r="Y406"/>
          <cell r="Z406">
            <v>7055316.1389505528</v>
          </cell>
          <cell r="AA406"/>
          <cell r="AB406"/>
          <cell r="AC406">
            <v>7055316.1389505528</v>
          </cell>
          <cell r="AD406"/>
          <cell r="AE406"/>
          <cell r="AF406">
            <v>7055316.1389505528</v>
          </cell>
          <cell r="AG406"/>
          <cell r="AH406"/>
          <cell r="AI406">
            <v>7055316.1389505528</v>
          </cell>
          <cell r="AJ406"/>
          <cell r="AK406"/>
          <cell r="AL406">
            <v>7055316.1389505528</v>
          </cell>
          <cell r="AM406"/>
          <cell r="AN406"/>
          <cell r="AO406">
            <v>7055316.1389505528</v>
          </cell>
        </row>
        <row r="407">
          <cell r="A407"/>
          <cell r="C407">
            <v>2025</v>
          </cell>
          <cell r="D407"/>
          <cell r="E407"/>
          <cell r="F407" t="str">
            <v>Janvier</v>
          </cell>
          <cell r="G407"/>
          <cell r="H407"/>
          <cell r="I407" t="str">
            <v>Février</v>
          </cell>
          <cell r="J407"/>
          <cell r="K407"/>
          <cell r="L407" t="str">
            <v>Mars</v>
          </cell>
          <cell r="M407"/>
          <cell r="N407"/>
          <cell r="O407" t="str">
            <v>Avril</v>
          </cell>
          <cell r="P407"/>
          <cell r="Q407"/>
          <cell r="R407" t="str">
            <v>Mai</v>
          </cell>
          <cell r="S407"/>
          <cell r="T407"/>
          <cell r="U407" t="str">
            <v>Juin</v>
          </cell>
          <cell r="V407"/>
          <cell r="W407"/>
          <cell r="X407" t="str">
            <v>Juillet</v>
          </cell>
          <cell r="Y407"/>
          <cell r="Z407"/>
          <cell r="AA407" t="str">
            <v>Août</v>
          </cell>
          <cell r="AB407"/>
          <cell r="AC407"/>
          <cell r="AD407" t="str">
            <v>Septembre</v>
          </cell>
          <cell r="AE407"/>
          <cell r="AF407"/>
          <cell r="AG407" t="str">
            <v>Octobre</v>
          </cell>
          <cell r="AH407"/>
          <cell r="AI407"/>
          <cell r="AJ407" t="str">
            <v>Novembre</v>
          </cell>
          <cell r="AK407"/>
          <cell r="AL407"/>
          <cell r="AM407" t="str">
            <v>Décembre</v>
          </cell>
          <cell r="AN407"/>
          <cell r="AO407"/>
        </row>
        <row r="408">
          <cell r="A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C409"/>
          <cell r="D409"/>
          <cell r="E409">
            <v>63570213.839999981</v>
          </cell>
          <cell r="F409"/>
          <cell r="G409"/>
          <cell r="H409">
            <v>4565178.7199999895</v>
          </cell>
          <cell r="I409"/>
          <cell r="J409"/>
          <cell r="K409">
            <v>3468713.25</v>
          </cell>
          <cell r="L409"/>
          <cell r="M409"/>
          <cell r="N409">
            <v>4561965.3799999896</v>
          </cell>
          <cell r="O409"/>
          <cell r="P409"/>
          <cell r="Q409">
            <v>4734872.03</v>
          </cell>
          <cell r="R409"/>
          <cell r="S409"/>
          <cell r="T409">
            <v>5431944.5899999999</v>
          </cell>
          <cell r="U409"/>
          <cell r="V409"/>
          <cell r="W409">
            <v>4676764.22</v>
          </cell>
          <cell r="X409"/>
          <cell r="Y409"/>
          <cell r="Z409">
            <v>6749179.25</v>
          </cell>
          <cell r="AA409"/>
          <cell r="AB409"/>
          <cell r="AC409">
            <v>6149394.0600000005</v>
          </cell>
          <cell r="AD409"/>
          <cell r="AE409"/>
          <cell r="AF409">
            <v>5799821.0999999996</v>
          </cell>
          <cell r="AG409"/>
          <cell r="AH409"/>
          <cell r="AI409">
            <v>5496543.2299999995</v>
          </cell>
          <cell r="AJ409"/>
          <cell r="AK409"/>
          <cell r="AL409">
            <v>7389320.1199999992</v>
          </cell>
          <cell r="AM409"/>
          <cell r="AN409"/>
          <cell r="AO409">
            <v>4546517.8899999997</v>
          </cell>
        </row>
        <row r="410">
          <cell r="A410" t="str">
            <v>Profit brut</v>
          </cell>
          <cell r="C410"/>
          <cell r="D410"/>
          <cell r="E410">
            <v>8319174.3799999924</v>
          </cell>
          <cell r="F410"/>
          <cell r="G410"/>
          <cell r="H410">
            <v>577633.46999999869</v>
          </cell>
          <cell r="I410"/>
          <cell r="J410"/>
          <cell r="K410">
            <v>480766.95999999956</v>
          </cell>
          <cell r="L410"/>
          <cell r="M410"/>
          <cell r="N410">
            <v>607778.62999999942</v>
          </cell>
          <cell r="O410"/>
          <cell r="P410"/>
          <cell r="Q410">
            <v>694816.60999999964</v>
          </cell>
          <cell r="R410"/>
          <cell r="S410"/>
          <cell r="T410">
            <v>753774.05999999982</v>
          </cell>
          <cell r="U410"/>
          <cell r="V410"/>
          <cell r="W410">
            <v>647043.10999999952</v>
          </cell>
          <cell r="X410"/>
          <cell r="Y410"/>
          <cell r="Z410">
            <v>777546.92999999947</v>
          </cell>
          <cell r="AA410"/>
          <cell r="AB410"/>
          <cell r="AC410">
            <v>780636.27999999933</v>
          </cell>
          <cell r="AD410"/>
          <cell r="AE410"/>
          <cell r="AF410">
            <v>773388.75999999978</v>
          </cell>
          <cell r="AG410"/>
          <cell r="AH410"/>
          <cell r="AI410">
            <v>720145.70999999915</v>
          </cell>
          <cell r="AJ410"/>
          <cell r="AK410"/>
          <cell r="AL410">
            <v>844403.32999999856</v>
          </cell>
          <cell r="AM410"/>
          <cell r="AN410"/>
          <cell r="AO410">
            <v>661240.52999999968</v>
          </cell>
        </row>
        <row r="411">
          <cell r="A411" t="str">
            <v>DÉPENSES</v>
          </cell>
          <cell r="C411"/>
          <cell r="D411"/>
          <cell r="E411"/>
          <cell r="F411"/>
          <cell r="G411">
            <v>0</v>
          </cell>
          <cell r="H411"/>
          <cell r="I411"/>
          <cell r="J411">
            <v>0</v>
          </cell>
          <cell r="K411"/>
          <cell r="L411"/>
          <cell r="M411">
            <v>0</v>
          </cell>
          <cell r="N411"/>
          <cell r="O411"/>
          <cell r="P411">
            <v>0</v>
          </cell>
          <cell r="Q411"/>
          <cell r="R411"/>
          <cell r="S411">
            <v>0</v>
          </cell>
          <cell r="T411"/>
          <cell r="U411"/>
          <cell r="V411">
            <v>0</v>
          </cell>
          <cell r="W411"/>
          <cell r="X411"/>
          <cell r="Y411">
            <v>0</v>
          </cell>
          <cell r="Z411"/>
          <cell r="AA411"/>
          <cell r="AB411">
            <v>0</v>
          </cell>
          <cell r="AC411"/>
          <cell r="AD411"/>
          <cell r="AE411">
            <v>0</v>
          </cell>
          <cell r="AF411"/>
          <cell r="AG411"/>
          <cell r="AH411">
            <v>0</v>
          </cell>
          <cell r="AI411"/>
          <cell r="AJ411"/>
          <cell r="AK411">
            <v>0</v>
          </cell>
          <cell r="AL411"/>
          <cell r="AM411"/>
          <cell r="AN411">
            <v>0</v>
          </cell>
          <cell r="AO411"/>
        </row>
        <row r="412">
          <cell r="A412" t="str">
            <v>Comm. vendeurs</v>
          </cell>
          <cell r="C412">
            <v>0.32071624260713238</v>
          </cell>
          <cell r="D412">
            <v>613.96637810945276</v>
          </cell>
          <cell r="E412">
            <v>617036.21000000008</v>
          </cell>
          <cell r="F412"/>
          <cell r="G412">
            <v>1161.5337999999999</v>
          </cell>
          <cell r="H412">
            <v>58076.689999999995</v>
          </cell>
          <cell r="I412"/>
          <cell r="J412">
            <v>1125.0318749999999</v>
          </cell>
          <cell r="K412">
            <v>36001.019999999997</v>
          </cell>
          <cell r="L412"/>
          <cell r="M412">
            <v>864.53499999999997</v>
          </cell>
          <cell r="N412">
            <v>44955.82</v>
          </cell>
          <cell r="O412"/>
          <cell r="P412">
            <v>863.06310344827591</v>
          </cell>
          <cell r="Q412">
            <v>50057.66</v>
          </cell>
          <cell r="R412"/>
          <cell r="S412">
            <v>1162.1319230769232</v>
          </cell>
          <cell r="T412">
            <v>60430.86</v>
          </cell>
          <cell r="U412"/>
          <cell r="V412">
            <v>1173.4717073170732</v>
          </cell>
          <cell r="W412">
            <v>48112.34</v>
          </cell>
          <cell r="X412"/>
          <cell r="Y412">
            <v>845.97315789473691</v>
          </cell>
          <cell r="Z412">
            <v>64293.960000000006</v>
          </cell>
          <cell r="AA412"/>
          <cell r="AB412">
            <v>946.68484375000003</v>
          </cell>
          <cell r="AC412">
            <v>60587.83</v>
          </cell>
          <cell r="AD412"/>
          <cell r="AE412">
            <v>921.66603174603176</v>
          </cell>
          <cell r="AF412">
            <v>58064.959999999999</v>
          </cell>
          <cell r="AG412"/>
          <cell r="AH412">
            <v>1094.5874999999999</v>
          </cell>
          <cell r="AI412">
            <v>52540.2</v>
          </cell>
          <cell r="AJ412"/>
          <cell r="AK412">
            <v>673.16728571428575</v>
          </cell>
          <cell r="AL412">
            <v>47121.71</v>
          </cell>
          <cell r="AM412"/>
          <cell r="AN412">
            <v>919.82900000000006</v>
          </cell>
          <cell r="AO412">
            <v>36793.160000000003</v>
          </cell>
        </row>
        <row r="413">
          <cell r="A413" t="str">
            <v>Comm. F&amp;I</v>
          </cell>
          <cell r="C413">
            <v>0.27007556056897603</v>
          </cell>
          <cell r="D413">
            <v>369.51185185185187</v>
          </cell>
          <cell r="E413">
            <v>349188.7</v>
          </cell>
          <cell r="F413"/>
          <cell r="G413">
            <v>618.21539999999993</v>
          </cell>
          <cell r="H413">
            <v>30910.769999999997</v>
          </cell>
          <cell r="I413"/>
          <cell r="J413">
            <v>464.35500000000002</v>
          </cell>
          <cell r="K413">
            <v>14859.36</v>
          </cell>
          <cell r="L413"/>
          <cell r="M413">
            <v>500.49461538461543</v>
          </cell>
          <cell r="N413">
            <v>26025.72</v>
          </cell>
          <cell r="O413"/>
          <cell r="P413">
            <v>503.81</v>
          </cell>
          <cell r="Q413">
            <v>29220.98</v>
          </cell>
          <cell r="R413"/>
          <cell r="S413">
            <v>714.7726923076923</v>
          </cell>
          <cell r="T413">
            <v>37168.18</v>
          </cell>
          <cell r="U413"/>
          <cell r="V413">
            <v>774.44073170731701</v>
          </cell>
          <cell r="W413">
            <v>31752.07</v>
          </cell>
          <cell r="X413"/>
          <cell r="Y413">
            <v>530.47210526315791</v>
          </cell>
          <cell r="Z413">
            <v>40315.880000000005</v>
          </cell>
          <cell r="AA413"/>
          <cell r="AB413">
            <v>528.12031249999995</v>
          </cell>
          <cell r="AC413">
            <v>33799.699999999997</v>
          </cell>
          <cell r="AD413"/>
          <cell r="AE413">
            <v>559.92428571428582</v>
          </cell>
          <cell r="AF413">
            <v>35275.230000000003</v>
          </cell>
          <cell r="AG413"/>
          <cell r="AH413">
            <v>482.67833333333328</v>
          </cell>
          <cell r="AI413">
            <v>23168.559999999998</v>
          </cell>
          <cell r="AJ413"/>
          <cell r="AK413">
            <v>551.24214285714277</v>
          </cell>
          <cell r="AL413">
            <v>38586.949999999997</v>
          </cell>
          <cell r="AM413"/>
          <cell r="AN413">
            <v>202.63249999999999</v>
          </cell>
          <cell r="AO413">
            <v>8105.3</v>
          </cell>
        </row>
        <row r="414">
          <cell r="A414" t="str">
            <v>Frais de livraison</v>
          </cell>
          <cell r="C414"/>
          <cell r="D414">
            <v>63.427312169312167</v>
          </cell>
          <cell r="E414">
            <v>59938.81</v>
          </cell>
          <cell r="F414"/>
          <cell r="G414">
            <v>80.542000000000002</v>
          </cell>
          <cell r="H414">
            <v>4027.1</v>
          </cell>
          <cell r="I414"/>
          <cell r="J414">
            <v>77.366250000000008</v>
          </cell>
          <cell r="K414">
            <v>2475.7200000000003</v>
          </cell>
          <cell r="L414"/>
          <cell r="M414">
            <v>-14.469038461538458</v>
          </cell>
          <cell r="N414">
            <v>-752.38999999999987</v>
          </cell>
          <cell r="O414"/>
          <cell r="P414">
            <v>122.43948275862068</v>
          </cell>
          <cell r="Q414">
            <v>7101.49</v>
          </cell>
          <cell r="R414"/>
          <cell r="S414">
            <v>116.65576923076924</v>
          </cell>
          <cell r="T414">
            <v>6066.1</v>
          </cell>
          <cell r="U414"/>
          <cell r="V414">
            <v>109.16585365853659</v>
          </cell>
          <cell r="W414">
            <v>4475.8</v>
          </cell>
          <cell r="X414"/>
          <cell r="Y414">
            <v>96.930921052631575</v>
          </cell>
          <cell r="Z414">
            <v>7366.75</v>
          </cell>
          <cell r="AA414"/>
          <cell r="AB414">
            <v>76.904375000000002</v>
          </cell>
          <cell r="AC414">
            <v>4921.88</v>
          </cell>
          <cell r="AD414"/>
          <cell r="AE414">
            <v>111.86793650793649</v>
          </cell>
          <cell r="AF414">
            <v>7047.6799999999994</v>
          </cell>
          <cell r="AG414"/>
          <cell r="AH414">
            <v>163.87666666666667</v>
          </cell>
          <cell r="AI414">
            <v>7866.08</v>
          </cell>
          <cell r="AJ414"/>
          <cell r="AK414">
            <v>68.837714285714284</v>
          </cell>
          <cell r="AL414">
            <v>4818.6400000000003</v>
          </cell>
          <cell r="AM414"/>
          <cell r="AN414">
            <v>113.099</v>
          </cell>
          <cell r="AO414">
            <v>4523.96</v>
          </cell>
        </row>
        <row r="415">
          <cell r="A415" t="str">
            <v>Service gratuit 1</v>
          </cell>
          <cell r="C415"/>
          <cell r="D415">
            <v>22.647015873015874</v>
          </cell>
          <cell r="E415">
            <v>21401.43</v>
          </cell>
          <cell r="F415"/>
          <cell r="G415">
            <v>20.831599999999998</v>
          </cell>
          <cell r="H415">
            <v>1041.58</v>
          </cell>
          <cell r="I415"/>
          <cell r="J415">
            <v>43.9690625</v>
          </cell>
          <cell r="K415">
            <v>1407.01</v>
          </cell>
          <cell r="L415"/>
          <cell r="M415">
            <v>33.359423076923079</v>
          </cell>
          <cell r="N415">
            <v>1734.69</v>
          </cell>
          <cell r="O415"/>
          <cell r="P415">
            <v>21.487241379310344</v>
          </cell>
          <cell r="Q415">
            <v>1246.26</v>
          </cell>
          <cell r="R415"/>
          <cell r="S415">
            <v>51.835961538461547</v>
          </cell>
          <cell r="T415">
            <v>2695.4700000000003</v>
          </cell>
          <cell r="U415"/>
          <cell r="V415">
            <v>61.878048780487802</v>
          </cell>
          <cell r="W415">
            <v>2537</v>
          </cell>
          <cell r="X415"/>
          <cell r="Y415">
            <v>65.573289473684213</v>
          </cell>
          <cell r="Z415">
            <v>4983.57</v>
          </cell>
          <cell r="AA415"/>
          <cell r="AB415">
            <v>17.963124999999998</v>
          </cell>
          <cell r="AC415">
            <v>1149.6399999999999</v>
          </cell>
          <cell r="AD415"/>
          <cell r="AE415">
            <v>40.612063492063491</v>
          </cell>
          <cell r="AF415">
            <v>2558.56</v>
          </cell>
          <cell r="AG415"/>
          <cell r="AH415">
            <v>47.755416666666669</v>
          </cell>
          <cell r="AI415">
            <v>2292.2600000000002</v>
          </cell>
          <cell r="AJ415"/>
          <cell r="AK415">
            <v>31.906571428571429</v>
          </cell>
          <cell r="AL415">
            <v>2233.46</v>
          </cell>
          <cell r="AM415"/>
          <cell r="AN415">
            <v>-61.951750000000004</v>
          </cell>
          <cell r="AO415">
            <v>-2478.0700000000002</v>
          </cell>
        </row>
        <row r="416">
          <cell r="A416" t="str">
            <v>Entretien stock</v>
          </cell>
          <cell r="C416"/>
          <cell r="D416">
            <v>142.4298095238095</v>
          </cell>
          <cell r="E416">
            <v>134596.16999999998</v>
          </cell>
          <cell r="F416"/>
          <cell r="G416">
            <v>182.43739999999997</v>
          </cell>
          <cell r="H416">
            <v>9121.869999999999</v>
          </cell>
          <cell r="I416"/>
          <cell r="J416">
            <v>325.03156250000001</v>
          </cell>
          <cell r="K416">
            <v>10401.01</v>
          </cell>
          <cell r="L416"/>
          <cell r="M416">
            <v>250.30615384615385</v>
          </cell>
          <cell r="N416">
            <v>13015.92</v>
          </cell>
          <cell r="O416"/>
          <cell r="P416">
            <v>195.60775862068965</v>
          </cell>
          <cell r="Q416">
            <v>11345.25</v>
          </cell>
          <cell r="R416"/>
          <cell r="S416">
            <v>266.93692307692305</v>
          </cell>
          <cell r="T416">
            <v>13880.72</v>
          </cell>
          <cell r="U416"/>
          <cell r="V416">
            <v>429.1465853658537</v>
          </cell>
          <cell r="W416">
            <v>17595.010000000002</v>
          </cell>
          <cell r="X416"/>
          <cell r="Y416">
            <v>96.436710526315792</v>
          </cell>
          <cell r="Z416">
            <v>7329.1900000000005</v>
          </cell>
          <cell r="AA416"/>
          <cell r="AB416">
            <v>108.97921875</v>
          </cell>
          <cell r="AC416">
            <v>6974.67</v>
          </cell>
          <cell r="AD416"/>
          <cell r="AE416">
            <v>178.37333333333333</v>
          </cell>
          <cell r="AF416">
            <v>11237.52</v>
          </cell>
          <cell r="AG416"/>
          <cell r="AH416">
            <v>233.72291666666669</v>
          </cell>
          <cell r="AI416">
            <v>11218.7</v>
          </cell>
          <cell r="AJ416"/>
          <cell r="AK416">
            <v>168.32957142857143</v>
          </cell>
          <cell r="AL416">
            <v>11783.07</v>
          </cell>
          <cell r="AM416"/>
          <cell r="AN416">
            <v>267.33100000000002</v>
          </cell>
          <cell r="AO416">
            <v>10693.24</v>
          </cell>
        </row>
        <row r="417">
          <cell r="A417" t="str">
            <v>Publicité 1</v>
          </cell>
          <cell r="C417"/>
          <cell r="D417">
            <v>251.96371428571427</v>
          </cell>
          <cell r="E417">
            <v>238105.71</v>
          </cell>
          <cell r="F417"/>
          <cell r="G417">
            <v>335.93440000000004</v>
          </cell>
          <cell r="H417">
            <v>16796.72</v>
          </cell>
          <cell r="I417"/>
          <cell r="J417">
            <v>356.83937500000002</v>
          </cell>
          <cell r="K417">
            <v>11418.86</v>
          </cell>
          <cell r="L417"/>
          <cell r="M417">
            <v>593.36269230769233</v>
          </cell>
          <cell r="N417">
            <v>30854.86</v>
          </cell>
          <cell r="O417"/>
          <cell r="P417">
            <v>468.53896551724142</v>
          </cell>
          <cell r="Q417">
            <v>27175.260000000002</v>
          </cell>
          <cell r="R417"/>
          <cell r="S417">
            <v>412.69038461538463</v>
          </cell>
          <cell r="T417">
            <v>21459.9</v>
          </cell>
          <cell r="U417"/>
          <cell r="V417">
            <v>307.2192682926829</v>
          </cell>
          <cell r="W417">
            <v>12595.99</v>
          </cell>
          <cell r="X417"/>
          <cell r="Y417">
            <v>169.31657894736844</v>
          </cell>
          <cell r="Z417">
            <v>12868.060000000001</v>
          </cell>
          <cell r="AA417"/>
          <cell r="AB417">
            <v>262.82343749999995</v>
          </cell>
          <cell r="AC417">
            <v>16820.699999999997</v>
          </cell>
          <cell r="AD417"/>
          <cell r="AE417">
            <v>340.65761904761905</v>
          </cell>
          <cell r="AF417">
            <v>21461.43</v>
          </cell>
          <cell r="AG417"/>
          <cell r="AH417">
            <v>501.21791666666667</v>
          </cell>
          <cell r="AI417">
            <v>24058.46</v>
          </cell>
          <cell r="AJ417"/>
          <cell r="AK417">
            <v>195.08585714285698</v>
          </cell>
          <cell r="AL417">
            <v>13656.009999999989</v>
          </cell>
          <cell r="AM417"/>
          <cell r="AN417">
            <v>723.48649999999998</v>
          </cell>
          <cell r="AO417">
            <v>28939.46</v>
          </cell>
        </row>
        <row r="418">
          <cell r="A418" t="str">
            <v>Intérêt de gros</v>
          </cell>
          <cell r="C418"/>
          <cell r="D418">
            <v>190.9612698412698</v>
          </cell>
          <cell r="E418">
            <v>180458.39999999997</v>
          </cell>
          <cell r="F418"/>
          <cell r="G418"/>
          <cell r="H418">
            <v>29528.35</v>
          </cell>
          <cell r="I418"/>
          <cell r="J418"/>
          <cell r="K418">
            <v>-9194.7100000000009</v>
          </cell>
          <cell r="L418"/>
          <cell r="M418"/>
          <cell r="N418">
            <v>26082.329999999998</v>
          </cell>
          <cell r="O418"/>
          <cell r="P418"/>
          <cell r="Q418">
            <v>-2001.2399999999998</v>
          </cell>
          <cell r="R418"/>
          <cell r="S418"/>
          <cell r="T418">
            <v>17032.379999999997</v>
          </cell>
          <cell r="U418"/>
          <cell r="V418"/>
          <cell r="W418">
            <v>18183.760000000002</v>
          </cell>
          <cell r="X418"/>
          <cell r="Y418"/>
          <cell r="Z418">
            <v>26209.15</v>
          </cell>
          <cell r="AA418"/>
          <cell r="AB418"/>
          <cell r="AC418">
            <v>3626.3999999999996</v>
          </cell>
          <cell r="AD418"/>
          <cell r="AE418"/>
          <cell r="AF418">
            <v>3855.18</v>
          </cell>
          <cell r="AG418"/>
          <cell r="AH418"/>
          <cell r="AI418">
            <v>22410.859999999997</v>
          </cell>
          <cell r="AJ418"/>
          <cell r="AK418"/>
          <cell r="AL418">
            <v>25111.55</v>
          </cell>
          <cell r="AM418"/>
          <cell r="AN418"/>
          <cell r="AO418">
            <v>19614.39</v>
          </cell>
        </row>
        <row r="419">
          <cell r="A419" t="str">
            <v>[...]</v>
          </cell>
          <cell r="C419"/>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cell r="AD419"/>
          <cell r="AE419"/>
          <cell r="AF419"/>
          <cell r="AG419"/>
          <cell r="AH419"/>
          <cell r="AI419"/>
          <cell r="AJ419"/>
          <cell r="AK419"/>
          <cell r="AL419"/>
          <cell r="AM419"/>
          <cell r="AN419"/>
          <cell r="AO419"/>
        </row>
        <row r="420">
          <cell r="A420" t="str">
            <v>[...]</v>
          </cell>
          <cell r="C420"/>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cell r="AD420"/>
          <cell r="AE420"/>
          <cell r="AF420"/>
          <cell r="AG420"/>
          <cell r="AH420"/>
          <cell r="AI420"/>
          <cell r="AJ420"/>
          <cell r="AK420"/>
          <cell r="AL420"/>
          <cell r="AM420"/>
          <cell r="AN420"/>
          <cell r="AO420"/>
        </row>
        <row r="421">
          <cell r="A421" t="str">
            <v>[...]</v>
          </cell>
          <cell r="C421"/>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cell r="AD421"/>
          <cell r="AE421"/>
          <cell r="AF421"/>
          <cell r="AG421"/>
          <cell r="AH421"/>
          <cell r="AI421"/>
          <cell r="AJ421"/>
          <cell r="AK421"/>
          <cell r="AL421"/>
          <cell r="AM421"/>
          <cell r="AN421"/>
          <cell r="AO421"/>
        </row>
        <row r="422">
          <cell r="A422" t="str">
            <v>TOTAL VARIABLES</v>
          </cell>
          <cell r="C422">
            <v>0.19241397726296988</v>
          </cell>
          <cell r="D422">
            <v>1654.9073516544263</v>
          </cell>
          <cell r="E422">
            <v>1600725.4300000002</v>
          </cell>
          <cell r="F422"/>
          <cell r="G422"/>
          <cell r="H422">
            <v>149503.07999999999</v>
          </cell>
          <cell r="I422"/>
          <cell r="J422"/>
          <cell r="K422">
            <v>67368.27</v>
          </cell>
          <cell r="L422"/>
          <cell r="M422"/>
          <cell r="N422">
            <v>141916.95000000001</v>
          </cell>
          <cell r="O422"/>
          <cell r="P422"/>
          <cell r="Q422">
            <v>124145.659999999</v>
          </cell>
          <cell r="R422"/>
          <cell r="S422"/>
          <cell r="T422">
            <v>158733.60999999999</v>
          </cell>
          <cell r="U422"/>
          <cell r="V422"/>
          <cell r="W422">
            <v>135251.97</v>
          </cell>
          <cell r="X422"/>
          <cell r="Y422"/>
          <cell r="Z422">
            <v>163366.56</v>
          </cell>
          <cell r="AA422"/>
          <cell r="AB422"/>
          <cell r="AC422">
            <v>127880.819999999</v>
          </cell>
          <cell r="AD422"/>
          <cell r="AE422"/>
          <cell r="AF422">
            <v>139500.56</v>
          </cell>
          <cell r="AG422"/>
          <cell r="AH422"/>
          <cell r="AI422">
            <v>143555.11999999901</v>
          </cell>
          <cell r="AJ422"/>
          <cell r="AK422"/>
          <cell r="AL422">
            <v>143311.39000000001</v>
          </cell>
          <cell r="AM422"/>
          <cell r="AN422"/>
          <cell r="AO422">
            <v>106191.44</v>
          </cell>
        </row>
        <row r="423">
          <cell r="A423" t="str">
            <v>Salaires propriétaire</v>
          </cell>
          <cell r="C423"/>
          <cell r="D423"/>
          <cell r="E423">
            <v>181864.14999999953</v>
          </cell>
          <cell r="F423"/>
          <cell r="G423"/>
          <cell r="H423">
            <v>15557.82</v>
          </cell>
          <cell r="I423"/>
          <cell r="J423"/>
          <cell r="K423">
            <v>16663.66</v>
          </cell>
          <cell r="L423"/>
          <cell r="M423"/>
          <cell r="N423">
            <v>10888.7599999999</v>
          </cell>
          <cell r="O423"/>
          <cell r="P423"/>
          <cell r="Q423">
            <v>13074.76</v>
          </cell>
          <cell r="R423"/>
          <cell r="S423"/>
          <cell r="T423">
            <v>18425.95</v>
          </cell>
          <cell r="U423"/>
          <cell r="V423"/>
          <cell r="W423">
            <v>15260.7599999999</v>
          </cell>
          <cell r="X423"/>
          <cell r="Y423"/>
          <cell r="Z423">
            <v>12528.2599999999</v>
          </cell>
          <cell r="AA423"/>
          <cell r="AB423"/>
          <cell r="AC423">
            <v>15146.95</v>
          </cell>
          <cell r="AD423"/>
          <cell r="AE423"/>
          <cell r="AF423">
            <v>15260.7599999999</v>
          </cell>
          <cell r="AG423"/>
          <cell r="AH423"/>
          <cell r="AI423">
            <v>17332.95</v>
          </cell>
          <cell r="AJ423"/>
          <cell r="AK423"/>
          <cell r="AL423">
            <v>15260.7599999999</v>
          </cell>
          <cell r="AM423"/>
          <cell r="AN423"/>
          <cell r="AO423">
            <v>16462.759999999998</v>
          </cell>
        </row>
        <row r="424">
          <cell r="A424" t="str">
            <v>Salaires cadres</v>
          </cell>
          <cell r="C424"/>
          <cell r="D424"/>
          <cell r="E424">
            <v>675226.72999999952</v>
          </cell>
          <cell r="F424"/>
          <cell r="G424"/>
          <cell r="H424">
            <v>62227.09</v>
          </cell>
          <cell r="I424"/>
          <cell r="J424"/>
          <cell r="K424">
            <v>50318.89</v>
          </cell>
          <cell r="L424"/>
          <cell r="M424"/>
          <cell r="N424">
            <v>61274.819999999898</v>
          </cell>
          <cell r="O424"/>
          <cell r="P424"/>
          <cell r="Q424">
            <v>55266.27</v>
          </cell>
          <cell r="R424"/>
          <cell r="S424"/>
          <cell r="T424">
            <v>53221.929999999898</v>
          </cell>
          <cell r="U424"/>
          <cell r="V424"/>
          <cell r="W424">
            <v>51728.91</v>
          </cell>
          <cell r="X424"/>
          <cell r="Y424"/>
          <cell r="Z424">
            <v>56644.17</v>
          </cell>
          <cell r="AA424"/>
          <cell r="AB424"/>
          <cell r="AC424">
            <v>56195.59</v>
          </cell>
          <cell r="AD424"/>
          <cell r="AE424"/>
          <cell r="AF424">
            <v>60455.609999999899</v>
          </cell>
          <cell r="AG424"/>
          <cell r="AH424"/>
          <cell r="AI424">
            <v>59308.819999999898</v>
          </cell>
          <cell r="AJ424"/>
          <cell r="AK424"/>
          <cell r="AL424">
            <v>49602.64</v>
          </cell>
          <cell r="AM424"/>
          <cell r="AN424"/>
          <cell r="AO424">
            <v>58981.989999999903</v>
          </cell>
        </row>
        <row r="425">
          <cell r="A425" t="str">
            <v>Salaires commis</v>
          </cell>
          <cell r="C425"/>
          <cell r="D425"/>
          <cell r="E425">
            <v>674393.13999999978</v>
          </cell>
          <cell r="F425"/>
          <cell r="G425"/>
          <cell r="H425">
            <v>59926.03</v>
          </cell>
          <cell r="I425"/>
          <cell r="J425"/>
          <cell r="K425">
            <v>54584.88</v>
          </cell>
          <cell r="L425"/>
          <cell r="M425"/>
          <cell r="N425">
            <v>55941.2</v>
          </cell>
          <cell r="O425"/>
          <cell r="P425"/>
          <cell r="Q425">
            <v>51908.4</v>
          </cell>
          <cell r="R425"/>
          <cell r="S425"/>
          <cell r="T425">
            <v>58764.26</v>
          </cell>
          <cell r="U425"/>
          <cell r="V425"/>
          <cell r="W425">
            <v>50528.21</v>
          </cell>
          <cell r="X425"/>
          <cell r="Y425"/>
          <cell r="Z425">
            <v>46191.1</v>
          </cell>
          <cell r="AA425"/>
          <cell r="AB425"/>
          <cell r="AC425">
            <v>56150.229999999901</v>
          </cell>
          <cell r="AD425"/>
          <cell r="AE425"/>
          <cell r="AF425">
            <v>62878.62</v>
          </cell>
          <cell r="AG425"/>
          <cell r="AH425"/>
          <cell r="AI425">
            <v>70924.849999999904</v>
          </cell>
          <cell r="AJ425"/>
          <cell r="AK425"/>
          <cell r="AL425">
            <v>51777.29</v>
          </cell>
          <cell r="AM425"/>
          <cell r="AN425"/>
          <cell r="AO425">
            <v>54818.069999999898</v>
          </cell>
        </row>
        <row r="426">
          <cell r="A426" t="str">
            <v>Salaires autres</v>
          </cell>
          <cell r="C426"/>
          <cell r="D426"/>
          <cell r="E426">
            <v>304990.76</v>
          </cell>
          <cell r="F426"/>
          <cell r="G426"/>
          <cell r="H426">
            <v>23150.27</v>
          </cell>
          <cell r="I426"/>
          <cell r="J426"/>
          <cell r="K426">
            <v>23093.05</v>
          </cell>
          <cell r="L426"/>
          <cell r="M426"/>
          <cell r="N426">
            <v>19347.16</v>
          </cell>
          <cell r="O426"/>
          <cell r="P426"/>
          <cell r="Q426">
            <v>29993.91</v>
          </cell>
          <cell r="R426"/>
          <cell r="S426"/>
          <cell r="T426">
            <v>32775.370000000003</v>
          </cell>
          <cell r="U426"/>
          <cell r="V426"/>
          <cell r="W426">
            <v>22172.1</v>
          </cell>
          <cell r="X426"/>
          <cell r="Y426"/>
          <cell r="Z426">
            <v>21825.15</v>
          </cell>
          <cell r="AA426"/>
          <cell r="AB426"/>
          <cell r="AC426">
            <v>23037.279999999999</v>
          </cell>
          <cell r="AD426"/>
          <cell r="AE426"/>
          <cell r="AF426">
            <v>20764.95</v>
          </cell>
          <cell r="AG426"/>
          <cell r="AH426"/>
          <cell r="AI426">
            <v>30462.14</v>
          </cell>
          <cell r="AJ426"/>
          <cell r="AK426"/>
          <cell r="AL426">
            <v>37174.44</v>
          </cell>
          <cell r="AM426"/>
          <cell r="AN426"/>
          <cell r="AO426">
            <v>21194.94</v>
          </cell>
        </row>
        <row r="427">
          <cell r="A427" t="str">
            <v>Salaires spécialistes</v>
          </cell>
          <cell r="C427"/>
          <cell r="D427"/>
          <cell r="E427">
            <v>274785.39</v>
          </cell>
          <cell r="F427"/>
          <cell r="G427"/>
          <cell r="H427">
            <v>15854.86</v>
          </cell>
          <cell r="I427"/>
          <cell r="J427"/>
          <cell r="K427">
            <v>14700.61</v>
          </cell>
          <cell r="L427"/>
          <cell r="M427"/>
          <cell r="N427">
            <v>16437.28</v>
          </cell>
          <cell r="O427"/>
          <cell r="P427"/>
          <cell r="Q427">
            <v>24877.040000000001</v>
          </cell>
          <cell r="R427"/>
          <cell r="S427"/>
          <cell r="T427">
            <v>30524.63</v>
          </cell>
          <cell r="U427"/>
          <cell r="V427"/>
          <cell r="W427">
            <v>23505.88</v>
          </cell>
          <cell r="X427"/>
          <cell r="Y427"/>
          <cell r="Z427">
            <v>23437.83</v>
          </cell>
          <cell r="AA427"/>
          <cell r="AB427"/>
          <cell r="AC427">
            <v>27254.48</v>
          </cell>
          <cell r="AD427"/>
          <cell r="AE427"/>
          <cell r="AF427">
            <v>20452.490000000002</v>
          </cell>
          <cell r="AG427"/>
          <cell r="AH427"/>
          <cell r="AI427">
            <v>30312.31</v>
          </cell>
          <cell r="AJ427"/>
          <cell r="AK427"/>
          <cell r="AL427">
            <v>32534.71</v>
          </cell>
          <cell r="AM427"/>
          <cell r="AN427"/>
          <cell r="AO427">
            <v>14893.27</v>
          </cell>
        </row>
        <row r="428">
          <cell r="A428" t="str">
            <v>[...]</v>
          </cell>
          <cell r="C428"/>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cell r="AD428"/>
          <cell r="AE428"/>
          <cell r="AF428"/>
          <cell r="AG428"/>
          <cell r="AH428"/>
          <cell r="AI428"/>
          <cell r="AJ428"/>
          <cell r="AK428"/>
          <cell r="AL428"/>
          <cell r="AM428"/>
          <cell r="AN428"/>
          <cell r="AO428"/>
        </row>
        <row r="429">
          <cell r="A429" t="str">
            <v>[...]</v>
          </cell>
          <cell r="C429"/>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cell r="AD429"/>
          <cell r="AE429"/>
          <cell r="AF429"/>
          <cell r="AG429"/>
          <cell r="AH429"/>
          <cell r="AI429"/>
          <cell r="AJ429"/>
          <cell r="AK429"/>
          <cell r="AL429"/>
          <cell r="AM429"/>
          <cell r="AN429"/>
          <cell r="AO429"/>
        </row>
        <row r="430">
          <cell r="A430" t="str">
            <v>[...]</v>
          </cell>
          <cell r="C430"/>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cell r="AD430"/>
          <cell r="AE430"/>
          <cell r="AF430"/>
          <cell r="AG430"/>
          <cell r="AH430"/>
          <cell r="AI430"/>
          <cell r="AJ430"/>
          <cell r="AK430"/>
          <cell r="AL430"/>
          <cell r="AM430"/>
          <cell r="AN430"/>
          <cell r="AO430"/>
        </row>
        <row r="431">
          <cell r="A431" t="str">
            <v>Salaires en absences</v>
          </cell>
          <cell r="C431"/>
          <cell r="D431">
            <v>0.11265419301418739</v>
          </cell>
          <cell r="E431">
            <v>472587.11999999965</v>
          </cell>
          <cell r="F431"/>
          <cell r="G431">
            <v>0.11078626487205628</v>
          </cell>
          <cell r="H431">
            <v>40818.199999999997</v>
          </cell>
          <cell r="I431"/>
          <cell r="J431">
            <v>0.12816739700238405</v>
          </cell>
          <cell r="K431">
            <v>31789.33</v>
          </cell>
          <cell r="L431"/>
          <cell r="M431">
            <v>0.11249605211651877</v>
          </cell>
          <cell r="N431">
            <v>37610.21</v>
          </cell>
          <cell r="O431"/>
          <cell r="P431">
            <v>0.13626020992171728</v>
          </cell>
          <cell r="Q431">
            <v>44209.169999999896</v>
          </cell>
          <cell r="R431"/>
          <cell r="S431">
            <v>0.12905156133884782</v>
          </cell>
          <cell r="T431">
            <v>49343.119999999901</v>
          </cell>
          <cell r="U431"/>
          <cell r="V431">
            <v>0.11985223907721519</v>
          </cell>
          <cell r="W431">
            <v>38718.78</v>
          </cell>
          <cell r="X431"/>
          <cell r="Y431">
            <v>0.10576048953923979</v>
          </cell>
          <cell r="Z431">
            <v>38586.629999999997</v>
          </cell>
          <cell r="AA431"/>
          <cell r="AB431">
            <v>0.11306618579953293</v>
          </cell>
          <cell r="AC431">
            <v>38329.29</v>
          </cell>
          <cell r="AD431"/>
          <cell r="AE431">
            <v>8.0955306466509877E-2</v>
          </cell>
          <cell r="AF431">
            <v>28895.01</v>
          </cell>
          <cell r="AG431"/>
          <cell r="AH431">
            <v>0.12275446156793768</v>
          </cell>
          <cell r="AI431">
            <v>45925.3999999999</v>
          </cell>
          <cell r="AJ431"/>
          <cell r="AK431">
            <v>0.12879325479756282</v>
          </cell>
          <cell r="AL431">
            <v>44336.85</v>
          </cell>
          <cell r="AM431"/>
          <cell r="AN431">
            <v>0.11555786334547796</v>
          </cell>
          <cell r="AO431">
            <v>34025.129999999997</v>
          </cell>
        </row>
        <row r="432">
          <cell r="A432" t="str">
            <v>Déduction à la source</v>
          </cell>
          <cell r="C432"/>
          <cell r="D432">
            <v>0.14461364503819787</v>
          </cell>
          <cell r="E432">
            <v>606657.80999999959</v>
          </cell>
          <cell r="F432"/>
          <cell r="G432">
            <v>0.14194862363030272</v>
          </cell>
          <cell r="H432">
            <v>52299.6899999999</v>
          </cell>
          <cell r="I432"/>
          <cell r="J432">
            <v>0.18654514738291295</v>
          </cell>
          <cell r="K432">
            <v>46268.75</v>
          </cell>
          <cell r="L432"/>
          <cell r="M432">
            <v>0.13826354623922363</v>
          </cell>
          <cell r="N432">
            <v>46224.92</v>
          </cell>
          <cell r="O432"/>
          <cell r="P432">
            <v>0.17100949659953402</v>
          </cell>
          <cell r="Q432">
            <v>55483.46</v>
          </cell>
          <cell r="R432"/>
          <cell r="S432">
            <v>0.15975052620363028</v>
          </cell>
          <cell r="T432">
            <v>61080.929999999898</v>
          </cell>
          <cell r="U432"/>
          <cell r="V432">
            <v>0.15887927072567279</v>
          </cell>
          <cell r="W432">
            <v>51326.63</v>
          </cell>
          <cell r="X432"/>
          <cell r="Y432">
            <v>0.13667386416086402</v>
          </cell>
          <cell r="Z432">
            <v>49865.349999999897</v>
          </cell>
          <cell r="AA432"/>
          <cell r="AB432">
            <v>0.14233842194675128</v>
          </cell>
          <cell r="AC432">
            <v>48252.54</v>
          </cell>
          <cell r="AD432"/>
          <cell r="AE432">
            <v>9.7436394702692303E-2</v>
          </cell>
          <cell r="AF432">
            <v>34777.53</v>
          </cell>
          <cell r="AG432"/>
          <cell r="AH432">
            <v>0.15302856207491422</v>
          </cell>
          <cell r="AI432">
            <v>57251.67</v>
          </cell>
          <cell r="AJ432"/>
          <cell r="AK432">
            <v>0.17472423895977626</v>
          </cell>
          <cell r="AL432">
            <v>60148.51</v>
          </cell>
          <cell r="AM432"/>
          <cell r="AN432">
            <v>0.14834085014126377</v>
          </cell>
          <cell r="AO432">
            <v>43677.83</v>
          </cell>
        </row>
        <row r="433">
          <cell r="A433" t="str">
            <v>Bénéfices marginaux</v>
          </cell>
          <cell r="C433"/>
          <cell r="D433">
            <v>6.6294065283067624E-2</v>
          </cell>
          <cell r="E433">
            <v>278105.23999999987</v>
          </cell>
          <cell r="F433"/>
          <cell r="G433">
            <v>6.348786174654078E-2</v>
          </cell>
          <cell r="H433">
            <v>23391.53</v>
          </cell>
          <cell r="I433"/>
          <cell r="J433">
            <v>7.9376116826621254E-2</v>
          </cell>
          <cell r="K433">
            <v>19687.64</v>
          </cell>
          <cell r="L433"/>
          <cell r="M433">
            <v>6.8997263169688877E-2</v>
          </cell>
          <cell r="N433">
            <v>23067.4899999999</v>
          </cell>
          <cell r="O433"/>
          <cell r="P433">
            <v>8.3336718584189104E-2</v>
          </cell>
          <cell r="Q433">
            <v>27038.32</v>
          </cell>
          <cell r="R433"/>
          <cell r="S433">
            <v>7.5414831119744716E-2</v>
          </cell>
          <cell r="T433">
            <v>28835.01</v>
          </cell>
          <cell r="U433"/>
          <cell r="V433">
            <v>5.7296159106879546E-2</v>
          </cell>
          <cell r="W433">
            <v>18509.77</v>
          </cell>
          <cell r="X433"/>
          <cell r="Y433">
            <v>5.7990698622883113E-2</v>
          </cell>
          <cell r="Z433">
            <v>21157.86</v>
          </cell>
          <cell r="AA433"/>
          <cell r="AB433">
            <v>7.2870397438102502E-2</v>
          </cell>
          <cell r="AC433">
            <v>24702.97</v>
          </cell>
          <cell r="AD433"/>
          <cell r="AE433">
            <v>4.4207997938841365E-2</v>
          </cell>
          <cell r="AF433">
            <v>15778.96</v>
          </cell>
          <cell r="AG433"/>
          <cell r="AH433">
            <v>7.2724428751017797E-2</v>
          </cell>
          <cell r="AI433">
            <v>27207.96</v>
          </cell>
          <cell r="AJ433"/>
          <cell r="AK433">
            <v>8.3341343541548513E-2</v>
          </cell>
          <cell r="AL433">
            <v>28690.11</v>
          </cell>
          <cell r="AM433"/>
          <cell r="AN433">
            <v>6.8052776101916915E-2</v>
          </cell>
          <cell r="AO433">
            <v>20037.62</v>
          </cell>
        </row>
        <row r="434">
          <cell r="A434" t="str">
            <v>Csst</v>
          </cell>
          <cell r="C434"/>
          <cell r="D434">
            <v>2.6775310890423655E-2</v>
          </cell>
          <cell r="E434">
            <v>112323.09</v>
          </cell>
          <cell r="F434"/>
          <cell r="G434"/>
          <cell r="H434">
            <v>9384.119999999999</v>
          </cell>
          <cell r="I434"/>
          <cell r="J434"/>
          <cell r="K434">
            <v>10755.45</v>
          </cell>
          <cell r="L434"/>
          <cell r="M434"/>
          <cell r="N434">
            <v>8379.69</v>
          </cell>
          <cell r="O434"/>
          <cell r="P434"/>
          <cell r="Q434">
            <v>10989.42</v>
          </cell>
          <cell r="R434"/>
          <cell r="S434"/>
          <cell r="T434">
            <v>10448.16</v>
          </cell>
          <cell r="U434"/>
          <cell r="V434"/>
          <cell r="W434">
            <v>8525</v>
          </cell>
          <cell r="X434"/>
          <cell r="Y434"/>
          <cell r="Z434">
            <v>10128.049999999999</v>
          </cell>
          <cell r="AA434"/>
          <cell r="AB434"/>
          <cell r="AC434">
            <v>8903.9600000000009</v>
          </cell>
          <cell r="AD434"/>
          <cell r="AE434"/>
          <cell r="AF434">
            <v>7547.8899999999994</v>
          </cell>
          <cell r="AG434"/>
          <cell r="AH434"/>
          <cell r="AI434">
            <v>11343.440000000002</v>
          </cell>
          <cell r="AJ434"/>
          <cell r="AK434"/>
          <cell r="AL434">
            <v>6454.65</v>
          </cell>
          <cell r="AM434"/>
          <cell r="AN434"/>
          <cell r="AO434">
            <v>9463.2599999999984</v>
          </cell>
        </row>
        <row r="435">
          <cell r="A435"/>
          <cell r="C435"/>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cell r="AD435"/>
          <cell r="AE435"/>
          <cell r="AF435"/>
          <cell r="AG435"/>
          <cell r="AH435"/>
          <cell r="AI435"/>
          <cell r="AJ435"/>
          <cell r="AK435"/>
          <cell r="AL435"/>
          <cell r="AM435"/>
          <cell r="AN435"/>
          <cell r="AO435"/>
        </row>
        <row r="436">
          <cell r="A436" t="str">
            <v>TOTAL PERSONNEL</v>
          </cell>
          <cell r="C436">
            <v>0.43044336690535884</v>
          </cell>
          <cell r="D436"/>
          <cell r="E436">
            <v>3580933.4299999978</v>
          </cell>
          <cell r="F436"/>
          <cell r="G436"/>
          <cell r="H436">
            <v>302609.61</v>
          </cell>
          <cell r="I436"/>
          <cell r="J436"/>
          <cell r="K436">
            <v>267862.26</v>
          </cell>
          <cell r="L436"/>
          <cell r="M436"/>
          <cell r="N436">
            <v>279171.52999999898</v>
          </cell>
          <cell r="O436"/>
          <cell r="P436"/>
          <cell r="Q436">
            <v>312840.75</v>
          </cell>
          <cell r="R436"/>
          <cell r="S436"/>
          <cell r="T436">
            <v>343419.359999999</v>
          </cell>
          <cell r="U436"/>
          <cell r="V436"/>
          <cell r="W436">
            <v>280276.03999999998</v>
          </cell>
          <cell r="X436"/>
          <cell r="Y436"/>
          <cell r="Z436">
            <v>280364.39999999898</v>
          </cell>
          <cell r="AA436"/>
          <cell r="AB436"/>
          <cell r="AC436">
            <v>297973.28999999998</v>
          </cell>
          <cell r="AD436"/>
          <cell r="AE436"/>
          <cell r="AF436">
            <v>266811.82</v>
          </cell>
          <cell r="AG436"/>
          <cell r="AH436"/>
          <cell r="AI436">
            <v>350069.54</v>
          </cell>
          <cell r="AJ436"/>
          <cell r="AK436"/>
          <cell r="AL436">
            <v>325979.96000000002</v>
          </cell>
          <cell r="AM436"/>
          <cell r="AN436"/>
          <cell r="AO436">
            <v>273554.87</v>
          </cell>
        </row>
        <row r="437">
          <cell r="A437" t="str">
            <v>Publicité 2</v>
          </cell>
          <cell r="C437"/>
          <cell r="D437"/>
          <cell r="E437">
            <v>208959.93</v>
          </cell>
          <cell r="F437"/>
          <cell r="G437"/>
          <cell r="H437">
            <v>22331.040000000001</v>
          </cell>
          <cell r="I437"/>
          <cell r="J437"/>
          <cell r="K437">
            <v>13701.99</v>
          </cell>
          <cell r="L437"/>
          <cell r="M437"/>
          <cell r="N437">
            <v>19234.12</v>
          </cell>
          <cell r="O437"/>
          <cell r="P437"/>
          <cell r="Q437">
            <v>33630.42</v>
          </cell>
          <cell r="R437"/>
          <cell r="S437"/>
          <cell r="T437">
            <v>22624.880000000001</v>
          </cell>
          <cell r="U437"/>
          <cell r="V437"/>
          <cell r="W437">
            <v>12184.25</v>
          </cell>
          <cell r="X437"/>
          <cell r="Y437"/>
          <cell r="Z437">
            <v>14038.38</v>
          </cell>
          <cell r="AA437"/>
          <cell r="AB437"/>
          <cell r="AC437">
            <v>16818.759999999998</v>
          </cell>
          <cell r="AD437"/>
          <cell r="AE437"/>
          <cell r="AF437">
            <v>8161.31</v>
          </cell>
          <cell r="AG437"/>
          <cell r="AH437"/>
          <cell r="AI437">
            <v>14192.39</v>
          </cell>
          <cell r="AJ437"/>
          <cell r="AK437"/>
          <cell r="AL437">
            <v>23762.89</v>
          </cell>
          <cell r="AM437"/>
          <cell r="AN437"/>
          <cell r="AO437">
            <v>8279.5</v>
          </cell>
        </row>
        <row r="438">
          <cell r="A438" t="str">
            <v>Service gratuit 2</v>
          </cell>
          <cell r="C438"/>
          <cell r="D438"/>
          <cell r="E438">
            <v>64448.639999999963</v>
          </cell>
          <cell r="F438"/>
          <cell r="G438"/>
          <cell r="H438">
            <v>13807.6</v>
          </cell>
          <cell r="I438"/>
          <cell r="J438"/>
          <cell r="K438">
            <v>9465.3699999999899</v>
          </cell>
          <cell r="L438"/>
          <cell r="M438"/>
          <cell r="N438">
            <v>5050.9399999999996</v>
          </cell>
          <cell r="O438"/>
          <cell r="P438"/>
          <cell r="Q438">
            <v>5140.28</v>
          </cell>
          <cell r="R438"/>
          <cell r="S438"/>
          <cell r="T438">
            <v>5109.3</v>
          </cell>
          <cell r="U438"/>
          <cell r="V438"/>
          <cell r="W438">
            <v>8329.58</v>
          </cell>
          <cell r="X438"/>
          <cell r="Y438"/>
          <cell r="Z438">
            <v>1819.6599999999901</v>
          </cell>
          <cell r="AA438"/>
          <cell r="AB438"/>
          <cell r="AC438">
            <v>4403.33</v>
          </cell>
          <cell r="AD438"/>
          <cell r="AE438"/>
          <cell r="AF438">
            <v>1672.6599999999901</v>
          </cell>
          <cell r="AG438"/>
          <cell r="AH438"/>
          <cell r="AI438">
            <v>3376.3199999999902</v>
          </cell>
          <cell r="AJ438"/>
          <cell r="AK438"/>
          <cell r="AL438">
            <v>4156.46</v>
          </cell>
          <cell r="AM438"/>
          <cell r="AN438"/>
          <cell r="AO438">
            <v>2117.14</v>
          </cell>
        </row>
        <row r="439">
          <cell r="A439" t="str">
            <v>Frais véhicules de cie</v>
          </cell>
          <cell r="C439"/>
          <cell r="D439"/>
          <cell r="E439">
            <v>296675.02999999974</v>
          </cell>
          <cell r="F439"/>
          <cell r="G439"/>
          <cell r="H439">
            <v>22198.26</v>
          </cell>
          <cell r="I439"/>
          <cell r="J439"/>
          <cell r="K439">
            <v>24402.18</v>
          </cell>
          <cell r="L439"/>
          <cell r="M439"/>
          <cell r="N439">
            <v>21704.23</v>
          </cell>
          <cell r="O439"/>
          <cell r="P439"/>
          <cell r="Q439">
            <v>20967.38</v>
          </cell>
          <cell r="R439"/>
          <cell r="S439"/>
          <cell r="T439">
            <v>29334.55</v>
          </cell>
          <cell r="U439"/>
          <cell r="V439"/>
          <cell r="W439">
            <v>23912.94</v>
          </cell>
          <cell r="X439"/>
          <cell r="Y439"/>
          <cell r="Z439">
            <v>23078.729999999901</v>
          </cell>
          <cell r="AA439"/>
          <cell r="AB439"/>
          <cell r="AC439">
            <v>22915.199999999899</v>
          </cell>
          <cell r="AD439"/>
          <cell r="AE439"/>
          <cell r="AF439">
            <v>27013.200000000001</v>
          </cell>
          <cell r="AG439"/>
          <cell r="AH439"/>
          <cell r="AI439">
            <v>25497.749999999902</v>
          </cell>
          <cell r="AJ439"/>
          <cell r="AK439"/>
          <cell r="AL439">
            <v>29968.79</v>
          </cell>
          <cell r="AM439"/>
          <cell r="AN439"/>
          <cell r="AO439">
            <v>25681.82</v>
          </cell>
        </row>
        <row r="440">
          <cell r="A440" t="str">
            <v>Informatique</v>
          </cell>
          <cell r="C440"/>
          <cell r="D440"/>
          <cell r="E440">
            <v>293992.03999999969</v>
          </cell>
          <cell r="F440"/>
          <cell r="G440"/>
          <cell r="H440">
            <v>20272.469999999899</v>
          </cell>
          <cell r="I440"/>
          <cell r="J440"/>
          <cell r="K440">
            <v>24573.200000000001</v>
          </cell>
          <cell r="L440"/>
          <cell r="M440"/>
          <cell r="N440">
            <v>24782.19</v>
          </cell>
          <cell r="O440"/>
          <cell r="P440"/>
          <cell r="Q440">
            <v>24320.58</v>
          </cell>
          <cell r="R440"/>
          <cell r="S440"/>
          <cell r="T440">
            <v>29728.79</v>
          </cell>
          <cell r="U440"/>
          <cell r="V440"/>
          <cell r="W440">
            <v>19706.759999999998</v>
          </cell>
          <cell r="X440"/>
          <cell r="Y440"/>
          <cell r="Z440">
            <v>24085.59</v>
          </cell>
          <cell r="AA440"/>
          <cell r="AB440"/>
          <cell r="AC440">
            <v>21667.48</v>
          </cell>
          <cell r="AD440"/>
          <cell r="AE440"/>
          <cell r="AF440">
            <v>27694.129999999899</v>
          </cell>
          <cell r="AG440"/>
          <cell r="AH440"/>
          <cell r="AI440">
            <v>23344.81</v>
          </cell>
          <cell r="AJ440"/>
          <cell r="AK440"/>
          <cell r="AL440">
            <v>22303.769999999899</v>
          </cell>
          <cell r="AM440"/>
          <cell r="AN440"/>
          <cell r="AO440">
            <v>31512.27</v>
          </cell>
        </row>
        <row r="441">
          <cell r="A441" t="str">
            <v>Frais de déplacement</v>
          </cell>
          <cell r="C441"/>
          <cell r="D441"/>
          <cell r="E441">
            <v>57544.75999999998</v>
          </cell>
          <cell r="F441"/>
          <cell r="G441"/>
          <cell r="H441">
            <v>5200.3099999999904</v>
          </cell>
          <cell r="I441"/>
          <cell r="J441"/>
          <cell r="K441">
            <v>3147.93</v>
          </cell>
          <cell r="L441"/>
          <cell r="M441"/>
          <cell r="N441">
            <v>3076.33</v>
          </cell>
          <cell r="O441"/>
          <cell r="P441"/>
          <cell r="Q441">
            <v>5632.16</v>
          </cell>
          <cell r="R441"/>
          <cell r="S441"/>
          <cell r="T441">
            <v>4762</v>
          </cell>
          <cell r="U441"/>
          <cell r="V441"/>
          <cell r="W441">
            <v>6656.17</v>
          </cell>
          <cell r="X441"/>
          <cell r="Y441"/>
          <cell r="Z441">
            <v>3092.1</v>
          </cell>
          <cell r="AA441"/>
          <cell r="AB441"/>
          <cell r="AC441">
            <v>2743.48</v>
          </cell>
          <cell r="AD441"/>
          <cell r="AE441"/>
          <cell r="AF441">
            <v>4770.67</v>
          </cell>
          <cell r="AG441"/>
          <cell r="AH441"/>
          <cell r="AI441">
            <v>7645.26</v>
          </cell>
          <cell r="AJ441"/>
          <cell r="AK441"/>
          <cell r="AL441">
            <v>5316.05</v>
          </cell>
          <cell r="AM441"/>
          <cell r="AN441"/>
          <cell r="AO441">
            <v>5502.2999999999902</v>
          </cell>
        </row>
        <row r="442">
          <cell r="A442" t="str">
            <v>Services extérieurs</v>
          </cell>
          <cell r="C442"/>
          <cell r="D442"/>
          <cell r="E442">
            <v>481589.27999999974</v>
          </cell>
          <cell r="F442"/>
          <cell r="G442"/>
          <cell r="H442">
            <v>38117.619999999901</v>
          </cell>
          <cell r="I442"/>
          <cell r="J442"/>
          <cell r="K442">
            <v>39617.289999999899</v>
          </cell>
          <cell r="L442"/>
          <cell r="M442"/>
          <cell r="N442">
            <v>49023.11</v>
          </cell>
          <cell r="O442"/>
          <cell r="P442"/>
          <cell r="Q442">
            <v>43461.11</v>
          </cell>
          <cell r="R442"/>
          <cell r="S442"/>
          <cell r="T442">
            <v>42256.72</v>
          </cell>
          <cell r="U442"/>
          <cell r="V442"/>
          <cell r="W442">
            <v>33962.620000000003</v>
          </cell>
          <cell r="X442"/>
          <cell r="Y442"/>
          <cell r="Z442">
            <v>44790.42</v>
          </cell>
          <cell r="AA442"/>
          <cell r="AB442"/>
          <cell r="AC442">
            <v>37294.83</v>
          </cell>
          <cell r="AD442"/>
          <cell r="AE442"/>
          <cell r="AF442">
            <v>42095.72</v>
          </cell>
          <cell r="AG442"/>
          <cell r="AH442"/>
          <cell r="AI442">
            <v>46876.289999999899</v>
          </cell>
          <cell r="AJ442"/>
          <cell r="AK442"/>
          <cell r="AL442">
            <v>45881.84</v>
          </cell>
          <cell r="AM442"/>
          <cell r="AN442"/>
          <cell r="AO442">
            <v>18211.71</v>
          </cell>
        </row>
        <row r="443">
          <cell r="A443"/>
          <cell r="C443"/>
          <cell r="D443"/>
          <cell r="E443">
            <v>0</v>
          </cell>
          <cell r="F443"/>
          <cell r="G443"/>
          <cell r="H443">
            <v>0</v>
          </cell>
          <cell r="I443"/>
          <cell r="J443"/>
          <cell r="K443">
            <v>0</v>
          </cell>
          <cell r="L443"/>
          <cell r="M443"/>
          <cell r="N443">
            <v>0</v>
          </cell>
          <cell r="O443"/>
          <cell r="P443"/>
          <cell r="Q443">
            <v>0</v>
          </cell>
          <cell r="R443"/>
          <cell r="S443"/>
          <cell r="T443">
            <v>0</v>
          </cell>
          <cell r="U443"/>
          <cell r="V443"/>
          <cell r="W443">
            <v>0</v>
          </cell>
          <cell r="X443"/>
          <cell r="Y443"/>
          <cell r="Z443">
            <v>0</v>
          </cell>
          <cell r="AA443"/>
          <cell r="AB443"/>
          <cell r="AC443">
            <v>0</v>
          </cell>
          <cell r="AD443"/>
          <cell r="AE443"/>
          <cell r="AF443">
            <v>0</v>
          </cell>
          <cell r="AG443"/>
          <cell r="AH443"/>
          <cell r="AI443">
            <v>0</v>
          </cell>
          <cell r="AJ443"/>
          <cell r="AK443"/>
          <cell r="AL443">
            <v>0</v>
          </cell>
          <cell r="AM443"/>
          <cell r="AN443"/>
          <cell r="AO443">
            <v>0</v>
          </cell>
        </row>
        <row r="444">
          <cell r="A444" t="str">
            <v>Fournitures autres</v>
          </cell>
          <cell r="C444"/>
          <cell r="D444"/>
          <cell r="E444">
            <v>54549.529999999992</v>
          </cell>
          <cell r="F444"/>
          <cell r="G444"/>
          <cell r="H444">
            <v>3709.05</v>
          </cell>
          <cell r="I444"/>
          <cell r="J444"/>
          <cell r="K444">
            <v>7186.12</v>
          </cell>
          <cell r="L444"/>
          <cell r="M444"/>
          <cell r="N444">
            <v>4874.7699999999904</v>
          </cell>
          <cell r="O444"/>
          <cell r="P444"/>
          <cell r="Q444">
            <v>5855.42</v>
          </cell>
          <cell r="R444"/>
          <cell r="S444"/>
          <cell r="T444">
            <v>6967.67</v>
          </cell>
          <cell r="U444"/>
          <cell r="V444"/>
          <cell r="W444">
            <v>2070.06</v>
          </cell>
          <cell r="X444"/>
          <cell r="Y444"/>
          <cell r="Z444">
            <v>3095.58</v>
          </cell>
          <cell r="AA444"/>
          <cell r="AB444"/>
          <cell r="AC444">
            <v>7400.72</v>
          </cell>
          <cell r="AD444"/>
          <cell r="AE444"/>
          <cell r="AF444">
            <v>4524.0200000000004</v>
          </cell>
          <cell r="AG444"/>
          <cell r="AH444"/>
          <cell r="AI444">
            <v>4281.8</v>
          </cell>
          <cell r="AJ444"/>
          <cell r="AK444"/>
          <cell r="AL444">
            <v>2562.7399999999998</v>
          </cell>
          <cell r="AM444"/>
          <cell r="AN444"/>
          <cell r="AO444">
            <v>2021.58</v>
          </cell>
        </row>
        <row r="445">
          <cell r="A445" t="str">
            <v>Uniformes</v>
          </cell>
          <cell r="C445"/>
          <cell r="D445"/>
          <cell r="E445">
            <v>10602.18</v>
          </cell>
          <cell r="F445"/>
          <cell r="G445"/>
          <cell r="H445">
            <v>1201.17</v>
          </cell>
          <cell r="I445"/>
          <cell r="J445"/>
          <cell r="K445">
            <v>967.33999999999901</v>
          </cell>
          <cell r="L445"/>
          <cell r="M445"/>
          <cell r="N445">
            <v>510.87</v>
          </cell>
          <cell r="O445"/>
          <cell r="P445"/>
          <cell r="Q445">
            <v>793.22</v>
          </cell>
          <cell r="R445"/>
          <cell r="S445"/>
          <cell r="T445">
            <v>785.83</v>
          </cell>
          <cell r="U445"/>
          <cell r="V445"/>
          <cell r="W445">
            <v>1429.5</v>
          </cell>
          <cell r="X445"/>
          <cell r="Y445"/>
          <cell r="Z445">
            <v>699.73</v>
          </cell>
          <cell r="AA445"/>
          <cell r="AB445"/>
          <cell r="AC445">
            <v>1109.3</v>
          </cell>
          <cell r="AD445"/>
          <cell r="AE445"/>
          <cell r="AF445">
            <v>1000.92</v>
          </cell>
          <cell r="AG445"/>
          <cell r="AH445"/>
          <cell r="AI445">
            <v>798.57</v>
          </cell>
          <cell r="AJ445"/>
          <cell r="AK445"/>
          <cell r="AL445">
            <v>373.79</v>
          </cell>
          <cell r="AM445"/>
          <cell r="AN445"/>
          <cell r="AO445">
            <v>931.94</v>
          </cell>
        </row>
        <row r="446">
          <cell r="A446" t="str">
            <v>Papeterie</v>
          </cell>
          <cell r="C446"/>
          <cell r="D446"/>
          <cell r="E446">
            <v>26496.91</v>
          </cell>
          <cell r="F446"/>
          <cell r="G446"/>
          <cell r="H446">
            <v>505.41999999999899</v>
          </cell>
          <cell r="I446"/>
          <cell r="J446"/>
          <cell r="K446">
            <v>3256.09</v>
          </cell>
          <cell r="L446"/>
          <cell r="M446"/>
          <cell r="N446">
            <v>2621.99</v>
          </cell>
          <cell r="O446"/>
          <cell r="P446"/>
          <cell r="Q446">
            <v>181.67</v>
          </cell>
          <cell r="R446"/>
          <cell r="S446"/>
          <cell r="T446">
            <v>3272.95</v>
          </cell>
          <cell r="U446"/>
          <cell r="V446"/>
          <cell r="W446">
            <v>2218.54</v>
          </cell>
          <cell r="X446"/>
          <cell r="Y446"/>
          <cell r="Z446">
            <v>4141.9799999999996</v>
          </cell>
          <cell r="AA446"/>
          <cell r="AB446"/>
          <cell r="AC446">
            <v>3126.17</v>
          </cell>
          <cell r="AD446"/>
          <cell r="AE446"/>
          <cell r="AF446">
            <v>936.06</v>
          </cell>
          <cell r="AG446"/>
          <cell r="AH446"/>
          <cell r="AI446">
            <v>184.2</v>
          </cell>
          <cell r="AJ446"/>
          <cell r="AK446"/>
          <cell r="AL446">
            <v>5108.1000000000004</v>
          </cell>
          <cell r="AM446"/>
          <cell r="AN446"/>
          <cell r="AO446">
            <v>943.74</v>
          </cell>
        </row>
        <row r="447">
          <cell r="A447" t="str">
            <v>Téléphone</v>
          </cell>
          <cell r="C447"/>
          <cell r="D447"/>
          <cell r="E447">
            <v>10049.379999999999</v>
          </cell>
          <cell r="F447"/>
          <cell r="G447"/>
          <cell r="H447">
            <v>1008.77</v>
          </cell>
          <cell r="I447"/>
          <cell r="J447"/>
          <cell r="K447">
            <v>916.31</v>
          </cell>
          <cell r="L447"/>
          <cell r="M447"/>
          <cell r="N447">
            <v>773.05</v>
          </cell>
          <cell r="O447"/>
          <cell r="P447"/>
          <cell r="Q447">
            <v>801.81</v>
          </cell>
          <cell r="R447"/>
          <cell r="S447"/>
          <cell r="T447">
            <v>878.44</v>
          </cell>
          <cell r="U447"/>
          <cell r="V447"/>
          <cell r="W447">
            <v>750.67</v>
          </cell>
          <cell r="X447"/>
          <cell r="Y447"/>
          <cell r="Z447">
            <v>662.9</v>
          </cell>
          <cell r="AA447"/>
          <cell r="AB447"/>
          <cell r="AC447">
            <v>991.48</v>
          </cell>
          <cell r="AD447"/>
          <cell r="AE447"/>
          <cell r="AF447">
            <v>772.14</v>
          </cell>
          <cell r="AG447"/>
          <cell r="AH447"/>
          <cell r="AI447">
            <v>856.05</v>
          </cell>
          <cell r="AJ447"/>
          <cell r="AK447"/>
          <cell r="AL447">
            <v>866.82</v>
          </cell>
          <cell r="AM447"/>
          <cell r="AN447"/>
          <cell r="AO447">
            <v>770.93999999999903</v>
          </cell>
        </row>
        <row r="448">
          <cell r="A448" t="str">
            <v>Frais postaux</v>
          </cell>
          <cell r="C448"/>
          <cell r="D448"/>
          <cell r="E448">
            <v>-844.49999999999886</v>
          </cell>
          <cell r="F448"/>
          <cell r="G448"/>
          <cell r="H448">
            <v>1136.93</v>
          </cell>
          <cell r="I448"/>
          <cell r="J448"/>
          <cell r="K448">
            <v>1194.3599999999999</v>
          </cell>
          <cell r="L448"/>
          <cell r="M448"/>
          <cell r="N448">
            <v>1197.54</v>
          </cell>
          <cell r="O448"/>
          <cell r="P448"/>
          <cell r="Q448">
            <v>202.68</v>
          </cell>
          <cell r="R448"/>
          <cell r="S448"/>
          <cell r="T448">
            <v>342.94</v>
          </cell>
          <cell r="U448"/>
          <cell r="V448"/>
          <cell r="W448">
            <v>-708.26</v>
          </cell>
          <cell r="X448"/>
          <cell r="Y448"/>
          <cell r="Z448">
            <v>-207.98999999999899</v>
          </cell>
          <cell r="AA448"/>
          <cell r="AB448"/>
          <cell r="AC448">
            <v>587.33999999999901</v>
          </cell>
          <cell r="AD448"/>
          <cell r="AE448"/>
          <cell r="AF448">
            <v>-2048.06</v>
          </cell>
          <cell r="AG448"/>
          <cell r="AH448"/>
          <cell r="AI448">
            <v>-1053.5899999999999</v>
          </cell>
          <cell r="AJ448"/>
          <cell r="AK448"/>
          <cell r="AL448">
            <v>-440.849999999999</v>
          </cell>
          <cell r="AM448"/>
          <cell r="AN448"/>
          <cell r="AO448">
            <v>-1047.54</v>
          </cell>
        </row>
        <row r="449">
          <cell r="A449" t="str">
            <v>Divers</v>
          </cell>
          <cell r="C449"/>
          <cell r="D449"/>
          <cell r="E449">
            <v>6238.0300000000007</v>
          </cell>
          <cell r="F449"/>
          <cell r="G449"/>
          <cell r="H449">
            <v>279.45</v>
          </cell>
          <cell r="I449"/>
          <cell r="J449"/>
          <cell r="K449">
            <v>222.52</v>
          </cell>
          <cell r="L449"/>
          <cell r="M449"/>
          <cell r="N449">
            <v>222.53</v>
          </cell>
          <cell r="O449"/>
          <cell r="P449"/>
          <cell r="Q449">
            <v>378.38</v>
          </cell>
          <cell r="R449"/>
          <cell r="S449"/>
          <cell r="T449">
            <v>349</v>
          </cell>
          <cell r="U449"/>
          <cell r="V449"/>
          <cell r="W449">
            <v>196</v>
          </cell>
          <cell r="X449"/>
          <cell r="Y449"/>
          <cell r="Z449">
            <v>196</v>
          </cell>
          <cell r="AA449"/>
          <cell r="AB449"/>
          <cell r="AC449">
            <v>196</v>
          </cell>
          <cell r="AD449"/>
          <cell r="AE449"/>
          <cell r="AF449">
            <v>421</v>
          </cell>
          <cell r="AG449"/>
          <cell r="AH449"/>
          <cell r="AI449">
            <v>196</v>
          </cell>
          <cell r="AJ449"/>
          <cell r="AK449"/>
          <cell r="AL449">
            <v>1282.44</v>
          </cell>
          <cell r="AM449"/>
          <cell r="AN449"/>
          <cell r="AO449">
            <v>2298.71</v>
          </cell>
        </row>
        <row r="450">
          <cell r="A450" t="str">
            <v>Formation</v>
          </cell>
          <cell r="C450"/>
          <cell r="D450"/>
          <cell r="E450">
            <v>41184.579999999958</v>
          </cell>
          <cell r="F450"/>
          <cell r="G450"/>
          <cell r="H450">
            <v>2782.3</v>
          </cell>
          <cell r="I450"/>
          <cell r="J450"/>
          <cell r="K450">
            <v>2184.52</v>
          </cell>
          <cell r="L450"/>
          <cell r="M450"/>
          <cell r="N450">
            <v>6179.78</v>
          </cell>
          <cell r="O450"/>
          <cell r="P450"/>
          <cell r="Q450">
            <v>6582.0099999999902</v>
          </cell>
          <cell r="R450"/>
          <cell r="S450"/>
          <cell r="T450">
            <v>314.8</v>
          </cell>
          <cell r="U450"/>
          <cell r="V450"/>
          <cell r="W450">
            <v>3800.6699999999901</v>
          </cell>
          <cell r="X450"/>
          <cell r="Y450"/>
          <cell r="Z450">
            <v>5885.7999999999902</v>
          </cell>
          <cell r="AA450"/>
          <cell r="AB450"/>
          <cell r="AC450">
            <v>2630.0299999999902</v>
          </cell>
          <cell r="AD450"/>
          <cell r="AE450"/>
          <cell r="AF450">
            <v>2606.9299999999998</v>
          </cell>
          <cell r="AG450"/>
          <cell r="AH450"/>
          <cell r="AI450">
            <v>1910.22</v>
          </cell>
          <cell r="AJ450"/>
          <cell r="AK450"/>
          <cell r="AL450">
            <v>3422.1</v>
          </cell>
          <cell r="AM450"/>
          <cell r="AN450"/>
          <cell r="AO450">
            <v>2885.42</v>
          </cell>
        </row>
        <row r="451">
          <cell r="A451" t="str">
            <v>Frais bancaires</v>
          </cell>
          <cell r="C451"/>
          <cell r="D451"/>
          <cell r="E451">
            <v>106942.09000000001</v>
          </cell>
          <cell r="F451"/>
          <cell r="G451"/>
          <cell r="H451">
            <v>6237.92</v>
          </cell>
          <cell r="I451"/>
          <cell r="J451"/>
          <cell r="K451">
            <v>4811.93</v>
          </cell>
          <cell r="L451"/>
          <cell r="M451"/>
          <cell r="N451">
            <v>8311.6</v>
          </cell>
          <cell r="O451"/>
          <cell r="P451"/>
          <cell r="Q451">
            <v>10241.870000000001</v>
          </cell>
          <cell r="R451"/>
          <cell r="S451"/>
          <cell r="T451">
            <v>10132.540000000001</v>
          </cell>
          <cell r="U451"/>
          <cell r="V451"/>
          <cell r="W451">
            <v>7830.32</v>
          </cell>
          <cell r="X451"/>
          <cell r="Y451"/>
          <cell r="Z451">
            <v>8670.7099999999991</v>
          </cell>
          <cell r="AA451"/>
          <cell r="AB451"/>
          <cell r="AC451">
            <v>8440.16</v>
          </cell>
          <cell r="AD451"/>
          <cell r="AE451"/>
          <cell r="AF451">
            <v>8925.4599999999991</v>
          </cell>
          <cell r="AG451"/>
          <cell r="AH451"/>
          <cell r="AI451">
            <v>10323.16</v>
          </cell>
          <cell r="AJ451"/>
          <cell r="AK451"/>
          <cell r="AL451">
            <v>14139.62</v>
          </cell>
          <cell r="AM451"/>
          <cell r="AN451"/>
          <cell r="AO451">
            <v>8876.7999999999993</v>
          </cell>
        </row>
        <row r="452">
          <cell r="A452" t="str">
            <v>[...]</v>
          </cell>
          <cell r="C452"/>
          <cell r="D452"/>
          <cell r="E452">
            <v>0</v>
          </cell>
          <cell r="F452"/>
          <cell r="G452"/>
          <cell r="H452"/>
          <cell r="I452"/>
          <cell r="J452"/>
          <cell r="K452"/>
          <cell r="L452"/>
          <cell r="M452"/>
          <cell r="N452"/>
          <cell r="O452"/>
          <cell r="P452"/>
          <cell r="Q452"/>
          <cell r="R452"/>
          <cell r="S452"/>
          <cell r="T452"/>
          <cell r="U452"/>
          <cell r="V452"/>
          <cell r="W452"/>
          <cell r="X452"/>
          <cell r="Y452"/>
          <cell r="Z452"/>
          <cell r="AA452"/>
          <cell r="AB452"/>
          <cell r="AC452"/>
          <cell r="AD452"/>
          <cell r="AE452"/>
          <cell r="AF452"/>
          <cell r="AG452"/>
          <cell r="AH452"/>
          <cell r="AI452"/>
          <cell r="AJ452"/>
          <cell r="AK452"/>
          <cell r="AL452"/>
          <cell r="AM452"/>
          <cell r="AN452"/>
          <cell r="AO452"/>
        </row>
        <row r="453">
          <cell r="A453" t="str">
            <v>[...]</v>
          </cell>
          <cell r="C453"/>
          <cell r="D453"/>
          <cell r="E453">
            <v>0</v>
          </cell>
          <cell r="F453"/>
          <cell r="G453"/>
          <cell r="H453"/>
          <cell r="I453"/>
          <cell r="J453"/>
          <cell r="K453"/>
          <cell r="L453"/>
          <cell r="M453"/>
          <cell r="N453"/>
          <cell r="O453"/>
          <cell r="P453"/>
          <cell r="Q453"/>
          <cell r="R453"/>
          <cell r="S453"/>
          <cell r="T453"/>
          <cell r="U453"/>
          <cell r="V453"/>
          <cell r="W453"/>
          <cell r="X453"/>
          <cell r="Y453"/>
          <cell r="Z453"/>
          <cell r="AA453"/>
          <cell r="AB453"/>
          <cell r="AC453"/>
          <cell r="AD453"/>
          <cell r="AE453"/>
          <cell r="AF453"/>
          <cell r="AG453"/>
          <cell r="AH453"/>
          <cell r="AI453"/>
          <cell r="AJ453"/>
          <cell r="AK453"/>
          <cell r="AL453"/>
          <cell r="AM453"/>
          <cell r="AN453"/>
          <cell r="AO453"/>
        </row>
        <row r="454">
          <cell r="A454">
            <v>0</v>
          </cell>
          <cell r="C454"/>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cell r="AD454"/>
          <cell r="AE454"/>
          <cell r="AF454"/>
          <cell r="AG454"/>
          <cell r="AH454"/>
          <cell r="AI454"/>
          <cell r="AJ454"/>
          <cell r="AK454"/>
          <cell r="AL454"/>
          <cell r="AM454"/>
          <cell r="AN454"/>
          <cell r="AO454"/>
        </row>
        <row r="455">
          <cell r="A455" t="str">
            <v>TOTAL SEMI-FIXES</v>
          </cell>
          <cell r="C455">
            <v>0.19935005617708909</v>
          </cell>
          <cell r="D455"/>
          <cell r="E455">
            <v>1658427.8799999987</v>
          </cell>
          <cell r="F455"/>
          <cell r="G455"/>
          <cell r="H455">
            <v>138788.31</v>
          </cell>
          <cell r="I455"/>
          <cell r="J455"/>
          <cell r="K455">
            <v>135647.15</v>
          </cell>
          <cell r="L455"/>
          <cell r="M455"/>
          <cell r="N455">
            <v>147563.04999999999</v>
          </cell>
          <cell r="O455"/>
          <cell r="P455"/>
          <cell r="Q455">
            <v>158188.99</v>
          </cell>
          <cell r="R455"/>
          <cell r="S455"/>
          <cell r="T455">
            <v>156860.41</v>
          </cell>
          <cell r="U455"/>
          <cell r="V455"/>
          <cell r="W455">
            <v>122339.82</v>
          </cell>
          <cell r="X455"/>
          <cell r="Y455"/>
          <cell r="Z455">
            <v>134049.59</v>
          </cell>
          <cell r="AA455"/>
          <cell r="AB455"/>
          <cell r="AC455">
            <v>130324.28</v>
          </cell>
          <cell r="AD455"/>
          <cell r="AE455"/>
          <cell r="AF455">
            <v>128546.16</v>
          </cell>
          <cell r="AG455"/>
          <cell r="AH455"/>
          <cell r="AI455">
            <v>138429.22999999899</v>
          </cell>
          <cell r="AJ455"/>
          <cell r="AK455"/>
          <cell r="AL455">
            <v>158704.56</v>
          </cell>
          <cell r="AM455"/>
          <cell r="AN455"/>
          <cell r="AO455">
            <v>108986.33</v>
          </cell>
        </row>
        <row r="456">
          <cell r="A456" t="str">
            <v>Loyer</v>
          </cell>
          <cell r="C456"/>
          <cell r="D456"/>
          <cell r="E456">
            <v>422000</v>
          </cell>
          <cell r="F456"/>
          <cell r="G456"/>
          <cell r="H456">
            <v>36000</v>
          </cell>
          <cell r="I456"/>
          <cell r="J456"/>
          <cell r="K456">
            <v>36000</v>
          </cell>
          <cell r="L456"/>
          <cell r="M456"/>
          <cell r="N456">
            <v>36000</v>
          </cell>
          <cell r="O456"/>
          <cell r="P456"/>
          <cell r="Q456">
            <v>36000</v>
          </cell>
          <cell r="R456"/>
          <cell r="S456"/>
          <cell r="T456">
            <v>36000</v>
          </cell>
          <cell r="U456"/>
          <cell r="V456"/>
          <cell r="W456">
            <v>36000</v>
          </cell>
          <cell r="X456"/>
          <cell r="Y456"/>
          <cell r="Z456">
            <v>36000</v>
          </cell>
          <cell r="AA456"/>
          <cell r="AB456"/>
          <cell r="AC456">
            <v>36000</v>
          </cell>
          <cell r="AD456"/>
          <cell r="AE456"/>
          <cell r="AF456">
            <v>36000</v>
          </cell>
          <cell r="AG456"/>
          <cell r="AH456"/>
          <cell r="AI456">
            <v>36000</v>
          </cell>
          <cell r="AJ456"/>
          <cell r="AK456"/>
          <cell r="AL456">
            <v>36000</v>
          </cell>
          <cell r="AM456"/>
          <cell r="AN456"/>
          <cell r="AO456">
            <v>26000</v>
          </cell>
        </row>
        <row r="457">
          <cell r="A457" t="str">
            <v>Taxes foncières</v>
          </cell>
          <cell r="C457"/>
          <cell r="D457"/>
          <cell r="E457">
            <v>174764.63</v>
          </cell>
          <cell r="F457"/>
          <cell r="G457"/>
          <cell r="H457">
            <v>5423</v>
          </cell>
          <cell r="I457"/>
          <cell r="J457"/>
          <cell r="K457">
            <v>5423</v>
          </cell>
          <cell r="L457"/>
          <cell r="M457"/>
          <cell r="N457">
            <v>5423</v>
          </cell>
          <cell r="O457"/>
          <cell r="P457"/>
          <cell r="Q457">
            <v>5423</v>
          </cell>
          <cell r="R457"/>
          <cell r="S457"/>
          <cell r="T457">
            <v>5423</v>
          </cell>
          <cell r="U457"/>
          <cell r="V457"/>
          <cell r="W457">
            <v>5423</v>
          </cell>
          <cell r="X457"/>
          <cell r="Y457"/>
          <cell r="Z457">
            <v>5423</v>
          </cell>
          <cell r="AA457"/>
          <cell r="AB457"/>
          <cell r="AC457">
            <v>115111.63</v>
          </cell>
          <cell r="AD457"/>
          <cell r="AE457"/>
          <cell r="AF457">
            <v>5423</v>
          </cell>
          <cell r="AG457"/>
          <cell r="AH457"/>
          <cell r="AI457">
            <v>5423</v>
          </cell>
          <cell r="AJ457"/>
          <cell r="AK457"/>
          <cell r="AL457">
            <v>5423</v>
          </cell>
          <cell r="AM457"/>
          <cell r="AN457"/>
          <cell r="AO457">
            <v>5423</v>
          </cell>
        </row>
        <row r="458">
          <cell r="A458" t="str">
            <v>Taxes d`affaires</v>
          </cell>
          <cell r="C458"/>
          <cell r="D458"/>
          <cell r="E458">
            <v>45908</v>
          </cell>
          <cell r="F458"/>
          <cell r="G458"/>
          <cell r="H458">
            <v>3609</v>
          </cell>
          <cell r="I458"/>
          <cell r="J458"/>
          <cell r="K458">
            <v>4909</v>
          </cell>
          <cell r="L458"/>
          <cell r="M458"/>
          <cell r="N458">
            <v>4909</v>
          </cell>
          <cell r="O458"/>
          <cell r="P458"/>
          <cell r="Q458">
            <v>3609</v>
          </cell>
          <cell r="R458"/>
          <cell r="S458"/>
          <cell r="T458">
            <v>3609</v>
          </cell>
          <cell r="U458"/>
          <cell r="V458"/>
          <cell r="W458">
            <v>3609</v>
          </cell>
          <cell r="X458"/>
          <cell r="Y458"/>
          <cell r="Z458">
            <v>3609</v>
          </cell>
          <cell r="AA458"/>
          <cell r="AB458"/>
          <cell r="AC458">
            <v>3609</v>
          </cell>
          <cell r="AD458"/>
          <cell r="AE458"/>
          <cell r="AF458">
            <v>3609</v>
          </cell>
          <cell r="AG458"/>
          <cell r="AH458"/>
          <cell r="AI458">
            <v>3609</v>
          </cell>
          <cell r="AJ458"/>
          <cell r="AK458"/>
          <cell r="AL458">
            <v>3609</v>
          </cell>
          <cell r="AM458"/>
          <cell r="AN458"/>
          <cell r="AO458">
            <v>3609</v>
          </cell>
        </row>
        <row r="459">
          <cell r="A459" t="str">
            <v>Taxe sur le capital</v>
          </cell>
          <cell r="C459"/>
          <cell r="D459"/>
          <cell r="E459">
            <v>0</v>
          </cell>
          <cell r="F459"/>
          <cell r="G459"/>
          <cell r="H459">
            <v>0</v>
          </cell>
          <cell r="I459"/>
          <cell r="J459"/>
          <cell r="K459">
            <v>0</v>
          </cell>
          <cell r="L459"/>
          <cell r="M459"/>
          <cell r="N459">
            <v>0</v>
          </cell>
          <cell r="O459"/>
          <cell r="P459"/>
          <cell r="Q459">
            <v>0</v>
          </cell>
          <cell r="R459"/>
          <cell r="S459"/>
          <cell r="T459">
            <v>0</v>
          </cell>
          <cell r="U459"/>
          <cell r="V459"/>
          <cell r="W459">
            <v>0</v>
          </cell>
          <cell r="X459"/>
          <cell r="Y459"/>
          <cell r="Z459">
            <v>0</v>
          </cell>
          <cell r="AA459"/>
          <cell r="AB459"/>
          <cell r="AC459">
            <v>0</v>
          </cell>
          <cell r="AD459"/>
          <cell r="AE459"/>
          <cell r="AF459">
            <v>0</v>
          </cell>
          <cell r="AG459"/>
          <cell r="AH459"/>
          <cell r="AI459">
            <v>0</v>
          </cell>
          <cell r="AJ459"/>
          <cell r="AK459"/>
          <cell r="AL459">
            <v>0</v>
          </cell>
          <cell r="AM459"/>
          <cell r="AN459"/>
          <cell r="AO459">
            <v>0</v>
          </cell>
        </row>
        <row r="460">
          <cell r="A460" t="str">
            <v>Assurances</v>
          </cell>
          <cell r="C460"/>
          <cell r="D460"/>
          <cell r="E460">
            <v>52131</v>
          </cell>
          <cell r="F460"/>
          <cell r="G460"/>
          <cell r="H460">
            <v>4344.25</v>
          </cell>
          <cell r="I460"/>
          <cell r="J460"/>
          <cell r="K460">
            <v>4344.25</v>
          </cell>
          <cell r="L460"/>
          <cell r="M460"/>
          <cell r="N460">
            <v>4344.25</v>
          </cell>
          <cell r="O460"/>
          <cell r="P460"/>
          <cell r="Q460">
            <v>4344.25</v>
          </cell>
          <cell r="R460"/>
          <cell r="S460"/>
          <cell r="T460">
            <v>4344.25</v>
          </cell>
          <cell r="U460"/>
          <cell r="V460"/>
          <cell r="W460">
            <v>4344.25</v>
          </cell>
          <cell r="X460"/>
          <cell r="Y460"/>
          <cell r="Z460">
            <v>4344.25</v>
          </cell>
          <cell r="AA460"/>
          <cell r="AB460"/>
          <cell r="AC460">
            <v>4344.25</v>
          </cell>
          <cell r="AD460"/>
          <cell r="AE460"/>
          <cell r="AF460">
            <v>4344.25</v>
          </cell>
          <cell r="AG460"/>
          <cell r="AH460"/>
          <cell r="AI460">
            <v>4344.25</v>
          </cell>
          <cell r="AJ460"/>
          <cell r="AK460"/>
          <cell r="AL460">
            <v>4344.25</v>
          </cell>
          <cell r="AM460"/>
          <cell r="AN460"/>
          <cell r="AO460">
            <v>4344.25</v>
          </cell>
        </row>
        <row r="461">
          <cell r="A461" t="str">
            <v>Chauffage, éclairage</v>
          </cell>
          <cell r="C461"/>
          <cell r="D461"/>
          <cell r="E461">
            <v>80669.299999999988</v>
          </cell>
          <cell r="F461"/>
          <cell r="G461"/>
          <cell r="H461">
            <v>10274.790000000001</v>
          </cell>
          <cell r="I461"/>
          <cell r="J461"/>
          <cell r="K461">
            <v>8639.25</v>
          </cell>
          <cell r="L461"/>
          <cell r="M461"/>
          <cell r="N461">
            <v>7750.01</v>
          </cell>
          <cell r="O461"/>
          <cell r="P461"/>
          <cell r="Q461">
            <v>5719.9699999999903</v>
          </cell>
          <cell r="R461"/>
          <cell r="S461"/>
          <cell r="T461">
            <v>5868.07</v>
          </cell>
          <cell r="U461"/>
          <cell r="V461"/>
          <cell r="W461">
            <v>4379.12</v>
          </cell>
          <cell r="X461"/>
          <cell r="Y461"/>
          <cell r="Z461">
            <v>4921.3999999999996</v>
          </cell>
          <cell r="AA461"/>
          <cell r="AB461"/>
          <cell r="AC461">
            <v>4884.34</v>
          </cell>
          <cell r="AD461"/>
          <cell r="AE461"/>
          <cell r="AF461">
            <v>5126.26</v>
          </cell>
          <cell r="AG461"/>
          <cell r="AH461"/>
          <cell r="AI461">
            <v>9576.2099999999991</v>
          </cell>
          <cell r="AJ461"/>
          <cell r="AK461"/>
          <cell r="AL461">
            <v>6260.74</v>
          </cell>
          <cell r="AM461"/>
          <cell r="AN461"/>
          <cell r="AO461">
            <v>7269.1399999999903</v>
          </cell>
        </row>
        <row r="462">
          <cell r="A462" t="str">
            <v>Honoraires</v>
          </cell>
          <cell r="C462"/>
          <cell r="D462"/>
          <cell r="E462">
            <v>87317.969999999943</v>
          </cell>
          <cell r="F462"/>
          <cell r="G462"/>
          <cell r="H462">
            <v>7323.95</v>
          </cell>
          <cell r="I462"/>
          <cell r="J462"/>
          <cell r="K462">
            <v>6940.67</v>
          </cell>
          <cell r="L462"/>
          <cell r="M462"/>
          <cell r="N462">
            <v>6423.3299999999899</v>
          </cell>
          <cell r="O462"/>
          <cell r="P462"/>
          <cell r="Q462">
            <v>6423.3299999999899</v>
          </cell>
          <cell r="R462"/>
          <cell r="S462"/>
          <cell r="T462">
            <v>7014.57</v>
          </cell>
          <cell r="U462"/>
          <cell r="V462"/>
          <cell r="W462">
            <v>7310.21</v>
          </cell>
          <cell r="X462"/>
          <cell r="Y462"/>
          <cell r="Z462">
            <v>10733.28</v>
          </cell>
          <cell r="AA462"/>
          <cell r="AB462"/>
          <cell r="AC462">
            <v>6642.33</v>
          </cell>
          <cell r="AD462"/>
          <cell r="AE462"/>
          <cell r="AF462">
            <v>6423.3299999999899</v>
          </cell>
          <cell r="AG462"/>
          <cell r="AH462"/>
          <cell r="AI462">
            <v>6423.3299999999899</v>
          </cell>
          <cell r="AJ462"/>
          <cell r="AK462"/>
          <cell r="AL462">
            <v>9236.31</v>
          </cell>
          <cell r="AM462"/>
          <cell r="AN462"/>
          <cell r="AO462">
            <v>6423.3299999999899</v>
          </cell>
        </row>
        <row r="463">
          <cell r="A463" t="str">
            <v>Réparation équipement</v>
          </cell>
          <cell r="C463"/>
          <cell r="D463"/>
          <cell r="E463">
            <v>6940.2999999999993</v>
          </cell>
          <cell r="F463"/>
          <cell r="G463"/>
          <cell r="H463">
            <v>0</v>
          </cell>
          <cell r="I463"/>
          <cell r="J463"/>
          <cell r="K463">
            <v>486.24</v>
          </cell>
          <cell r="L463"/>
          <cell r="M463"/>
          <cell r="N463">
            <v>1668.09</v>
          </cell>
          <cell r="O463"/>
          <cell r="P463"/>
          <cell r="Q463">
            <v>74.7</v>
          </cell>
          <cell r="R463"/>
          <cell r="S463"/>
          <cell r="T463">
            <v>1660.02</v>
          </cell>
          <cell r="U463"/>
          <cell r="V463"/>
          <cell r="W463">
            <v>979.94</v>
          </cell>
          <cell r="X463"/>
          <cell r="Y463"/>
          <cell r="Z463">
            <v>764.9</v>
          </cell>
          <cell r="AA463"/>
          <cell r="AB463"/>
          <cell r="AC463">
            <v>27.4</v>
          </cell>
          <cell r="AD463"/>
          <cell r="AE463"/>
          <cell r="AF463">
            <v>342.85</v>
          </cell>
          <cell r="AG463"/>
          <cell r="AH463"/>
          <cell r="AI463">
            <v>265</v>
          </cell>
          <cell r="AJ463"/>
          <cell r="AK463"/>
          <cell r="AL463">
            <v>502.05</v>
          </cell>
          <cell r="AM463"/>
          <cell r="AN463"/>
          <cell r="AO463">
            <v>169.11</v>
          </cell>
        </row>
        <row r="464">
          <cell r="A464" t="str">
            <v>Location équipement</v>
          </cell>
          <cell r="C464"/>
          <cell r="D464"/>
          <cell r="E464">
            <v>11988.230000000003</v>
          </cell>
          <cell r="F464"/>
          <cell r="G464"/>
          <cell r="H464">
            <v>1566.26</v>
          </cell>
          <cell r="I464"/>
          <cell r="J464"/>
          <cell r="K464">
            <v>805.57</v>
          </cell>
          <cell r="L464"/>
          <cell r="M464"/>
          <cell r="N464">
            <v>868.6</v>
          </cell>
          <cell r="O464"/>
          <cell r="P464"/>
          <cell r="Q464">
            <v>862.14</v>
          </cell>
          <cell r="R464"/>
          <cell r="S464"/>
          <cell r="T464">
            <v>843.96</v>
          </cell>
          <cell r="U464"/>
          <cell r="V464"/>
          <cell r="W464">
            <v>843.96</v>
          </cell>
          <cell r="X464"/>
          <cell r="Y464"/>
          <cell r="Z464">
            <v>1794.64</v>
          </cell>
          <cell r="AA464"/>
          <cell r="AB464"/>
          <cell r="AC464">
            <v>1276</v>
          </cell>
          <cell r="AD464"/>
          <cell r="AE464"/>
          <cell r="AF464">
            <v>907.04</v>
          </cell>
          <cell r="AG464"/>
          <cell r="AH464"/>
          <cell r="AI464">
            <v>1242.0999999999999</v>
          </cell>
          <cell r="AJ464"/>
          <cell r="AK464"/>
          <cell r="AL464">
            <v>977.96</v>
          </cell>
          <cell r="AM464"/>
          <cell r="AN464"/>
          <cell r="AO464">
            <v>0</v>
          </cell>
        </row>
        <row r="465">
          <cell r="A465" t="str">
            <v>Dons</v>
          </cell>
          <cell r="C465"/>
          <cell r="D465"/>
          <cell r="E465">
            <v>0</v>
          </cell>
          <cell r="F465"/>
          <cell r="G465"/>
          <cell r="H465">
            <v>0</v>
          </cell>
          <cell r="I465"/>
          <cell r="J465"/>
          <cell r="K465">
            <v>0</v>
          </cell>
          <cell r="L465"/>
          <cell r="M465"/>
          <cell r="N465">
            <v>0</v>
          </cell>
          <cell r="O465"/>
          <cell r="P465"/>
          <cell r="Q465">
            <v>0</v>
          </cell>
          <cell r="R465"/>
          <cell r="S465"/>
          <cell r="T465">
            <v>0</v>
          </cell>
          <cell r="U465"/>
          <cell r="V465"/>
          <cell r="W465">
            <v>0</v>
          </cell>
          <cell r="X465"/>
          <cell r="Y465"/>
          <cell r="Z465">
            <v>0</v>
          </cell>
          <cell r="AA465"/>
          <cell r="AB465"/>
          <cell r="AC465">
            <v>0</v>
          </cell>
          <cell r="AD465"/>
          <cell r="AE465"/>
          <cell r="AF465">
            <v>0</v>
          </cell>
          <cell r="AG465"/>
          <cell r="AH465"/>
          <cell r="AI465">
            <v>0</v>
          </cell>
          <cell r="AJ465"/>
          <cell r="AK465"/>
          <cell r="AL465">
            <v>0</v>
          </cell>
          <cell r="AM465"/>
          <cell r="AN465"/>
          <cell r="AO465">
            <v>0</v>
          </cell>
        </row>
        <row r="466">
          <cell r="A466" t="str">
            <v>[...]</v>
          </cell>
          <cell r="C466"/>
          <cell r="D466"/>
          <cell r="E466"/>
          <cell r="F466"/>
          <cell r="G466"/>
          <cell r="H466"/>
          <cell r="I466"/>
          <cell r="J466"/>
          <cell r="K466"/>
          <cell r="L466"/>
          <cell r="M466"/>
          <cell r="N466"/>
          <cell r="O466"/>
          <cell r="P466"/>
          <cell r="Q466"/>
          <cell r="R466"/>
          <cell r="S466"/>
          <cell r="T466"/>
          <cell r="U466"/>
          <cell r="V466"/>
          <cell r="W466"/>
          <cell r="X466"/>
          <cell r="Y466"/>
          <cell r="Z466"/>
          <cell r="AA466"/>
          <cell r="AB466"/>
          <cell r="AC466"/>
          <cell r="AD466"/>
          <cell r="AE466"/>
          <cell r="AF466"/>
          <cell r="AG466"/>
          <cell r="AH466"/>
          <cell r="AI466"/>
          <cell r="AJ466"/>
          <cell r="AK466"/>
          <cell r="AL466"/>
          <cell r="AM466"/>
          <cell r="AN466"/>
          <cell r="AO466"/>
        </row>
        <row r="467">
          <cell r="A467" t="str">
            <v>[...]</v>
          </cell>
          <cell r="C467"/>
          <cell r="D467"/>
          <cell r="E467"/>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v>
          </cell>
          <cell r="C468"/>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cell r="AD468"/>
          <cell r="AE468"/>
          <cell r="AF468"/>
          <cell r="AG468"/>
          <cell r="AH468"/>
          <cell r="AI468"/>
          <cell r="AJ468"/>
          <cell r="AK468"/>
          <cell r="AL468"/>
          <cell r="AM468"/>
          <cell r="AN468"/>
          <cell r="AO468"/>
        </row>
        <row r="469">
          <cell r="A469" t="str">
            <v>TOTAL DÉPENSES FIXES</v>
          </cell>
          <cell r="C469">
            <v>0.10598641039665294</v>
          </cell>
          <cell r="D469"/>
          <cell r="E469">
            <v>881719.42999999993</v>
          </cell>
          <cell r="F469"/>
          <cell r="G469"/>
          <cell r="H469">
            <v>68541.25</v>
          </cell>
          <cell r="I469"/>
          <cell r="J469"/>
          <cell r="K469">
            <v>67547.98000000001</v>
          </cell>
          <cell r="L469"/>
          <cell r="M469"/>
          <cell r="N469">
            <v>67386.28</v>
          </cell>
          <cell r="O469"/>
          <cell r="P469"/>
          <cell r="Q469">
            <v>62456.38999999997</v>
          </cell>
          <cell r="R469"/>
          <cell r="S469"/>
          <cell r="T469">
            <v>64762.869999999995</v>
          </cell>
          <cell r="U469"/>
          <cell r="V469"/>
          <cell r="W469">
            <v>62889.48</v>
          </cell>
          <cell r="X469"/>
          <cell r="Y469"/>
          <cell r="Z469">
            <v>67590.47</v>
          </cell>
          <cell r="AA469"/>
          <cell r="AB469"/>
          <cell r="AC469">
            <v>171894.94999999998</v>
          </cell>
          <cell r="AD469"/>
          <cell r="AE469"/>
          <cell r="AF469">
            <v>62175.729999999989</v>
          </cell>
          <cell r="AG469"/>
          <cell r="AH469"/>
          <cell r="AI469">
            <v>66882.889999999985</v>
          </cell>
          <cell r="AJ469"/>
          <cell r="AK469"/>
          <cell r="AL469">
            <v>66353.31</v>
          </cell>
          <cell r="AM469"/>
          <cell r="AN469"/>
          <cell r="AO469">
            <v>53237.82999999998</v>
          </cell>
        </row>
        <row r="470">
          <cell r="A470">
            <v>0</v>
          </cell>
          <cell r="C470"/>
          <cell r="D470"/>
          <cell r="E470">
            <v>312762.95999999996</v>
          </cell>
          <cell r="F470"/>
          <cell r="G470"/>
          <cell r="H470"/>
          <cell r="I470"/>
          <cell r="J470"/>
          <cell r="K470"/>
          <cell r="L470"/>
          <cell r="M470"/>
          <cell r="N470"/>
          <cell r="O470"/>
          <cell r="P470"/>
          <cell r="Q470"/>
          <cell r="R470"/>
          <cell r="S470"/>
          <cell r="T470"/>
          <cell r="U470"/>
          <cell r="V470"/>
          <cell r="W470"/>
          <cell r="X470"/>
          <cell r="Y470"/>
          <cell r="Z470"/>
          <cell r="AA470"/>
          <cell r="AB470"/>
          <cell r="AC470"/>
          <cell r="AD470"/>
          <cell r="AE470"/>
          <cell r="AF470"/>
          <cell r="AG470"/>
          <cell r="AH470"/>
          <cell r="AI470"/>
          <cell r="AJ470"/>
          <cell r="AK470"/>
          <cell r="AL470"/>
          <cell r="AM470"/>
          <cell r="AN470"/>
          <cell r="AO470"/>
        </row>
        <row r="471">
          <cell r="A471" t="str">
            <v>TOTAL DES DÉPENSES</v>
          </cell>
          <cell r="C471">
            <v>0.92819381074207064</v>
          </cell>
          <cell r="D471"/>
          <cell r="E471">
            <v>7721806.1699999962</v>
          </cell>
          <cell r="F471"/>
          <cell r="G471"/>
          <cell r="H471">
            <v>659442.25</v>
          </cell>
          <cell r="I471"/>
          <cell r="J471"/>
          <cell r="K471">
            <v>538425.66</v>
          </cell>
          <cell r="L471"/>
          <cell r="M471"/>
          <cell r="N471">
            <v>636037.81000000006</v>
          </cell>
          <cell r="O471"/>
          <cell r="P471"/>
          <cell r="Q471">
            <v>657631.79</v>
          </cell>
          <cell r="R471"/>
          <cell r="S471"/>
          <cell r="T471">
            <v>723776.25</v>
          </cell>
          <cell r="U471"/>
          <cell r="V471"/>
          <cell r="W471">
            <v>600757.31000000006</v>
          </cell>
          <cell r="X471"/>
          <cell r="Y471"/>
          <cell r="Z471">
            <v>645371.01999999897</v>
          </cell>
          <cell r="AA471"/>
          <cell r="AB471"/>
          <cell r="AC471">
            <v>728073.34</v>
          </cell>
          <cell r="AD471"/>
          <cell r="AE471"/>
          <cell r="AF471">
            <v>597034.27</v>
          </cell>
          <cell r="AG471"/>
          <cell r="AH471"/>
          <cell r="AI471">
            <v>698936.78</v>
          </cell>
          <cell r="AJ471"/>
          <cell r="AK471"/>
          <cell r="AL471">
            <v>694349.22</v>
          </cell>
          <cell r="AM471"/>
          <cell r="AN471"/>
          <cell r="AO471">
            <v>541970.47</v>
          </cell>
        </row>
        <row r="472">
          <cell r="A472" t="str">
            <v>Revenus autres</v>
          </cell>
          <cell r="C472"/>
          <cell r="D472"/>
          <cell r="E472">
            <v>173303.31</v>
          </cell>
          <cell r="F472"/>
          <cell r="G472"/>
          <cell r="H472">
            <v>1410.6</v>
          </cell>
          <cell r="I472"/>
          <cell r="J472"/>
          <cell r="K472">
            <v>26653.53</v>
          </cell>
          <cell r="L472"/>
          <cell r="M472"/>
          <cell r="N472">
            <v>42727.95</v>
          </cell>
          <cell r="O472"/>
          <cell r="P472"/>
          <cell r="Q472">
            <v>1302.69</v>
          </cell>
          <cell r="R472"/>
          <cell r="S472"/>
          <cell r="T472">
            <v>7299.74</v>
          </cell>
          <cell r="U472"/>
          <cell r="V472"/>
          <cell r="W472">
            <v>22949.040000000001</v>
          </cell>
          <cell r="X472"/>
          <cell r="Y472"/>
          <cell r="Z472">
            <v>67.010000000000005</v>
          </cell>
          <cell r="AA472"/>
          <cell r="AB472"/>
          <cell r="AC472">
            <v>16998.62</v>
          </cell>
          <cell r="AD472"/>
          <cell r="AE472"/>
          <cell r="AF472">
            <v>1981.43</v>
          </cell>
          <cell r="AG472"/>
          <cell r="AH472"/>
          <cell r="AI472">
            <v>24843.37</v>
          </cell>
          <cell r="AJ472"/>
          <cell r="AK472"/>
          <cell r="AL472">
            <v>10017.57</v>
          </cell>
          <cell r="AM472"/>
          <cell r="AN472"/>
          <cell r="AO472">
            <v>17051.759999999998</v>
          </cell>
        </row>
        <row r="473">
          <cell r="A473" t="str">
            <v>Holdbacks</v>
          </cell>
          <cell r="C473"/>
          <cell r="D473"/>
          <cell r="E473">
            <v>890720.4</v>
          </cell>
          <cell r="F473"/>
          <cell r="G473"/>
          <cell r="H473">
            <v>82565</v>
          </cell>
          <cell r="I473"/>
          <cell r="J473"/>
          <cell r="K473">
            <v>47635</v>
          </cell>
          <cell r="L473"/>
          <cell r="M473"/>
          <cell r="N473">
            <v>69794</v>
          </cell>
          <cell r="O473"/>
          <cell r="P473"/>
          <cell r="Q473">
            <v>77555</v>
          </cell>
          <cell r="R473"/>
          <cell r="S473"/>
          <cell r="T473">
            <v>69529</v>
          </cell>
          <cell r="U473"/>
          <cell r="V473"/>
          <cell r="W473">
            <v>61215.55</v>
          </cell>
          <cell r="X473"/>
          <cell r="Y473"/>
          <cell r="Z473">
            <v>94826.85</v>
          </cell>
          <cell r="AA473"/>
          <cell r="AB473"/>
          <cell r="AC473">
            <v>80559</v>
          </cell>
          <cell r="AD473"/>
          <cell r="AE473"/>
          <cell r="AF473">
            <v>77496</v>
          </cell>
          <cell r="AG473"/>
          <cell r="AH473"/>
          <cell r="AI473">
            <v>76838</v>
          </cell>
          <cell r="AJ473"/>
          <cell r="AK473"/>
          <cell r="AL473">
            <v>95331</v>
          </cell>
          <cell r="AM473"/>
          <cell r="AN473"/>
          <cell r="AO473">
            <v>57376</v>
          </cell>
        </row>
        <row r="474">
          <cell r="A474" t="str">
            <v>Programme neuf 1</v>
          </cell>
          <cell r="C474"/>
          <cell r="D474"/>
          <cell r="E474">
            <v>88064.2</v>
          </cell>
          <cell r="F474"/>
          <cell r="G474"/>
          <cell r="H474">
            <v>0</v>
          </cell>
          <cell r="I474"/>
          <cell r="J474"/>
          <cell r="K474">
            <v>0</v>
          </cell>
          <cell r="L474"/>
          <cell r="M474"/>
          <cell r="N474">
            <v>0</v>
          </cell>
          <cell r="O474"/>
          <cell r="P474"/>
          <cell r="Q474">
            <v>0</v>
          </cell>
          <cell r="R474"/>
          <cell r="S474"/>
          <cell r="T474">
            <v>0</v>
          </cell>
          <cell r="U474"/>
          <cell r="V474"/>
          <cell r="W474">
            <v>12000</v>
          </cell>
          <cell r="X474"/>
          <cell r="Y474"/>
          <cell r="Z474">
            <v>0</v>
          </cell>
          <cell r="AA474"/>
          <cell r="AB474"/>
          <cell r="AC474">
            <v>19414.2</v>
          </cell>
          <cell r="AD474"/>
          <cell r="AE474"/>
          <cell r="AF474">
            <v>0</v>
          </cell>
          <cell r="AG474"/>
          <cell r="AH474"/>
          <cell r="AI474">
            <v>45250</v>
          </cell>
          <cell r="AJ474"/>
          <cell r="AK474"/>
          <cell r="AL474">
            <v>0</v>
          </cell>
          <cell r="AM474"/>
          <cell r="AN474"/>
          <cell r="AO474">
            <v>11400</v>
          </cell>
        </row>
        <row r="475">
          <cell r="A475" t="str">
            <v>Programme neuf 2</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Programme neuf 3</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Programme used 1</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Programme used 2</v>
          </cell>
          <cell r="C478"/>
          <cell r="D478"/>
          <cell r="E478">
            <v>0</v>
          </cell>
          <cell r="F478"/>
          <cell r="G478"/>
          <cell r="H478">
            <v>0</v>
          </cell>
          <cell r="I478"/>
          <cell r="J478"/>
          <cell r="K478">
            <v>0</v>
          </cell>
          <cell r="L478"/>
          <cell r="M478"/>
          <cell r="N478">
            <v>0</v>
          </cell>
          <cell r="O478"/>
          <cell r="P478"/>
          <cell r="Q478">
            <v>0</v>
          </cell>
          <cell r="R478"/>
          <cell r="S478"/>
          <cell r="T478">
            <v>0</v>
          </cell>
          <cell r="U478"/>
          <cell r="V478"/>
          <cell r="W478">
            <v>0</v>
          </cell>
          <cell r="X478"/>
          <cell r="Y478"/>
          <cell r="Z478">
            <v>0</v>
          </cell>
          <cell r="AA478"/>
          <cell r="AB478"/>
          <cell r="AC478">
            <v>0</v>
          </cell>
          <cell r="AD478"/>
          <cell r="AE478"/>
          <cell r="AF478">
            <v>0</v>
          </cell>
          <cell r="AG478"/>
          <cell r="AH478"/>
          <cell r="AI478">
            <v>0</v>
          </cell>
          <cell r="AJ478"/>
          <cell r="AK478"/>
          <cell r="AL478">
            <v>0</v>
          </cell>
          <cell r="AM478"/>
          <cell r="AN478"/>
          <cell r="AO478">
            <v>0</v>
          </cell>
        </row>
        <row r="479">
          <cell r="A479" t="str">
            <v>Programme used 3</v>
          </cell>
          <cell r="C479"/>
          <cell r="D479"/>
          <cell r="E479">
            <v>0</v>
          </cell>
          <cell r="F479"/>
          <cell r="G479"/>
          <cell r="H479">
            <v>0</v>
          </cell>
          <cell r="I479"/>
          <cell r="J479"/>
          <cell r="K479">
            <v>0</v>
          </cell>
          <cell r="L479"/>
          <cell r="M479"/>
          <cell r="N479">
            <v>0</v>
          </cell>
          <cell r="O479"/>
          <cell r="P479"/>
          <cell r="Q479">
            <v>0</v>
          </cell>
          <cell r="R479"/>
          <cell r="S479"/>
          <cell r="T479">
            <v>0</v>
          </cell>
          <cell r="U479"/>
          <cell r="V479"/>
          <cell r="W479">
            <v>0</v>
          </cell>
          <cell r="X479"/>
          <cell r="Y479"/>
          <cell r="Z479">
            <v>0</v>
          </cell>
          <cell r="AA479"/>
          <cell r="AB479"/>
          <cell r="AC479">
            <v>0</v>
          </cell>
          <cell r="AD479"/>
          <cell r="AE479"/>
          <cell r="AF479">
            <v>0</v>
          </cell>
          <cell r="AG479"/>
          <cell r="AH479"/>
          <cell r="AI479">
            <v>0</v>
          </cell>
          <cell r="AJ479"/>
          <cell r="AK479"/>
          <cell r="AL479">
            <v>0</v>
          </cell>
          <cell r="AM479"/>
          <cell r="AN479"/>
          <cell r="AO479">
            <v>0</v>
          </cell>
        </row>
        <row r="480">
          <cell r="A480" t="str">
            <v>[...]</v>
          </cell>
          <cell r="C480"/>
          <cell r="D480"/>
          <cell r="E480">
            <v>0</v>
          </cell>
          <cell r="F480"/>
          <cell r="G480"/>
          <cell r="H480">
            <v>0</v>
          </cell>
          <cell r="I480"/>
          <cell r="J480"/>
          <cell r="K480">
            <v>0</v>
          </cell>
          <cell r="L480"/>
          <cell r="M480"/>
          <cell r="N480">
            <v>0</v>
          </cell>
          <cell r="O480"/>
          <cell r="P480"/>
          <cell r="Q480">
            <v>0</v>
          </cell>
          <cell r="R480"/>
          <cell r="S480"/>
          <cell r="T480">
            <v>0</v>
          </cell>
          <cell r="U480"/>
          <cell r="V480"/>
          <cell r="W480">
            <v>0</v>
          </cell>
          <cell r="X480"/>
          <cell r="Y480"/>
          <cell r="Z480">
            <v>0</v>
          </cell>
          <cell r="AA480"/>
          <cell r="AB480"/>
          <cell r="AC480">
            <v>0</v>
          </cell>
          <cell r="AD480"/>
          <cell r="AE480"/>
          <cell r="AF480">
            <v>0</v>
          </cell>
          <cell r="AG480"/>
          <cell r="AH480"/>
          <cell r="AI480">
            <v>0</v>
          </cell>
          <cell r="AJ480"/>
          <cell r="AK480"/>
          <cell r="AL480">
            <v>0</v>
          </cell>
          <cell r="AM480"/>
          <cell r="AN480"/>
          <cell r="AO480">
            <v>0</v>
          </cell>
        </row>
        <row r="481">
          <cell r="A481" t="str">
            <v>[...]</v>
          </cell>
          <cell r="C481"/>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cell r="AD481"/>
          <cell r="AE481"/>
          <cell r="AF481"/>
          <cell r="AG481"/>
          <cell r="AH481"/>
          <cell r="AI481"/>
          <cell r="AJ481"/>
          <cell r="AK481"/>
          <cell r="AL481"/>
          <cell r="AM481"/>
          <cell r="AN481"/>
          <cell r="AO481"/>
        </row>
        <row r="482">
          <cell r="A482" t="str">
            <v>[...]</v>
          </cell>
          <cell r="C482"/>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t="str">
            <v>Frais administration</v>
          </cell>
          <cell r="C483"/>
          <cell r="D483"/>
          <cell r="E483">
            <v>461577</v>
          </cell>
          <cell r="F483"/>
          <cell r="G483"/>
          <cell r="H483">
            <v>35733</v>
          </cell>
          <cell r="I483"/>
          <cell r="J483"/>
          <cell r="K483">
            <v>24144</v>
          </cell>
          <cell r="L483"/>
          <cell r="M483"/>
          <cell r="N483">
            <v>37728</v>
          </cell>
          <cell r="O483"/>
          <cell r="P483"/>
          <cell r="Q483">
            <v>38946</v>
          </cell>
          <cell r="R483"/>
          <cell r="S483"/>
          <cell r="T483">
            <v>40557</v>
          </cell>
          <cell r="U483"/>
          <cell r="V483"/>
          <cell r="W483">
            <v>37332</v>
          </cell>
          <cell r="X483"/>
          <cell r="Y483"/>
          <cell r="Z483">
            <v>52152</v>
          </cell>
          <cell r="AA483"/>
          <cell r="AB483"/>
          <cell r="AC483">
            <v>46158</v>
          </cell>
          <cell r="AD483"/>
          <cell r="AE483"/>
          <cell r="AF483">
            <v>42711</v>
          </cell>
          <cell r="AG483"/>
          <cell r="AH483"/>
          <cell r="AI483">
            <v>30198</v>
          </cell>
          <cell r="AJ483"/>
          <cell r="AK483"/>
          <cell r="AL483">
            <v>44739</v>
          </cell>
          <cell r="AM483"/>
          <cell r="AN483"/>
          <cell r="AO483">
            <v>31179</v>
          </cell>
        </row>
        <row r="484">
          <cell r="A484" t="str">
            <v>TOTAL AUTRES REVENUS</v>
          </cell>
          <cell r="C484">
            <v>0.19396935756983152</v>
          </cell>
          <cell r="D484"/>
          <cell r="E484">
            <v>1613664.91</v>
          </cell>
          <cell r="F484"/>
          <cell r="G484"/>
          <cell r="H484">
            <v>119708.6</v>
          </cell>
          <cell r="I484"/>
          <cell r="J484"/>
          <cell r="K484">
            <v>98432.53</v>
          </cell>
          <cell r="L484"/>
          <cell r="M484"/>
          <cell r="N484">
            <v>150249.95000000001</v>
          </cell>
          <cell r="O484"/>
          <cell r="P484"/>
          <cell r="Q484">
            <v>117803.69</v>
          </cell>
          <cell r="R484"/>
          <cell r="S484"/>
          <cell r="T484">
            <v>117385.74</v>
          </cell>
          <cell r="U484"/>
          <cell r="V484"/>
          <cell r="W484">
            <v>133496.59</v>
          </cell>
          <cell r="X484"/>
          <cell r="Y484"/>
          <cell r="Z484">
            <v>147045.85999999999</v>
          </cell>
          <cell r="AA484"/>
          <cell r="AB484"/>
          <cell r="AC484">
            <v>163129.82</v>
          </cell>
          <cell r="AD484"/>
          <cell r="AE484"/>
          <cell r="AF484">
            <v>122188.43</v>
          </cell>
          <cell r="AG484"/>
          <cell r="AH484"/>
          <cell r="AI484">
            <v>177129.37</v>
          </cell>
          <cell r="AJ484"/>
          <cell r="AK484"/>
          <cell r="AL484">
            <v>150087.57</v>
          </cell>
          <cell r="AM484"/>
          <cell r="AN484"/>
          <cell r="AO484">
            <v>117006.76</v>
          </cell>
        </row>
        <row r="485">
          <cell r="A485">
            <v>0</v>
          </cell>
          <cell r="C485"/>
          <cell r="D485"/>
          <cell r="E485">
            <v>372401.45999999996</v>
          </cell>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t="str">
            <v>BAIIA OPÉRATIONNEL</v>
          </cell>
          <cell r="C486" t="str">
            <v>%vte</v>
          </cell>
          <cell r="D486">
            <v>3.4780960868952729E-2</v>
          </cell>
          <cell r="E486">
            <v>2211033.1199999964</v>
          </cell>
          <cell r="F486" t="str">
            <v>%vte</v>
          </cell>
          <cell r="G486">
            <v>8.3019356578440343E-3</v>
          </cell>
          <cell r="H486">
            <v>37899.819999998697</v>
          </cell>
          <cell r="I486" t="str">
            <v>%vte</v>
          </cell>
          <cell r="J486">
            <v>1.1754742194385633E-2</v>
          </cell>
          <cell r="K486">
            <v>40773.829999999522</v>
          </cell>
          <cell r="L486" t="str">
            <v>%vte</v>
          </cell>
          <cell r="M486">
            <v>2.6740836424321936E-2</v>
          </cell>
          <cell r="N486">
            <v>121990.76999999938</v>
          </cell>
          <cell r="O486" t="str">
            <v>%vte</v>
          </cell>
          <cell r="P486">
            <v>3.2733410537390935E-2</v>
          </cell>
          <cell r="Q486">
            <v>154988.5099999996</v>
          </cell>
          <cell r="R486" t="str">
            <v>%vte</v>
          </cell>
          <cell r="S486">
            <v>2.713274179403951E-2</v>
          </cell>
          <cell r="T486">
            <v>147383.54999999981</v>
          </cell>
          <cell r="U486" t="str">
            <v>%vte</v>
          </cell>
          <cell r="V486">
            <v>3.8441619363911286E-2</v>
          </cell>
          <cell r="W486">
            <v>179782.38999999946</v>
          </cell>
          <cell r="X486" t="str">
            <v>%vte</v>
          </cell>
          <cell r="Y486">
            <v>4.1371218581874307E-2</v>
          </cell>
          <cell r="Z486">
            <v>279221.77000000048</v>
          </cell>
          <cell r="AA486" t="str">
            <v>%vte</v>
          </cell>
          <cell r="AB486">
            <v>3.507544936874632E-2</v>
          </cell>
          <cell r="AC486">
            <v>215692.75999999937</v>
          </cell>
          <cell r="AD486" t="str">
            <v>%vte</v>
          </cell>
          <cell r="AE486">
            <v>5.147450496360996E-2</v>
          </cell>
          <cell r="AF486">
            <v>298542.91999999975</v>
          </cell>
          <cell r="AG486" t="str">
            <v>%vte</v>
          </cell>
          <cell r="AH486">
            <v>3.6084188134366611E-2</v>
          </cell>
          <cell r="AI486">
            <v>198338.29999999912</v>
          </cell>
          <cell r="AJ486" t="str">
            <v>%vte</v>
          </cell>
          <cell r="AK486">
            <v>4.0618307926277609E-2</v>
          </cell>
          <cell r="AL486">
            <v>300141.6799999986</v>
          </cell>
          <cell r="AM486" t="str">
            <v>%vte</v>
          </cell>
          <cell r="AN486">
            <v>5.1968743050519427E-2</v>
          </cell>
          <cell r="AO486">
            <v>236276.81999999972</v>
          </cell>
        </row>
        <row r="487">
          <cell r="A487"/>
          <cell r="C487"/>
          <cell r="D487"/>
          <cell r="E487">
            <v>2211033.1199999936</v>
          </cell>
          <cell r="F487"/>
          <cell r="G487"/>
          <cell r="H487"/>
          <cell r="I487"/>
          <cell r="J487"/>
          <cell r="K487"/>
          <cell r="L487"/>
          <cell r="M487"/>
          <cell r="N487"/>
          <cell r="O487"/>
          <cell r="P487"/>
          <cell r="Q487"/>
          <cell r="R487"/>
          <cell r="S487"/>
          <cell r="T487"/>
          <cell r="U487"/>
          <cell r="V487"/>
          <cell r="W487"/>
          <cell r="X487"/>
          <cell r="Y487"/>
          <cell r="Z487"/>
          <cell r="AA487"/>
          <cell r="AB487"/>
          <cell r="AC487"/>
          <cell r="AD487"/>
          <cell r="AE487"/>
          <cell r="AF487"/>
          <cell r="AG487"/>
          <cell r="AH487"/>
          <cell r="AI487"/>
          <cell r="AJ487"/>
          <cell r="AK487"/>
          <cell r="AL487"/>
          <cell r="AM487"/>
          <cell r="AN487"/>
          <cell r="AO487"/>
        </row>
        <row r="488">
          <cell r="A488"/>
          <cell r="C488" t="str">
            <v>CALCUL DU PROFIT NET</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cell r="C489"/>
          <cell r="D489"/>
          <cell r="E489"/>
          <cell r="F489"/>
          <cell r="G489"/>
          <cell r="H489"/>
          <cell r="I489"/>
          <cell r="J489"/>
          <cell r="K489"/>
          <cell r="L489"/>
          <cell r="M489"/>
          <cell r="N489"/>
          <cell r="O489"/>
          <cell r="P489"/>
          <cell r="Q489"/>
          <cell r="R489"/>
          <cell r="S489"/>
          <cell r="T489"/>
          <cell r="U489"/>
          <cell r="V489"/>
          <cell r="W489"/>
          <cell r="X489"/>
          <cell r="Y489"/>
          <cell r="Z489"/>
          <cell r="AA489"/>
          <cell r="AB489"/>
          <cell r="AC489"/>
          <cell r="AD489"/>
          <cell r="AE489"/>
          <cell r="AF489"/>
          <cell r="AG489"/>
          <cell r="AH489"/>
          <cell r="AI489"/>
          <cell r="AJ489"/>
          <cell r="AK489"/>
          <cell r="AL489"/>
          <cell r="AM489"/>
          <cell r="AN489"/>
          <cell r="AO489"/>
        </row>
        <row r="490">
          <cell r="A490"/>
          <cell r="C490"/>
          <cell r="D490"/>
          <cell r="E490"/>
          <cell r="F490"/>
          <cell r="G490"/>
          <cell r="H490"/>
          <cell r="I490"/>
          <cell r="J490"/>
          <cell r="K490"/>
          <cell r="L490"/>
          <cell r="M490"/>
          <cell r="N490"/>
          <cell r="O490"/>
          <cell r="P490"/>
          <cell r="Q490"/>
          <cell r="R490"/>
          <cell r="S490"/>
          <cell r="T490"/>
          <cell r="U490"/>
          <cell r="V490"/>
          <cell r="W490"/>
          <cell r="X490"/>
          <cell r="Y490"/>
          <cell r="Z490"/>
          <cell r="AA490"/>
          <cell r="AB490"/>
          <cell r="AC490"/>
          <cell r="AD490"/>
          <cell r="AE490"/>
          <cell r="AF490"/>
          <cell r="AG490"/>
          <cell r="AH490"/>
          <cell r="AI490"/>
          <cell r="AJ490"/>
          <cell r="AK490"/>
          <cell r="AL490"/>
          <cell r="AM490"/>
          <cell r="AN490"/>
          <cell r="AO490"/>
        </row>
        <row r="491">
          <cell r="A491"/>
          <cell r="C491" t="str">
            <v>%vte</v>
          </cell>
          <cell r="D491">
            <v>3.7619686572380372E-2</v>
          </cell>
          <cell r="E491">
            <v>2391491.5199999963</v>
          </cell>
          <cell r="F491" t="str">
            <v>%vte</v>
          </cell>
          <cell r="G491">
            <v>1.4770105210689069E-2</v>
          </cell>
          <cell r="H491">
            <v>67428.169999998703</v>
          </cell>
          <cell r="I491" t="str">
            <v>%vte</v>
          </cell>
          <cell r="J491">
            <v>9.1039869035007496E-3</v>
          </cell>
          <cell r="K491">
            <v>31579.119999999522</v>
          </cell>
          <cell r="L491" t="str">
            <v>%vte</v>
          </cell>
          <cell r="M491">
            <v>3.2458181434072982E-2</v>
          </cell>
          <cell r="N491">
            <v>148073.09999999937</v>
          </cell>
          <cell r="O491" t="str">
            <v>%vte</v>
          </cell>
          <cell r="P491">
            <v>3.2310750751166468E-2</v>
          </cell>
          <cell r="Q491">
            <v>152987.26999999961</v>
          </cell>
          <cell r="R491" t="str">
            <v>%vte</v>
          </cell>
          <cell r="S491">
            <v>3.0268337107613945E-2</v>
          </cell>
          <cell r="T491">
            <v>164415.92999999982</v>
          </cell>
          <cell r="U491" t="str">
            <v>%vte</v>
          </cell>
          <cell r="V491">
            <v>4.232972642781626E-2</v>
          </cell>
          <cell r="W491">
            <v>197966.14999999947</v>
          </cell>
          <cell r="X491" t="str">
            <v>%vte</v>
          </cell>
          <cell r="Y491">
            <v>4.5254527800547083E-2</v>
          </cell>
          <cell r="Z491">
            <v>305430.92000000051</v>
          </cell>
          <cell r="AA491" t="str">
            <v>%vte</v>
          </cell>
          <cell r="AB491">
            <v>3.5665166008242336E-2</v>
          </cell>
          <cell r="AC491">
            <v>219319.15999999936</v>
          </cell>
          <cell r="AD491" t="str">
            <v>%vte</v>
          </cell>
          <cell r="AE491">
            <v>5.2139211673270361E-2</v>
          </cell>
          <cell r="AF491">
            <v>302398.09999999974</v>
          </cell>
          <cell r="AG491" t="str">
            <v>%vte</v>
          </cell>
          <cell r="AH491">
            <v>4.0161452528046274E-2</v>
          </cell>
          <cell r="AI491">
            <v>220749.1599999991</v>
          </cell>
          <cell r="AJ491" t="str">
            <v>%vte</v>
          </cell>
          <cell r="AK491">
            <v>4.4016665230088667E-2</v>
          </cell>
          <cell r="AL491">
            <v>325253.22999999858</v>
          </cell>
          <cell r="AM491" t="str">
            <v>%vte</v>
          </cell>
          <cell r="AN491">
            <v>5.6282899614852222E-2</v>
          </cell>
          <cell r="AO491">
            <v>255891.20999999973</v>
          </cell>
        </row>
        <row r="492">
          <cell r="A492"/>
          <cell r="C492" t="str">
            <v>%vte</v>
          </cell>
          <cell r="D492">
            <v>3.4780960868952729E-2</v>
          </cell>
          <cell r="E492">
            <v>2211033.1199999964</v>
          </cell>
          <cell r="F492" t="str">
            <v>%vte</v>
          </cell>
          <cell r="G492">
            <v>8.3019356578440343E-3</v>
          </cell>
          <cell r="H492">
            <v>37899.819999998697</v>
          </cell>
          <cell r="I492" t="str">
            <v>%vte</v>
          </cell>
          <cell r="J492">
            <v>1.1754742194385633E-2</v>
          </cell>
          <cell r="K492">
            <v>40773.829999999522</v>
          </cell>
          <cell r="L492" t="str">
            <v>%vte</v>
          </cell>
          <cell r="M492">
            <v>2.6740836424321936E-2</v>
          </cell>
          <cell r="N492">
            <v>121990.76999999938</v>
          </cell>
          <cell r="O492" t="str">
            <v>%vte</v>
          </cell>
          <cell r="P492">
            <v>3.2733410537390935E-2</v>
          </cell>
          <cell r="Q492">
            <v>154988.5099999996</v>
          </cell>
          <cell r="R492" t="str">
            <v>%vte</v>
          </cell>
          <cell r="S492">
            <v>2.713274179403951E-2</v>
          </cell>
          <cell r="T492">
            <v>147383.54999999981</v>
          </cell>
          <cell r="U492" t="str">
            <v>%vte</v>
          </cell>
          <cell r="V492">
            <v>3.8441619363911286E-2</v>
          </cell>
          <cell r="W492">
            <v>179782.38999999946</v>
          </cell>
          <cell r="X492" t="str">
            <v>%vte</v>
          </cell>
          <cell r="Y492">
            <v>4.1371218581874307E-2</v>
          </cell>
          <cell r="Z492">
            <v>279221.77000000048</v>
          </cell>
          <cell r="AA492" t="str">
            <v>%vte</v>
          </cell>
          <cell r="AB492">
            <v>3.507544936874632E-2</v>
          </cell>
          <cell r="AC492">
            <v>215692.75999999937</v>
          </cell>
          <cell r="AD492" t="str">
            <v>%vte</v>
          </cell>
          <cell r="AE492">
            <v>5.147450496360996E-2</v>
          </cell>
          <cell r="AF492">
            <v>298542.91999999975</v>
          </cell>
          <cell r="AG492" t="str">
            <v>%vte</v>
          </cell>
          <cell r="AH492">
            <v>3.6084188134366611E-2</v>
          </cell>
          <cell r="AI492">
            <v>198338.29999999912</v>
          </cell>
          <cell r="AJ492" t="str">
            <v>%vte</v>
          </cell>
          <cell r="AK492">
            <v>4.0618307926277609E-2</v>
          </cell>
          <cell r="AL492">
            <v>300141.6799999986</v>
          </cell>
          <cell r="AM492" t="str">
            <v>%vte</v>
          </cell>
          <cell r="AN492">
            <v>5.1968743050519427E-2</v>
          </cell>
          <cell r="AO492">
            <v>236276.81999999972</v>
          </cell>
        </row>
        <row r="493">
          <cell r="A493"/>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Amortissement</v>
          </cell>
          <cell r="C494"/>
          <cell r="D494"/>
          <cell r="E494">
            <v>500171.23</v>
          </cell>
          <cell r="F494"/>
          <cell r="G494"/>
          <cell r="H494">
            <v>42648</v>
          </cell>
          <cell r="I494"/>
          <cell r="J494"/>
          <cell r="K494">
            <v>42648</v>
          </cell>
          <cell r="L494"/>
          <cell r="M494"/>
          <cell r="N494">
            <v>42648</v>
          </cell>
          <cell r="O494"/>
          <cell r="P494"/>
          <cell r="Q494">
            <v>42648</v>
          </cell>
          <cell r="R494"/>
          <cell r="S494"/>
          <cell r="T494">
            <v>42648</v>
          </cell>
          <cell r="U494"/>
          <cell r="V494"/>
          <cell r="W494">
            <v>42648</v>
          </cell>
          <cell r="X494"/>
          <cell r="Y494"/>
          <cell r="Z494">
            <v>42648</v>
          </cell>
          <cell r="AA494"/>
          <cell r="AB494"/>
          <cell r="AC494">
            <v>42648</v>
          </cell>
          <cell r="AD494"/>
          <cell r="AE494"/>
          <cell r="AF494">
            <v>42648</v>
          </cell>
          <cell r="AG494"/>
          <cell r="AH494"/>
          <cell r="AI494">
            <v>42648</v>
          </cell>
          <cell r="AJ494"/>
          <cell r="AK494"/>
          <cell r="AL494">
            <v>42648</v>
          </cell>
          <cell r="AM494"/>
          <cell r="AN494"/>
          <cell r="AO494">
            <v>31043.23</v>
          </cell>
        </row>
        <row r="495">
          <cell r="A495" t="str">
            <v>Intérêts sur marge</v>
          </cell>
          <cell r="C495"/>
          <cell r="D495"/>
          <cell r="E495">
            <v>0</v>
          </cell>
          <cell r="F495"/>
          <cell r="G495"/>
          <cell r="H495">
            <v>0</v>
          </cell>
          <cell r="I495"/>
          <cell r="J495"/>
          <cell r="K495">
            <v>0</v>
          </cell>
          <cell r="L495"/>
          <cell r="M495"/>
          <cell r="N495">
            <v>0</v>
          </cell>
          <cell r="O495"/>
          <cell r="P495"/>
          <cell r="Q495">
            <v>0</v>
          </cell>
          <cell r="R495"/>
          <cell r="S495"/>
          <cell r="T495">
            <v>0</v>
          </cell>
          <cell r="U495"/>
          <cell r="V495"/>
          <cell r="W495">
            <v>0</v>
          </cell>
          <cell r="X495"/>
          <cell r="Y495"/>
          <cell r="Z495">
            <v>0</v>
          </cell>
          <cell r="AA495"/>
          <cell r="AB495"/>
          <cell r="AC495">
            <v>0</v>
          </cell>
          <cell r="AD495"/>
          <cell r="AE495"/>
          <cell r="AF495">
            <v>0</v>
          </cell>
          <cell r="AG495"/>
          <cell r="AH495"/>
          <cell r="AI495">
            <v>0</v>
          </cell>
          <cell r="AJ495"/>
          <cell r="AK495"/>
          <cell r="AL495">
            <v>0</v>
          </cell>
          <cell r="AM495"/>
          <cell r="AN495"/>
          <cell r="AO495">
            <v>0</v>
          </cell>
        </row>
        <row r="496">
          <cell r="A496" t="str">
            <v>Intérêts sur prêt</v>
          </cell>
          <cell r="C496"/>
          <cell r="D496"/>
          <cell r="E496">
            <v>0</v>
          </cell>
          <cell r="F496"/>
          <cell r="G496"/>
          <cell r="H496">
            <v>0</v>
          </cell>
          <cell r="I496"/>
          <cell r="J496"/>
          <cell r="K496">
            <v>0</v>
          </cell>
          <cell r="L496"/>
          <cell r="M496"/>
          <cell r="N496">
            <v>0</v>
          </cell>
          <cell r="O496"/>
          <cell r="P496"/>
          <cell r="Q496">
            <v>0</v>
          </cell>
          <cell r="R496"/>
          <cell r="S496"/>
          <cell r="T496">
            <v>0</v>
          </cell>
          <cell r="U496"/>
          <cell r="V496"/>
          <cell r="W496">
            <v>0</v>
          </cell>
          <cell r="X496"/>
          <cell r="Y496"/>
          <cell r="Z496">
            <v>0</v>
          </cell>
          <cell r="AA496"/>
          <cell r="AB496"/>
          <cell r="AC496">
            <v>0</v>
          </cell>
          <cell r="AD496"/>
          <cell r="AE496"/>
          <cell r="AF496">
            <v>0</v>
          </cell>
          <cell r="AG496"/>
          <cell r="AH496"/>
          <cell r="AI496">
            <v>0</v>
          </cell>
          <cell r="AJ496"/>
          <cell r="AK496"/>
          <cell r="AL496">
            <v>0</v>
          </cell>
          <cell r="AM496"/>
          <cell r="AN496"/>
          <cell r="AO496">
            <v>0</v>
          </cell>
        </row>
        <row r="497">
          <cell r="A497" t="str">
            <v>Intérêts sur avance</v>
          </cell>
          <cell r="C497"/>
          <cell r="D497"/>
          <cell r="E497">
            <v>0</v>
          </cell>
          <cell r="F497"/>
          <cell r="G497"/>
          <cell r="H497">
            <v>0</v>
          </cell>
          <cell r="I497"/>
          <cell r="J497"/>
          <cell r="K497">
            <v>0</v>
          </cell>
          <cell r="L497"/>
          <cell r="M497"/>
          <cell r="N497">
            <v>0</v>
          </cell>
          <cell r="O497"/>
          <cell r="P497"/>
          <cell r="Q497">
            <v>0</v>
          </cell>
          <cell r="R497"/>
          <cell r="S497"/>
          <cell r="T497">
            <v>0</v>
          </cell>
          <cell r="U497"/>
          <cell r="V497"/>
          <cell r="W497">
            <v>0</v>
          </cell>
          <cell r="X497"/>
          <cell r="Y497"/>
          <cell r="Z497">
            <v>0</v>
          </cell>
          <cell r="AA497"/>
          <cell r="AB497"/>
          <cell r="AC497">
            <v>0</v>
          </cell>
          <cell r="AD497"/>
          <cell r="AE497"/>
          <cell r="AF497">
            <v>0</v>
          </cell>
          <cell r="AG497"/>
          <cell r="AH497"/>
          <cell r="AI497">
            <v>0</v>
          </cell>
          <cell r="AJ497"/>
          <cell r="AK497"/>
          <cell r="AL497">
            <v>0</v>
          </cell>
          <cell r="AM497"/>
          <cell r="AN497"/>
          <cell r="AO497">
            <v>0</v>
          </cell>
        </row>
        <row r="498">
          <cell r="A498" t="str">
            <v>Intérêts sur hypothèque</v>
          </cell>
          <cell r="C498"/>
          <cell r="D498"/>
          <cell r="E498">
            <v>0</v>
          </cell>
          <cell r="F498"/>
          <cell r="G498"/>
          <cell r="H498">
            <v>0</v>
          </cell>
          <cell r="I498"/>
          <cell r="J498"/>
          <cell r="K498">
            <v>0</v>
          </cell>
          <cell r="L498"/>
          <cell r="M498"/>
          <cell r="N498">
            <v>0</v>
          </cell>
          <cell r="O498"/>
          <cell r="P498"/>
          <cell r="Q498">
            <v>0</v>
          </cell>
          <cell r="R498"/>
          <cell r="S498"/>
          <cell r="T498">
            <v>0</v>
          </cell>
          <cell r="U498"/>
          <cell r="V498"/>
          <cell r="W498">
            <v>0</v>
          </cell>
          <cell r="X498"/>
          <cell r="Y498"/>
          <cell r="Z498">
            <v>0</v>
          </cell>
          <cell r="AA498"/>
          <cell r="AB498"/>
          <cell r="AC498">
            <v>0</v>
          </cell>
          <cell r="AD498"/>
          <cell r="AE498"/>
          <cell r="AF498">
            <v>0</v>
          </cell>
          <cell r="AG498"/>
          <cell r="AH498"/>
          <cell r="AI498">
            <v>0</v>
          </cell>
          <cell r="AJ498"/>
          <cell r="AK498"/>
          <cell r="AL498">
            <v>0</v>
          </cell>
          <cell r="AM498"/>
          <cell r="AN498"/>
          <cell r="AO498">
            <v>0</v>
          </cell>
        </row>
        <row r="499">
          <cell r="A499" t="str">
            <v>Revenus d'intérêts Floor plan</v>
          </cell>
          <cell r="C499"/>
          <cell r="D499"/>
          <cell r="E499">
            <v>-10790</v>
          </cell>
          <cell r="F499"/>
          <cell r="G499"/>
          <cell r="H499">
            <v>-1079</v>
          </cell>
          <cell r="I499"/>
          <cell r="J499"/>
          <cell r="K499">
            <v>-1079</v>
          </cell>
          <cell r="L499"/>
          <cell r="M499"/>
          <cell r="N499">
            <v>-1079</v>
          </cell>
          <cell r="O499"/>
          <cell r="P499"/>
          <cell r="Q499">
            <v>-1079</v>
          </cell>
          <cell r="R499"/>
          <cell r="S499"/>
          <cell r="T499">
            <v>-1079</v>
          </cell>
          <cell r="U499"/>
          <cell r="V499"/>
          <cell r="W499">
            <v>-1079</v>
          </cell>
          <cell r="X499"/>
          <cell r="Y499"/>
          <cell r="Z499">
            <v>-1079</v>
          </cell>
          <cell r="AA499"/>
          <cell r="AB499"/>
          <cell r="AC499">
            <v>-1079</v>
          </cell>
          <cell r="AD499"/>
          <cell r="AE499"/>
          <cell r="AF499">
            <v>-1079</v>
          </cell>
          <cell r="AG499"/>
          <cell r="AH499"/>
          <cell r="AI499">
            <v>-1079</v>
          </cell>
          <cell r="AJ499"/>
          <cell r="AK499"/>
          <cell r="AL499">
            <v>0</v>
          </cell>
          <cell r="AM499"/>
          <cell r="AN499"/>
          <cell r="AO499">
            <v>0</v>
          </cell>
        </row>
        <row r="500">
          <cell r="A500" t="str">
            <v>[...]</v>
          </cell>
          <cell r="C500"/>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cell r="AD500"/>
          <cell r="AE500"/>
          <cell r="AF500"/>
          <cell r="AG500"/>
          <cell r="AH500"/>
          <cell r="AI500"/>
          <cell r="AJ500"/>
          <cell r="AK500"/>
          <cell r="AL500"/>
          <cell r="AM500"/>
          <cell r="AN500"/>
          <cell r="AO500"/>
        </row>
        <row r="501">
          <cell r="A501"/>
          <cell r="C501" t="str">
            <v>%vte</v>
          </cell>
          <cell r="D501">
            <v>2.7082682061338129E-2</v>
          </cell>
          <cell r="E501">
            <v>1721651.8899999964</v>
          </cell>
          <cell r="F501" t="str">
            <v>%vte</v>
          </cell>
          <cell r="G501">
            <v>3.0090147187851302</v>
          </cell>
          <cell r="H501">
            <v>-3669.1800000013027</v>
          </cell>
          <cell r="I501" t="str">
            <v>%vte</v>
          </cell>
          <cell r="J501">
            <v>3.0090147187851302</v>
          </cell>
          <cell r="K501">
            <v>-795.17000000047847</v>
          </cell>
          <cell r="L501" t="str">
            <v>%vte</v>
          </cell>
          <cell r="M501">
            <v>3.0090147187851302</v>
          </cell>
          <cell r="N501">
            <v>80421.769999999378</v>
          </cell>
          <cell r="O501" t="str">
            <v>%vte</v>
          </cell>
          <cell r="P501">
            <v>3.0090147187851302</v>
          </cell>
          <cell r="Q501">
            <v>113419.5099999996</v>
          </cell>
          <cell r="R501" t="str">
            <v>%vte</v>
          </cell>
          <cell r="S501">
            <v>3.0090147187851302</v>
          </cell>
          <cell r="T501">
            <v>105814.54999999981</v>
          </cell>
          <cell r="U501" t="str">
            <v>%vte</v>
          </cell>
          <cell r="V501">
            <v>3.0090147187851302</v>
          </cell>
          <cell r="W501">
            <v>138213.38999999946</v>
          </cell>
          <cell r="X501" t="str">
            <v>%vte</v>
          </cell>
          <cell r="Y501">
            <v>3.0090147187851302</v>
          </cell>
          <cell r="Z501">
            <v>237652.77000000048</v>
          </cell>
          <cell r="AA501" t="str">
            <v>%vte</v>
          </cell>
          <cell r="AB501">
            <v>3.0090147187851302</v>
          </cell>
          <cell r="AC501">
            <v>174123.75999999937</v>
          </cell>
          <cell r="AD501" t="str">
            <v>%vte</v>
          </cell>
          <cell r="AE501">
            <v>3.0090147187851302</v>
          </cell>
          <cell r="AF501">
            <v>256973.91999999975</v>
          </cell>
          <cell r="AG501" t="str">
            <v>%vte</v>
          </cell>
          <cell r="AH501">
            <v>3.0090147187851302</v>
          </cell>
          <cell r="AI501">
            <v>156769.29999999912</v>
          </cell>
          <cell r="AJ501" t="str">
            <v>%vte</v>
          </cell>
          <cell r="AK501">
            <v>3.0090147187851302</v>
          </cell>
          <cell r="AL501">
            <v>257493.6799999986</v>
          </cell>
          <cell r="AM501" t="str">
            <v>%vte</v>
          </cell>
          <cell r="AN501">
            <v>3.0090147187851302</v>
          </cell>
          <cell r="AO501">
            <v>205233.58999999971</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8" sqref="D28"/>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16</v>
      </c>
      <c r="C3" s="4">
        <f>+VLOOKUP(B3,$K$3:$L$14,2,0)</f>
        <v>7</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X</v>
      </c>
      <c r="N9" s="4" t="str">
        <f t="shared" si="1"/>
        <v>X</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55" workbookViewId="0">
      <selection activeCell="C84" sqref="C83:C8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Juillet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169187.97999999992</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169187.97999999992</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941192.49</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77432.249999999985</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117828</v>
      </c>
      <c r="C10" s="15"/>
      <c r="D10" s="20" t="s">
        <v>33</v>
      </c>
      <c r="E10" s="21">
        <f>-SUMIFS(BV_Data_An_Cour!$P:$P,BV_Data_An_Cour!$U:$U,$A$1,BV_Data_An_Cour!$V:$V,$D10)</f>
        <v>493596.86</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413501.18</v>
      </c>
      <c r="C11" s="15"/>
      <c r="D11" s="20" t="s">
        <v>35</v>
      </c>
      <c r="E11" s="21">
        <f>-SUMIFS(BV_Data_An_Cour!$P:$P,BV_Data_An_Cour!$U:$U,$A$1,BV_Data_An_Cour!$V:$V,$D11)</f>
        <v>196570.41999999995</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110815.24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15558.32</v>
      </c>
      <c r="C13" s="15"/>
      <c r="D13" s="20" t="s">
        <v>39</v>
      </c>
      <c r="E13" s="21">
        <f>-SUMIFS(BV_Data_An_Cour!$P:$P,BV_Data_An_Cour!$U:$U,$A$1,BV_Data_An_Cour!$V:$V,$D13)</f>
        <v>7700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-8055.2000000000007</v>
      </c>
      <c r="C15" s="15"/>
      <c r="D15" s="20" t="s">
        <v>43</v>
      </c>
      <c r="E15" s="21">
        <f>-SUMIFS(BV_Data_An_Cour!$P:$P,BV_Data_An_Cour!$U:$U,$A$1,BV_Data_An_Cour!$V:$V,$D15)</f>
        <v>195785.24</v>
      </c>
      <c r="F15" s="3"/>
      <c r="G15" s="3"/>
      <c r="H15" s="3"/>
      <c r="I15" s="3"/>
      <c r="J15" s="3"/>
      <c r="K15" s="3"/>
      <c r="L15" s="3"/>
      <c r="M15" s="3"/>
      <c r="N15" s="3"/>
      <c r="O15" s="3"/>
      <c r="P15" s="3"/>
      <c r="Q15" s="3"/>
      <c r="R15" s="3"/>
      <c r="S15" s="3"/>
      <c r="T15" s="3"/>
      <c r="U15" s="3"/>
      <c r="V15" s="3"/>
      <c r="W15" s="3"/>
      <c r="X15" s="3"/>
      <c r="Y15" s="3"/>
    </row>
    <row r="16" spans="1:25">
      <c r="A16" s="17" t="s">
        <v>44</v>
      </c>
      <c r="B16" s="18">
        <f>+SUM(B8:B15)</f>
        <v>1668272.28</v>
      </c>
      <c r="C16" s="19"/>
      <c r="D16" s="17" t="s">
        <v>45</v>
      </c>
      <c r="E16" s="18">
        <f>+SUM(E10:E15)</f>
        <v>893652.5199999999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4932307.2799999993</v>
      </c>
      <c r="C18" s="15"/>
      <c r="D18" s="20" t="s">
        <v>47</v>
      </c>
      <c r="E18" s="21">
        <f>-SUMIFS(BV_Data_An_Cour!$P:$P,BV_Data_An_Cour!$U:$U,$A$1,BV_Data_An_Cour!$V:$V,$D18)</f>
        <v>5425474.21</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1190697.02</v>
      </c>
      <c r="C19" s="15"/>
      <c r="D19" s="20" t="s">
        <v>49</v>
      </c>
      <c r="E19" s="21">
        <f>-SUMIFS(BV_Data_An_Cour!$P:$P,BV_Data_An_Cour!$U:$U,$A$1,BV_Data_An_Cour!$V:$V,$D19)</f>
        <v>757839.5</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501529.26</v>
      </c>
      <c r="C20" s="15"/>
      <c r="D20" s="17" t="s">
        <v>51</v>
      </c>
      <c r="E20" s="18">
        <f>+SUM(E18:E19)</f>
        <v>6183313.71</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6624533.5599999987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332167.77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-21559.97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14427.48</v>
      </c>
      <c r="C24" s="15"/>
      <c r="D24" s="20" t="s">
        <v>57</v>
      </c>
      <c r="E24" s="21">
        <f>-SUMIFS(BV_Data_An_Cour!$P:$P,BV_Data_An_Cour!$U:$U,$A$1,BV_Data_An_Cour!$V:$V,$D24)</f>
        <v>147184.95999999999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7458.29</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47980.770000000004</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457792.76</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69866.540000000008</v>
      </c>
      <c r="C30" s="19"/>
      <c r="D30" s="23" t="s">
        <v>63</v>
      </c>
      <c r="E30" s="24">
        <f>+E5+E7+E16+E20+E28</f>
        <v>7534758.9899999993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8531860.3599999975</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28358.370000000006</v>
      </c>
      <c r="C37" s="15"/>
      <c r="D37" s="20" t="s">
        <v>71</v>
      </c>
      <c r="E37" s="21">
        <f>-SUMIFS(BV_Data_An_Cour!$P:$P,BV_Data_An_Cour!$U:$U,$A$1,BV_Data_An_Cour!$V:$V,$D37)</f>
        <v>5672000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268497.39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28979.219999999972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28511.209999999992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5672000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137120.13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491466.31999999995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13206758.989999998</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8958085.9299999997</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-SUMIFS(BV_Data_An_Cour!$P:$P,BV_Data_An_Cour!$U:$U,$A$1,BV_Data_An_Cour!$V:$V,$D50)+Print_AAD!AF499</f>
        <v>353489.11999999901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9449552.25</v>
      </c>
      <c r="C53" s="19"/>
      <c r="D53" s="23" t="s">
        <v>89</v>
      </c>
      <c r="E53" s="24">
        <f>SUM(E48:E51)</f>
        <v>4774653.6199999992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17981412.609999999</v>
      </c>
      <c r="C56" s="19"/>
      <c r="D56" s="23" t="s">
        <v>91</v>
      </c>
      <c r="E56" s="24">
        <f>+E53+E45</f>
        <v>17981412.609999999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2"/>
  <sheetViews>
    <sheetView topLeftCell="A94" zoomScale="80" zoomScaleNormal="80" workbookViewId="0">
      <selection activeCell="H121" sqref="H12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63" t="s">
        <v>3844</v>
      </c>
      <c r="D6" s="1164"/>
      <c r="E6" s="1165"/>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1"/>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2" t="s">
        <v>101</v>
      </c>
      <c r="C16" s="1013">
        <f>+SUM(C9:C15)</f>
        <v>683</v>
      </c>
      <c r="D16" s="1014">
        <f>IF(C16&lt;=0,0,E16/C16)</f>
        <v>2302.6229018010258</v>
      </c>
      <c r="E16" s="1015">
        <f>+SUM(E9:E15)</f>
        <v>1572691.4419301006</v>
      </c>
      <c r="F16" s="1013">
        <f>+SUM(F9:F15)</f>
        <v>45</v>
      </c>
      <c r="G16" s="1014">
        <f>IF(F16&lt;=0,0,H16/F16)</f>
        <v>2302.3263700181542</v>
      </c>
      <c r="H16" s="1015">
        <f>+SUM(H9:H15)</f>
        <v>103604.68665081695</v>
      </c>
      <c r="I16" s="1013">
        <f>+SUM(I9:I15)</f>
        <v>48</v>
      </c>
      <c r="J16" s="1014">
        <f>IF(I16&lt;=0,0,K16/I16)</f>
        <v>2300.5180556636778</v>
      </c>
      <c r="K16" s="1015">
        <f>+SUM(K9:K15)</f>
        <v>110424.86667185654</v>
      </c>
      <c r="L16" s="1013">
        <f>+SUM(L9:L15)</f>
        <v>70</v>
      </c>
      <c r="M16" s="1014">
        <f>IF(L16&lt;=0,0,N16/L16)</f>
        <v>2304.3930149946991</v>
      </c>
      <c r="N16" s="1015">
        <f>+SUM(N9:N15)</f>
        <v>161307.51104962893</v>
      </c>
      <c r="O16" s="1013">
        <f>+SUM(O9:O15)</f>
        <v>72</v>
      </c>
      <c r="P16" s="1014">
        <f>IF(O16&lt;=0,0,Q16/O16)</f>
        <v>2300.5180556636778</v>
      </c>
      <c r="Q16" s="1015">
        <f>+SUM(Q9:Q15)</f>
        <v>165637.3000077848</v>
      </c>
      <c r="R16" s="1013">
        <f>+SUM(R9:R15)</f>
        <v>75</v>
      </c>
      <c r="S16" s="1014">
        <f>IF(R16&lt;=0,0,T16/R16)</f>
        <v>2299.4330670509917</v>
      </c>
      <c r="T16" s="1015">
        <f>+SUM(T9:T15)</f>
        <v>172457.48002882439</v>
      </c>
      <c r="U16" s="1013">
        <f>+SUM(U9:U15)</f>
        <v>67</v>
      </c>
      <c r="V16" s="1014">
        <f>IF(U16&lt;=0,0,W16/U16)</f>
        <v>2305.781060128199</v>
      </c>
      <c r="W16" s="1015">
        <f>+SUM(W9:W15)</f>
        <v>154487.33102858934</v>
      </c>
      <c r="X16" s="1013">
        <f>+SUM(X9:X15)</f>
        <v>60</v>
      </c>
      <c r="Y16" s="1014">
        <f>IF(X16&lt;=0,0,Z16/X16)</f>
        <v>2305.9429987271074</v>
      </c>
      <c r="Z16" s="1015">
        <f>+SUM(Z9:Z15)</f>
        <v>138356.57992362644</v>
      </c>
      <c r="AA16" s="1013">
        <f>+SUM(AA9:AA15)</f>
        <v>55</v>
      </c>
      <c r="AB16" s="1014">
        <f>IF(AA16&lt;=0,0,AC16/AA16)</f>
        <v>2301.0112323058079</v>
      </c>
      <c r="AC16" s="1015">
        <f>+SUM(AC9:AC15)</f>
        <v>126555.61777681943</v>
      </c>
      <c r="AD16" s="1013">
        <f>+SUM(AD9:AD15)</f>
        <v>53</v>
      </c>
      <c r="AE16" s="1014">
        <f>IF(AD16&lt;=0,0,AF16/AD16)</f>
        <v>2306.1477135596897</v>
      </c>
      <c r="AF16" s="1015">
        <f>+SUM(AF9:AF15)</f>
        <v>122225.82881866355</v>
      </c>
      <c r="AG16" s="1013">
        <f>+SUM(AG9:AG15)</f>
        <v>52</v>
      </c>
      <c r="AH16" s="1014">
        <f>IF(AG16&lt;=0,0,AI16/AG16)</f>
        <v>2302.6045722265353</v>
      </c>
      <c r="AI16" s="1015">
        <f>+SUM(AI9:AI15)</f>
        <v>119735.43775577984</v>
      </c>
      <c r="AJ16" s="1013">
        <f>+SUM(AJ9:AJ15)</f>
        <v>46</v>
      </c>
      <c r="AK16" s="1014">
        <f>IF(AJ16&lt;=0,0,AL16/AJ16)</f>
        <v>2306.4147329065363</v>
      </c>
      <c r="AL16" s="1015">
        <f>+SUM(AL9:AL15)</f>
        <v>106095.07771370067</v>
      </c>
      <c r="AM16" s="1013">
        <f>+SUM(AM9:AM15)</f>
        <v>40</v>
      </c>
      <c r="AN16" s="1014">
        <f>IF(AM16&lt;=0,0,AO16/AM16)</f>
        <v>2295.0931126002483</v>
      </c>
      <c r="AO16" s="1015">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6"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2"/>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1020"/>
      <c r="C22" s="695"/>
      <c r="D22" s="696"/>
      <c r="E22" s="697"/>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2"/>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2" t="s">
        <v>108</v>
      </c>
      <c r="C27" s="1013">
        <f>+C18+C16</f>
        <v>723</v>
      </c>
      <c r="D27" s="1014">
        <f>IF(C27&lt;=0,0,E27/C27)</f>
        <v>1200</v>
      </c>
      <c r="E27" s="1015">
        <f>E24+E25+E26</f>
        <v>867600</v>
      </c>
      <c r="F27" s="1013">
        <f>+F18+F16</f>
        <v>48</v>
      </c>
      <c r="G27" s="1014">
        <f>IF(F27&lt;=0,0,H27/F27)</f>
        <v>1200</v>
      </c>
      <c r="H27" s="1015">
        <f>H24+H25+H26</f>
        <v>57600</v>
      </c>
      <c r="I27" s="1013">
        <f>+I18+I16</f>
        <v>51</v>
      </c>
      <c r="J27" s="1014">
        <f>IF(I27&lt;=0,0,K27/I27)</f>
        <v>1200</v>
      </c>
      <c r="K27" s="1015">
        <f>K24+K25+K26</f>
        <v>61200</v>
      </c>
      <c r="L27" s="1013">
        <f>+L18+L16</f>
        <v>74</v>
      </c>
      <c r="M27" s="1014">
        <f>IF(L27&lt;=0,0,N27/L27)</f>
        <v>1200</v>
      </c>
      <c r="N27" s="1015">
        <f>N24+N25+N26</f>
        <v>88800</v>
      </c>
      <c r="O27" s="1013">
        <f>+O18+O16</f>
        <v>76</v>
      </c>
      <c r="P27" s="1014">
        <f>IF(O27&lt;=0,0,Q27/O27)</f>
        <v>1200</v>
      </c>
      <c r="Q27" s="1015">
        <f>Q24+Q25+Q26</f>
        <v>91200</v>
      </c>
      <c r="R27" s="1013">
        <f>+R18+R16</f>
        <v>79</v>
      </c>
      <c r="S27" s="1014">
        <f>IF(R27&lt;=0,0,T27/R27)</f>
        <v>1200</v>
      </c>
      <c r="T27" s="1015">
        <f>T24+T25+T26</f>
        <v>94800</v>
      </c>
      <c r="U27" s="1013">
        <f>+U18+U16</f>
        <v>71</v>
      </c>
      <c r="V27" s="1014">
        <f>IF(U27&lt;=0,0,W27/U27)</f>
        <v>1200</v>
      </c>
      <c r="W27" s="1015">
        <f>W24+W25+W26</f>
        <v>85200</v>
      </c>
      <c r="X27" s="1013">
        <f>+X18+X16</f>
        <v>64</v>
      </c>
      <c r="Y27" s="1014">
        <f>IF(X27&lt;=0,0,Z27/X27)</f>
        <v>1200</v>
      </c>
      <c r="Z27" s="1015">
        <f>Z24+Z25+Z26</f>
        <v>76800</v>
      </c>
      <c r="AA27" s="1013">
        <f>+AA18+AA16</f>
        <v>58</v>
      </c>
      <c r="AB27" s="1014">
        <f>IF(AA27&lt;=0,0,AC27/AA27)</f>
        <v>1200</v>
      </c>
      <c r="AC27" s="1015">
        <f>AC24+AC25+AC26</f>
        <v>69600</v>
      </c>
      <c r="AD27" s="1013">
        <f>+AD18+AD16</f>
        <v>56</v>
      </c>
      <c r="AE27" s="1014">
        <f>IF(AD27&lt;=0,0,AF27/AD27)</f>
        <v>1200</v>
      </c>
      <c r="AF27" s="1015">
        <f>AF24+AF25+AF26</f>
        <v>67200</v>
      </c>
      <c r="AG27" s="1013">
        <f>+AG18+AG16</f>
        <v>55</v>
      </c>
      <c r="AH27" s="1014">
        <f>IF(AG27&lt;=0,0,AI27/AG27)</f>
        <v>1200</v>
      </c>
      <c r="AI27" s="1015">
        <f>AI24+AI25+AI26</f>
        <v>66000</v>
      </c>
      <c r="AJ27" s="1013">
        <f>+AJ18+AJ16</f>
        <v>49</v>
      </c>
      <c r="AK27" s="1014">
        <f>IF(AJ27&lt;=0,0,AL27/AJ27)</f>
        <v>1200</v>
      </c>
      <c r="AL27" s="1015">
        <f>AL24+AL25+AL26</f>
        <v>58800</v>
      </c>
      <c r="AM27" s="1013">
        <f>+AM18+AM16</f>
        <v>42</v>
      </c>
      <c r="AN27" s="1014">
        <f>IF(AM27&lt;=0,0,AO27/AM27)</f>
        <v>1200</v>
      </c>
      <c r="AO27" s="1015">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1" t="s">
        <v>109</v>
      </c>
      <c r="C30" s="709">
        <f>+C16+C18+C20</f>
        <v>772</v>
      </c>
      <c r="D30" s="710">
        <f>IF(C30&lt;=0,0,E30/C30)</f>
        <v>3322.5621693827943</v>
      </c>
      <c r="E30" s="711">
        <f>E16+E20+E27+E22+E18</f>
        <v>2565017.9947635173</v>
      </c>
      <c r="F30" s="709">
        <f>+F16+F18+F20</f>
        <v>51</v>
      </c>
      <c r="G30" s="710">
        <f>IF(F30&lt;=0,0,H30/F30)</f>
        <v>3327.0826598151607</v>
      </c>
      <c r="H30" s="711">
        <f>H16+H20+H27+H22+H18</f>
        <v>169681.2156505732</v>
      </c>
      <c r="I30" s="709">
        <f>+I16+I18+I20</f>
        <v>55</v>
      </c>
      <c r="J30" s="710">
        <f>IF(I30&lt;=0,0,K30/I30)</f>
        <v>3298.2196509384148</v>
      </c>
      <c r="K30" s="711">
        <f>K16+K20+K27+K22+K18</f>
        <v>181402.08080161281</v>
      </c>
      <c r="L30" s="709">
        <f>+L16+L18+L20</f>
        <v>79</v>
      </c>
      <c r="M30" s="710">
        <f>IF(L30&lt;=0,0,N30/L30)</f>
        <v>3325.4460107084883</v>
      </c>
      <c r="N30" s="711">
        <f>N16+N20+N27+N22+N18</f>
        <v>262710.23484597058</v>
      </c>
      <c r="O30" s="709">
        <f>+O16+O18+O20</f>
        <v>81</v>
      </c>
      <c r="P30" s="710">
        <f>IF(O30&lt;=0,0,Q30/O30)</f>
        <v>3326.4200469645243</v>
      </c>
      <c r="Q30" s="711">
        <f>Q16+Q20+Q27+Q22+Q18</f>
        <v>269440.02380412648</v>
      </c>
      <c r="R30" s="709">
        <f>+R16+R18+R20</f>
        <v>84</v>
      </c>
      <c r="S30" s="710">
        <f>IF(R30&lt;=0,0,T30/R30)</f>
        <v>3331.6690931567391</v>
      </c>
      <c r="T30" s="711">
        <f>T16+T20+T27+T22+T18</f>
        <v>279860.2038251661</v>
      </c>
      <c r="U30" s="709">
        <f>+U16+U18+U20</f>
        <v>76</v>
      </c>
      <c r="V30" s="710">
        <f>IF(U30&lt;=0,0,W30/U30)</f>
        <v>3319.6059845385662</v>
      </c>
      <c r="W30" s="711">
        <f>W16+W20+W27+W22+W18</f>
        <v>252290.05482493102</v>
      </c>
      <c r="X30" s="709">
        <f>+X16+X18+X20</f>
        <v>68</v>
      </c>
      <c r="Y30" s="710">
        <f>IF(X30&lt;=0,0,Z30/X30)</f>
        <v>3330.2738027936489</v>
      </c>
      <c r="Z30" s="711">
        <f>Z16+Z20+Z27+Z22+Z18</f>
        <v>226458.61858996813</v>
      </c>
      <c r="AA30" s="709">
        <f>+AA16+AA18+AA20</f>
        <v>62</v>
      </c>
      <c r="AB30" s="710">
        <f>IF(AA30&lt;=0,0,AC30/AA30)</f>
        <v>3321.4972888157372</v>
      </c>
      <c r="AC30" s="711">
        <f>AC16+AC20+AC27+AC22+AC18</f>
        <v>205932.83190657571</v>
      </c>
      <c r="AD30" s="709">
        <f>+AD16+AD18+AD20</f>
        <v>60</v>
      </c>
      <c r="AE30" s="710">
        <f>IF(AD30&lt;=0,0,AF30/AD30)</f>
        <v>3320.0507158069968</v>
      </c>
      <c r="AF30" s="711">
        <f>AF16+AF20+AF27+AF22+AF18</f>
        <v>199203.04294841981</v>
      </c>
      <c r="AG30" s="709">
        <f>+AG16+AG18+AG20</f>
        <v>59</v>
      </c>
      <c r="AH30" s="710">
        <f>IF(AG30&lt;=0,0,AI30/AG30)</f>
        <v>3313.7737607717986</v>
      </c>
      <c r="AI30" s="711">
        <f>AI16+AI20+AI27+AI22+AI18</f>
        <v>195512.65188553612</v>
      </c>
      <c r="AJ30" s="709">
        <f>+AJ16+AJ18+AJ20</f>
        <v>52</v>
      </c>
      <c r="AK30" s="710">
        <f>IF(AJ30&lt;=0,0,AL30/AJ30)</f>
        <v>3334.0693598741714</v>
      </c>
      <c r="AL30" s="711">
        <f>AL16+AL20+AL27+AL22+AL18</f>
        <v>173371.60671345692</v>
      </c>
      <c r="AM30" s="709">
        <f>+AM16+AM18+AM20</f>
        <v>45</v>
      </c>
      <c r="AN30" s="710">
        <f>IF(AM30&lt;=0,0,AO30/AM30)</f>
        <v>3314.565088159573</v>
      </c>
      <c r="AO30" s="711">
        <f>AO16+AO20+AO27+AO22+AO18</f>
        <v>149155.42896718078</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3" t="s">
        <v>118</v>
      </c>
      <c r="C44" s="1024" t="s">
        <v>119</v>
      </c>
      <c r="D44" s="1025">
        <f>IFERROR(E44/E$30,0)</f>
        <v>0.4613873176397229</v>
      </c>
      <c r="E44" s="1026">
        <f>SUM(E34:E43)</f>
        <v>1183466.77230156</v>
      </c>
      <c r="F44" s="1024" t="s">
        <v>119</v>
      </c>
      <c r="G44" s="1025">
        <f>IFERROR(H44/H$30,0)</f>
        <v>0.50934904429300598</v>
      </c>
      <c r="H44" s="1026">
        <f>SUM(H34:H43)</f>
        <v>86426.965026094898</v>
      </c>
      <c r="I44" s="1024" t="s">
        <v>119</v>
      </c>
      <c r="J44" s="1025">
        <f>IFERROR(K44/K$30,0)</f>
        <v>0.48032984292500291</v>
      </c>
      <c r="K44" s="1026">
        <f>SUM(K34:K43)</f>
        <v>87132.832977707367</v>
      </c>
      <c r="L44" s="1024" t="s">
        <v>119</v>
      </c>
      <c r="M44" s="1025">
        <f>IFERROR(N44/N$30,0)</f>
        <v>0.42539207402887019</v>
      </c>
      <c r="N44" s="1026">
        <f>SUM(N34:N43)</f>
        <v>111754.85166973899</v>
      </c>
      <c r="O44" s="1024" t="s">
        <v>119</v>
      </c>
      <c r="P44" s="1025">
        <f>IFERROR(Q44/Q$30,0)</f>
        <v>0.46762366293204705</v>
      </c>
      <c r="Q44" s="1026">
        <f>SUM(Q34:Q43)</f>
        <v>125996.53087178357</v>
      </c>
      <c r="R44" s="1024" t="s">
        <v>119</v>
      </c>
      <c r="S44" s="1025">
        <f>IFERROR(T44/T$30,0)</f>
        <v>0.4213130844950253</v>
      </c>
      <c r="T44" s="1026">
        <f>SUM(T34:T43)</f>
        <v>117908.76570098721</v>
      </c>
      <c r="U44" s="1024" t="s">
        <v>119</v>
      </c>
      <c r="V44" s="1025">
        <f>IFERROR(W44/W$30,0)</f>
        <v>0.42689155776975141</v>
      </c>
      <c r="W44" s="1026">
        <f>SUM(W34:W43)</f>
        <v>107700.4945140308</v>
      </c>
      <c r="X44" s="1024" t="s">
        <v>119</v>
      </c>
      <c r="Y44" s="1025">
        <f>IFERROR(Z44/Z$30,0)</f>
        <v>0.44517971225672032</v>
      </c>
      <c r="Z44" s="1026">
        <f>SUM(Z34:Z43)</f>
        <v>100814.78266193639</v>
      </c>
      <c r="AA44" s="1024" t="s">
        <v>119</v>
      </c>
      <c r="AB44" s="1025">
        <f>IFERROR(AC44/AC$30,0)</f>
        <v>0.45231391689152739</v>
      </c>
      <c r="AC44" s="1026">
        <f>SUM(AC34:AC43)</f>
        <v>93146.28581622777</v>
      </c>
      <c r="AD44" s="1024" t="s">
        <v>119</v>
      </c>
      <c r="AE44" s="1025">
        <f>IFERROR(AF44/AF$30,0)</f>
        <v>0.45705483287219006</v>
      </c>
      <c r="AF44" s="1026">
        <f>SUM(AF34:AF43)</f>
        <v>91046.713502421713</v>
      </c>
      <c r="AG44" s="1024" t="s">
        <v>119</v>
      </c>
      <c r="AH44" s="1025">
        <f>IFERROR(AI44/AI$30,0)</f>
        <v>0.46440573029654159</v>
      </c>
      <c r="AI44" s="1026">
        <f>SUM(AI34:AI43)</f>
        <v>90797.195881115913</v>
      </c>
      <c r="AJ44" s="1024" t="s">
        <v>119</v>
      </c>
      <c r="AK44" s="1025">
        <f>IFERROR(AL44/AL$30,0)</f>
        <v>0.54358712988761959</v>
      </c>
      <c r="AL44" s="1026">
        <f>SUM(AL34:AL43)</f>
        <v>94242.574097373203</v>
      </c>
      <c r="AM44" s="1024" t="s">
        <v>119</v>
      </c>
      <c r="AN44" s="1025">
        <f>IFERROR(AO44/AO$30,0)</f>
        <v>0.51287961901121648</v>
      </c>
      <c r="AO44" s="1026">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7"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8"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7" t="s">
        <v>122</v>
      </c>
      <c r="C47" s="1011"/>
      <c r="D47" s="1029"/>
      <c r="E47" s="1030">
        <f t="shared" si="30"/>
        <v>341.84999999999997</v>
      </c>
      <c r="F47" s="1011"/>
      <c r="G47" s="1029"/>
      <c r="H47" s="1031">
        <f>[1]Salaire!$E$161</f>
        <v>341.84999999999997</v>
      </c>
      <c r="I47" s="1011"/>
      <c r="J47" s="1029"/>
      <c r="K47" s="1031">
        <f>[1]Salaire!$F$161</f>
        <v>0</v>
      </c>
      <c r="L47" s="1011"/>
      <c r="M47" s="1029"/>
      <c r="N47" s="1031">
        <f>[1]Salaire!$G$161</f>
        <v>0</v>
      </c>
      <c r="O47" s="1011"/>
      <c r="P47" s="1029"/>
      <c r="Q47" s="1031">
        <f>[1]Salaire!$H$161</f>
        <v>0</v>
      </c>
      <c r="R47" s="1011"/>
      <c r="S47" s="1029"/>
      <c r="T47" s="1031">
        <f>[1]Salaire!$I$161</f>
        <v>0</v>
      </c>
      <c r="U47" s="1011"/>
      <c r="V47" s="1029"/>
      <c r="W47" s="1031">
        <f>[1]Salaire!$J$161</f>
        <v>0</v>
      </c>
      <c r="X47" s="1011"/>
      <c r="Y47" s="1029"/>
      <c r="Z47" s="1031">
        <f>[1]Salaire!$K$161</f>
        <v>0</v>
      </c>
      <c r="AA47" s="1011"/>
      <c r="AB47" s="1029"/>
      <c r="AC47" s="1031">
        <f>[1]Salaire!$L$161</f>
        <v>0</v>
      </c>
      <c r="AD47" s="1011"/>
      <c r="AE47" s="1029"/>
      <c r="AF47" s="1031">
        <f>[1]Salaire!$M$161</f>
        <v>0</v>
      </c>
      <c r="AG47" s="1011"/>
      <c r="AH47" s="1029"/>
      <c r="AI47" s="1031">
        <f>[1]Salaire!$N$161</f>
        <v>0</v>
      </c>
      <c r="AJ47" s="1011"/>
      <c r="AK47" s="1029"/>
      <c r="AL47" s="1031">
        <f>[1]Salaire!$O$161</f>
        <v>0</v>
      </c>
      <c r="AM47" s="1011"/>
      <c r="AN47" s="1029"/>
      <c r="AO47" s="1031">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7"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8"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7" t="s">
        <v>125</v>
      </c>
      <c r="C53" s="1011"/>
      <c r="D53" s="1029"/>
      <c r="E53" s="1030">
        <f t="shared" si="30"/>
        <v>180438.23230137891</v>
      </c>
      <c r="F53" s="1011"/>
      <c r="G53" s="1029"/>
      <c r="H53" s="1031">
        <f>'[1]DAS-VAC'!$F$51</f>
        <v>13830.859295388043</v>
      </c>
      <c r="I53" s="1011"/>
      <c r="J53" s="1029"/>
      <c r="K53" s="1031">
        <f>'[1]DAS-VAC'!$G$51</f>
        <v>11813.387893842868</v>
      </c>
      <c r="L53" s="1011"/>
      <c r="M53" s="1029"/>
      <c r="N53" s="1031">
        <f>'[1]DAS-VAC'!$H$51</f>
        <v>15373.222343324787</v>
      </c>
      <c r="O53" s="1011"/>
      <c r="P53" s="1029"/>
      <c r="Q53" s="1031">
        <f>'[1]DAS-VAC'!$I$51</f>
        <v>16048.512582499487</v>
      </c>
      <c r="R53" s="1011"/>
      <c r="S53" s="1029"/>
      <c r="T53" s="1031">
        <f>'[1]DAS-VAC'!$J$51</f>
        <v>18075.698947068635</v>
      </c>
      <c r="U53" s="1011"/>
      <c r="V53" s="1029"/>
      <c r="W53" s="1031">
        <f>'[1]DAS-VAC'!$K$51</f>
        <v>14104.218611366958</v>
      </c>
      <c r="X53" s="1011"/>
      <c r="Y53" s="1029"/>
      <c r="Z53" s="1031">
        <f>'[1]DAS-VAC'!$L$51</f>
        <v>15447.223109957196</v>
      </c>
      <c r="AA53" s="1011"/>
      <c r="AB53" s="1029"/>
      <c r="AC53" s="1031">
        <f>'[1]DAS-VAC'!$M$51</f>
        <v>14631.69210415009</v>
      </c>
      <c r="AD53" s="1011"/>
      <c r="AE53" s="1029"/>
      <c r="AF53" s="1031">
        <f>'[1]DAS-VAC'!$N$51</f>
        <v>14845.748850541657</v>
      </c>
      <c r="AG53" s="1011"/>
      <c r="AH53" s="1029"/>
      <c r="AI53" s="1031">
        <f>'[1]DAS-VAC'!$O$51</f>
        <v>17053.871961502377</v>
      </c>
      <c r="AJ53" s="1011"/>
      <c r="AK53" s="1029"/>
      <c r="AL53" s="1031">
        <f>'[1]DAS-VAC'!$P$51</f>
        <v>16328.80932889105</v>
      </c>
      <c r="AM53" s="1011"/>
      <c r="AN53" s="1029"/>
      <c r="AO53" s="1031">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2"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7"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3" t="s">
        <v>128</v>
      </c>
      <c r="C57" s="1024" t="s">
        <v>119</v>
      </c>
      <c r="D57" s="1025">
        <f>IFERROR(E57/E$30,0)</f>
        <v>0.37512587862105518</v>
      </c>
      <c r="E57" s="1026">
        <f>+SUM(E45:E56)</f>
        <v>962204.62896448153</v>
      </c>
      <c r="F57" s="1024" t="s">
        <v>119</v>
      </c>
      <c r="G57" s="1025">
        <f>IFERROR(H57/H$30,0)</f>
        <v>0.45594850963047723</v>
      </c>
      <c r="H57" s="1026">
        <f>+SUM(H45:H56)</f>
        <v>77365.897388166457</v>
      </c>
      <c r="I57" s="1024" t="s">
        <v>119</v>
      </c>
      <c r="J57" s="1025">
        <f>IFERROR(K57/K$30,0)</f>
        <v>0.38290364200187799</v>
      </c>
      <c r="K57" s="1026">
        <f>+SUM(K45:K56)</f>
        <v>69459.517405656501</v>
      </c>
      <c r="L57" s="1024" t="s">
        <v>119</v>
      </c>
      <c r="M57" s="1025">
        <f>IFERROR(N57/N$30,0)</f>
        <v>0.29911643271523641</v>
      </c>
      <c r="N57" s="1026">
        <f>+SUM(N45:N56)</f>
        <v>78580.948284908722</v>
      </c>
      <c r="O57" s="1024" t="s">
        <v>119</v>
      </c>
      <c r="P57" s="1025">
        <f>IFERROR(Q57/Q$30,0)</f>
        <v>0.29806728805067628</v>
      </c>
      <c r="Q57" s="1026">
        <f>+SUM(Q45:Q56)</f>
        <v>80311.257187605646</v>
      </c>
      <c r="R57" s="1024" t="s">
        <v>119</v>
      </c>
      <c r="S57" s="1025">
        <f>IFERROR(T57/T$30,0)</f>
        <v>0.32951396298702645</v>
      </c>
      <c r="T57" s="1026">
        <f>+SUM(T45:T56)</f>
        <v>92217.844844787454</v>
      </c>
      <c r="U57" s="1024" t="s">
        <v>119</v>
      </c>
      <c r="V57" s="1025">
        <f>IFERROR(W57/W$30,0)</f>
        <v>0.29858234469852457</v>
      </c>
      <c r="W57" s="1026">
        <f>+SUM(W45:W56)</f>
        <v>75329.356113747213</v>
      </c>
      <c r="X57" s="1024" t="s">
        <v>119</v>
      </c>
      <c r="Y57" s="1025">
        <f>IFERROR(Z57/Z$30,0)</f>
        <v>0.37747669846969156</v>
      </c>
      <c r="Z57" s="1026">
        <f>+SUM(Z45:Z56)</f>
        <v>85482.851685348287</v>
      </c>
      <c r="AA57" s="1024" t="s">
        <v>119</v>
      </c>
      <c r="AB57" s="1025">
        <f>IFERROR(AC57/AC$30,0)</f>
        <v>0.37235884473729369</v>
      </c>
      <c r="AC57" s="1026">
        <f>+SUM(AC45:AC56)</f>
        <v>76680.911382211823</v>
      </c>
      <c r="AD57" s="1024" t="s">
        <v>119</v>
      </c>
      <c r="AE57" s="1025">
        <f>IFERROR(AF57/AF$30,0)</f>
        <v>0.38769183378610006</v>
      </c>
      <c r="AF57" s="1026">
        <f>+SUM(AF45:AF56)</f>
        <v>77229.393016444126</v>
      </c>
      <c r="AG57" s="1024" t="s">
        <v>119</v>
      </c>
      <c r="AH57" s="1025">
        <f>IFERROR(AI57/AI$30,0)</f>
        <v>0.45828030791743746</v>
      </c>
      <c r="AI57" s="1026">
        <f>+SUM(AI45:AI56)</f>
        <v>89599.59830785825</v>
      </c>
      <c r="AJ57" s="1024" t="s">
        <v>119</v>
      </c>
      <c r="AK57" s="1025">
        <f>IFERROR(AL57/AL$30,0)</f>
        <v>0.4673744931934608</v>
      </c>
      <c r="AL57" s="1026">
        <f>+SUM(AL45:AL56)</f>
        <v>81029.466821837937</v>
      </c>
      <c r="AM57" s="1024" t="s">
        <v>119</v>
      </c>
      <c r="AN57" s="1025">
        <f>IFERROR(AO57/AO$30,0)</f>
        <v>0.52909630626501469</v>
      </c>
      <c r="AO57" s="1026">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3" t="s">
        <v>143</v>
      </c>
      <c r="C75" s="1024" t="s">
        <v>119</v>
      </c>
      <c r="D75" s="1025">
        <f>IFERROR(E75/E$30,0)</f>
        <v>0.136052240106804</v>
      </c>
      <c r="E75" s="1026">
        <f>+SUM(E58:E74)</f>
        <v>348976.44410183898</v>
      </c>
      <c r="F75" s="1024" t="s">
        <v>119</v>
      </c>
      <c r="G75" s="1025">
        <f>IFERROR(H75/H$30,0)</f>
        <v>0.19081456848922773</v>
      </c>
      <c r="H75" s="1026">
        <f>+SUM(H58:H74)</f>
        <v>32377.647945091718</v>
      </c>
      <c r="I75" s="1024" t="s">
        <v>119</v>
      </c>
      <c r="J75" s="1025">
        <f>IFERROR(K75/K$30,0)</f>
        <v>0.1514164877268753</v>
      </c>
      <c r="K75" s="1026">
        <f>+SUM(K58:K74)</f>
        <v>27467.265941327048</v>
      </c>
      <c r="L75" s="1024" t="s">
        <v>119</v>
      </c>
      <c r="M75" s="1025">
        <f>IFERROR(N75/N$30,0)</f>
        <v>0.1066771557093435</v>
      </c>
      <c r="N75" s="1026">
        <f>+SUM(N58:N74)</f>
        <v>28025.1806291018</v>
      </c>
      <c r="O75" s="1024" t="s">
        <v>119</v>
      </c>
      <c r="P75" s="1025">
        <f>IFERROR(Q75/Q$30,0)</f>
        <v>0.10490534997523041</v>
      </c>
      <c r="Q75" s="1026">
        <f>+SUM(Q58:Q74)</f>
        <v>28265.6999945063</v>
      </c>
      <c r="R75" s="1024" t="s">
        <v>119</v>
      </c>
      <c r="S75" s="1025">
        <f>IFERROR(T75/T$30,0)</f>
        <v>0.10195095518607414</v>
      </c>
      <c r="T75" s="1026">
        <f>+SUM(T58:T74)</f>
        <v>28532.015098545082</v>
      </c>
      <c r="U75" s="1024" t="s">
        <v>119</v>
      </c>
      <c r="V75" s="1025">
        <f>IFERROR(W75/W$30,0)</f>
        <v>0.11648848673762012</v>
      </c>
      <c r="W75" s="1026">
        <f>+SUM(W58:W74)</f>
        <v>29388.88670550743</v>
      </c>
      <c r="X75" s="1024" t="s">
        <v>119</v>
      </c>
      <c r="Y75" s="1025">
        <f>IFERROR(Z75/Z$30,0)</f>
        <v>0.12321462250399934</v>
      </c>
      <c r="Z75" s="1026">
        <f>+SUM(Z58:Z74)</f>
        <v>27903.013202340091</v>
      </c>
      <c r="AA75" s="1024" t="s">
        <v>119</v>
      </c>
      <c r="AB75" s="1025">
        <f>IFERROR(AC75/AC$30,0)</f>
        <v>0.13493747691287097</v>
      </c>
      <c r="AC75" s="1026">
        <f>+SUM(AC58:AC74)</f>
        <v>27788.056750995696</v>
      </c>
      <c r="AD75" s="1024" t="s">
        <v>119</v>
      </c>
      <c r="AE75" s="1025">
        <f>IFERROR(AF75/AF$30,0)</f>
        <v>0.14028201478839586</v>
      </c>
      <c r="AF75" s="1026">
        <f>+SUM(AF58:AF74)</f>
        <v>27944.604216783686</v>
      </c>
      <c r="AG75" s="1024" t="s">
        <v>119</v>
      </c>
      <c r="AH75" s="1025">
        <f>IFERROR(AI75/AI$30,0)</f>
        <v>0.14788809599893105</v>
      </c>
      <c r="AI75" s="1026">
        <f>+SUM(AI58:AI74)</f>
        <v>28913.993831053755</v>
      </c>
      <c r="AJ75" s="1024" t="s">
        <v>119</v>
      </c>
      <c r="AK75" s="1025">
        <f>IFERROR(AL75/AL$30,0)</f>
        <v>0.17305198457939497</v>
      </c>
      <c r="AL75" s="1026">
        <f>+SUM(AL58:AL74)</f>
        <v>30002.300611482075</v>
      </c>
      <c r="AM75" s="1024" t="s">
        <v>119</v>
      </c>
      <c r="AN75" s="1025">
        <f>IFERROR(AO75/AO$30,0)</f>
        <v>0.21700704693911152</v>
      </c>
      <c r="AO75" s="1026">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3" t="s">
        <v>144</v>
      </c>
      <c r="C77" s="1024" t="s">
        <v>119</v>
      </c>
      <c r="D77" s="1025">
        <f>IFERROR(E77/E$30,0)</f>
        <v>0.97256543636758208</v>
      </c>
      <c r="E77" s="1034">
        <f>E44+E57+E75</f>
        <v>2494647.8453678805</v>
      </c>
      <c r="F77" s="1024" t="s">
        <v>119</v>
      </c>
      <c r="G77" s="1025">
        <f>IFERROR(H77/H$30,0)</f>
        <v>1.1561121224127109</v>
      </c>
      <c r="H77" s="1034">
        <f>H44+H57+H75</f>
        <v>196170.51035935307</v>
      </c>
      <c r="I77" s="1024" t="s">
        <v>119</v>
      </c>
      <c r="J77" s="1025">
        <f>IFERROR(K77/K$30,0)</f>
        <v>1.0146499726537563</v>
      </c>
      <c r="K77" s="1034">
        <f>K44+K57+K75</f>
        <v>184059.61632469093</v>
      </c>
      <c r="L77" s="1024" t="s">
        <v>119</v>
      </c>
      <c r="M77" s="1025">
        <f>IFERROR(N77/N$30,0)</f>
        <v>0.83118566245345016</v>
      </c>
      <c r="N77" s="1034">
        <f>N44+N57+N75</f>
        <v>218360.98058374954</v>
      </c>
      <c r="O77" s="1024" t="s">
        <v>119</v>
      </c>
      <c r="P77" s="1025">
        <f>IFERROR(Q77/Q$30,0)</f>
        <v>0.87059630095795382</v>
      </c>
      <c r="Q77" s="1034">
        <f>Q44+Q57+Q75</f>
        <v>234573.48805389553</v>
      </c>
      <c r="R77" s="1024" t="s">
        <v>119</v>
      </c>
      <c r="S77" s="1025">
        <f>IFERROR(T77/T$30,0)</f>
        <v>0.85277800266812587</v>
      </c>
      <c r="T77" s="1034">
        <f>T44+T57+T75</f>
        <v>238658.62564431975</v>
      </c>
      <c r="U77" s="1024" t="s">
        <v>119</v>
      </c>
      <c r="V77" s="1025">
        <f>IFERROR(W77/W$30,0)</f>
        <v>0.84196238920589617</v>
      </c>
      <c r="W77" s="1034">
        <f>W44+W57+W75</f>
        <v>212418.73733328545</v>
      </c>
      <c r="X77" s="1024" t="s">
        <v>119</v>
      </c>
      <c r="Y77" s="1025">
        <f>IFERROR(Z77/Z$30,0)</f>
        <v>0.94587103323041122</v>
      </c>
      <c r="Z77" s="1034">
        <f>Z44+Z57+Z75</f>
        <v>214200.64754962476</v>
      </c>
      <c r="AA77" s="1024" t="s">
        <v>119</v>
      </c>
      <c r="AB77" s="1025">
        <f>IFERROR(AC77/AC$30,0)</f>
        <v>0.95961023854169203</v>
      </c>
      <c r="AC77" s="1034">
        <f>AC44+AC57+AC75</f>
        <v>197615.25394943528</v>
      </c>
      <c r="AD77" s="1024" t="s">
        <v>119</v>
      </c>
      <c r="AE77" s="1025">
        <f>IFERROR(AF77/AF$30,0)</f>
        <v>0.98502868144668609</v>
      </c>
      <c r="AF77" s="1034">
        <f>AF44+AF57+AF75</f>
        <v>196220.71073564954</v>
      </c>
      <c r="AG77" s="1024" t="s">
        <v>119</v>
      </c>
      <c r="AH77" s="1025">
        <f>IFERROR(AI77/AI$30,0)</f>
        <v>1.07057413421291</v>
      </c>
      <c r="AI77" s="1034">
        <f>AI44+AI57+AI75</f>
        <v>209310.78802002792</v>
      </c>
      <c r="AJ77" s="1024" t="s">
        <v>119</v>
      </c>
      <c r="AK77" s="1025">
        <f>IFERROR(AL77/AL$30,0)</f>
        <v>1.1840136076604755</v>
      </c>
      <c r="AL77" s="1034">
        <f>AL44+AL57+AL75</f>
        <v>205274.34153069323</v>
      </c>
      <c r="AM77" s="1024" t="s">
        <v>119</v>
      </c>
      <c r="AN77" s="1025">
        <f>IFERROR(AO77/AO$30,0)</f>
        <v>1.2589829722153427</v>
      </c>
      <c r="AO77" s="1034">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5" t="s">
        <v>150</v>
      </c>
      <c r="C86" s="732"/>
      <c r="D86" s="1036"/>
      <c r="E86" s="733">
        <f>+SUM(E78:E85)</f>
        <v>1440330.1524880026</v>
      </c>
      <c r="F86" s="732"/>
      <c r="G86" s="1036"/>
      <c r="H86" s="733">
        <f>+SUM(H78:H85)</f>
        <v>84596.801846134986</v>
      </c>
      <c r="I86" s="732"/>
      <c r="J86" s="1036"/>
      <c r="K86" s="733">
        <f>+SUM(K78:K85)</f>
        <v>91418.856354494565</v>
      </c>
      <c r="L86" s="732"/>
      <c r="M86" s="1036"/>
      <c r="N86" s="733">
        <f>+SUM(N78:N85)</f>
        <v>169626.43340465194</v>
      </c>
      <c r="O86" s="732"/>
      <c r="P86" s="1036"/>
      <c r="Q86" s="733">
        <f>+SUM(Q78:Q85)</f>
        <v>138264.98565883172</v>
      </c>
      <c r="R86" s="732"/>
      <c r="S86" s="1036"/>
      <c r="T86" s="733">
        <f>+SUM(T78:T85)</f>
        <v>143722.81404010142</v>
      </c>
      <c r="U86" s="732"/>
      <c r="V86" s="1036"/>
      <c r="W86" s="733">
        <f>+SUM(W78:W85)</f>
        <v>164168.60502338226</v>
      </c>
      <c r="X86" s="732"/>
      <c r="Y86" s="1036"/>
      <c r="Z86" s="733">
        <f>+SUM(Z78:Z85)</f>
        <v>115069.44600666314</v>
      </c>
      <c r="AA86" s="732"/>
      <c r="AB86" s="1036"/>
      <c r="AC86" s="733">
        <f>+SUM(AC78:AC85)</f>
        <v>104153.78924412379</v>
      </c>
      <c r="AD86" s="732"/>
      <c r="AE86" s="1036"/>
      <c r="AF86" s="733">
        <f>+SUM(AF78:AF85)</f>
        <v>135515.23698994401</v>
      </c>
      <c r="AG86" s="732"/>
      <c r="AH86" s="1036"/>
      <c r="AI86" s="733">
        <f>+SUM(AI78:AI85)</f>
        <v>98695.960862854117</v>
      </c>
      <c r="AJ86" s="732"/>
      <c r="AK86" s="1036"/>
      <c r="AL86" s="733">
        <f>+SUM(AL78:AL85)</f>
        <v>86416.077973224892</v>
      </c>
      <c r="AM86" s="732"/>
      <c r="AN86" s="1036"/>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7" t="s">
        <v>151</v>
      </c>
      <c r="C88" s="1038"/>
      <c r="D88" s="1039">
        <f>E88/E8</f>
        <v>4.198002846919454E-2</v>
      </c>
      <c r="E88" s="1040">
        <f>E30-E77+E86</f>
        <v>1510700.3018836393</v>
      </c>
      <c r="F88" s="1038"/>
      <c r="G88" s="1041"/>
      <c r="H88" s="1040">
        <f>H30-H77+H86</f>
        <v>58107.507137355118</v>
      </c>
      <c r="I88" s="1038"/>
      <c r="J88" s="1041"/>
      <c r="K88" s="1040">
        <f>K30-K77+K86</f>
        <v>88761.320831416451</v>
      </c>
      <c r="L88" s="1038"/>
      <c r="M88" s="1041"/>
      <c r="N88" s="1040">
        <f>N30-N77+N86</f>
        <v>213975.68766687298</v>
      </c>
      <c r="O88" s="1038"/>
      <c r="P88" s="1041"/>
      <c r="Q88" s="1040">
        <f>Q30-Q77+Q86</f>
        <v>173131.52140906267</v>
      </c>
      <c r="R88" s="1038"/>
      <c r="S88" s="1041"/>
      <c r="T88" s="1040">
        <f>T30-T77+T86</f>
        <v>184924.39222094778</v>
      </c>
      <c r="U88" s="1038"/>
      <c r="V88" s="1041"/>
      <c r="W88" s="1040">
        <f>W30-W77+W86</f>
        <v>204039.92251502784</v>
      </c>
      <c r="X88" s="1038"/>
      <c r="Y88" s="1041"/>
      <c r="Z88" s="1040">
        <f>Z30-Z77+Z86</f>
        <v>127327.41704700651</v>
      </c>
      <c r="AA88" s="1038"/>
      <c r="AB88" s="1041"/>
      <c r="AC88" s="1040">
        <f>AC30-AC77+AC86</f>
        <v>112471.36720126422</v>
      </c>
      <c r="AD88" s="1038"/>
      <c r="AE88" s="1041"/>
      <c r="AF88" s="1040">
        <f>AF30-AF77+AF86</f>
        <v>138497.56920271428</v>
      </c>
      <c r="AG88" s="1038"/>
      <c r="AH88" s="1041"/>
      <c r="AI88" s="1040">
        <f>AI30-AI77+AI86</f>
        <v>84897.82472836232</v>
      </c>
      <c r="AJ88" s="1038"/>
      <c r="AK88" s="1041"/>
      <c r="AL88" s="1040">
        <f>AL30-AL77+AL86</f>
        <v>54513.343155988579</v>
      </c>
      <c r="AM88" s="1038"/>
      <c r="AN88" s="1041"/>
      <c r="AO88" s="1040">
        <f>AO30-AO77+AO86</f>
        <v>70052.428767620731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2"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3"/>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63">
        <v>2021</v>
      </c>
      <c r="D94" s="1164"/>
      <c r="E94" s="1165"/>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3803</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2" t="s">
        <v>155</v>
      </c>
      <c r="C100" s="1013">
        <f>+C97+C98+C99</f>
        <v>533</v>
      </c>
      <c r="D100" s="1014">
        <f>IF(C100&lt;=0,0,E100/C100)</f>
        <v>1500</v>
      </c>
      <c r="E100" s="1015">
        <f>+E97+E98+E99</f>
        <v>799500</v>
      </c>
      <c r="F100" s="1013">
        <f>+F97+F98+F99</f>
        <v>32</v>
      </c>
      <c r="G100" s="1014">
        <f>IF(F100&lt;=0,0,H100/F100)</f>
        <v>1500</v>
      </c>
      <c r="H100" s="1015">
        <f>+H97+H98+H99</f>
        <v>48000</v>
      </c>
      <c r="I100" s="1013">
        <f>+I97+I98+I99</f>
        <v>33</v>
      </c>
      <c r="J100" s="1014">
        <f>IF(I100&lt;=0,0,K100/I100)</f>
        <v>1500</v>
      </c>
      <c r="K100" s="1015">
        <f>+K97+K98+K99</f>
        <v>49500</v>
      </c>
      <c r="L100" s="1013">
        <f>+L97+L98+L99</f>
        <v>49</v>
      </c>
      <c r="M100" s="1014">
        <f>IF(L100&lt;=0,0,N100/L100)</f>
        <v>1500</v>
      </c>
      <c r="N100" s="1015">
        <f>+N97+N98+N99</f>
        <v>73500</v>
      </c>
      <c r="O100" s="1013">
        <f>+O97+O98+O99</f>
        <v>51</v>
      </c>
      <c r="P100" s="1014">
        <f>IF(O100&lt;=0,0,Q100/O100)</f>
        <v>1500</v>
      </c>
      <c r="Q100" s="1015">
        <f>+Q97+Q98+Q99</f>
        <v>76500</v>
      </c>
      <c r="R100" s="1013">
        <f>+R97+R98+R99</f>
        <v>53</v>
      </c>
      <c r="S100" s="1014">
        <f>IF(R100&lt;=0,0,T100/R100)</f>
        <v>1500</v>
      </c>
      <c r="T100" s="1015">
        <f>+T97+T98+T99</f>
        <v>79500</v>
      </c>
      <c r="U100" s="1013">
        <f>+U97+U98+U99</f>
        <v>51</v>
      </c>
      <c r="V100" s="1014">
        <f>IF(U100&lt;=0,0,W100/U100)</f>
        <v>1500</v>
      </c>
      <c r="W100" s="1015">
        <f>+W97+W98+W99</f>
        <v>76500</v>
      </c>
      <c r="X100" s="1013">
        <f>+X97+X98+X99</f>
        <v>48</v>
      </c>
      <c r="Y100" s="1014">
        <f>IF(X100&lt;=0,0,Z100/X100)</f>
        <v>1500</v>
      </c>
      <c r="Z100" s="1015">
        <f>+Z97+Z98+Z99</f>
        <v>72000</v>
      </c>
      <c r="AA100" s="1013">
        <f>+AA97+AA98+AA99</f>
        <v>47</v>
      </c>
      <c r="AB100" s="1014">
        <f>IF(AA100&lt;=0,0,AC100/AA100)</f>
        <v>1500</v>
      </c>
      <c r="AC100" s="1015">
        <f>+AC97+AC98+AC99</f>
        <v>70500</v>
      </c>
      <c r="AD100" s="1013">
        <f>+AD97+AD98+AD99</f>
        <v>47</v>
      </c>
      <c r="AE100" s="1014">
        <f>IF(AD100&lt;=0,0,AF100/AD100)</f>
        <v>1500</v>
      </c>
      <c r="AF100" s="1015">
        <f>+AF97+AF98+AF99</f>
        <v>70500</v>
      </c>
      <c r="AG100" s="1013">
        <f>+AG97+AG98+AG99</f>
        <v>46</v>
      </c>
      <c r="AH100" s="1014">
        <f>IF(AG100&lt;=0,0,AI100/AG100)</f>
        <v>1500</v>
      </c>
      <c r="AI100" s="1015">
        <f>+AI97+AI98+AI99</f>
        <v>69000</v>
      </c>
      <c r="AJ100" s="1013">
        <f>+AJ97+AJ98+AJ99</f>
        <v>41</v>
      </c>
      <c r="AK100" s="1014">
        <f>IF(AJ100&lt;=0,0,AL100/AJ100)</f>
        <v>1500</v>
      </c>
      <c r="AL100" s="1015">
        <f>+AL97+AL98+AL99</f>
        <v>61500</v>
      </c>
      <c r="AM100" s="1013">
        <f>+AM97+AM98+AM99</f>
        <v>35</v>
      </c>
      <c r="AN100" s="1014">
        <f>IF(AM100&lt;=0,0,AO100/AM100)</f>
        <v>1500</v>
      </c>
      <c r="AO100" s="1015">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usagésRachat bail</v>
      </c>
      <c r="B102" s="700" t="s">
        <v>104</v>
      </c>
      <c r="C102" s="695"/>
      <c r="D102" s="696"/>
      <c r="E102" s="697">
        <v>99999.999999999985</v>
      </c>
      <c r="F102" s="698"/>
      <c r="G102" s="696"/>
      <c r="H102" s="699">
        <v>6607.929515418502</v>
      </c>
      <c r="I102" s="698"/>
      <c r="J102" s="696"/>
      <c r="K102" s="699">
        <v>7048.4581497797362</v>
      </c>
      <c r="L102" s="698"/>
      <c r="M102" s="696"/>
      <c r="N102" s="699">
        <v>10279.00146842878</v>
      </c>
      <c r="O102" s="698"/>
      <c r="P102" s="696"/>
      <c r="Q102" s="699">
        <v>10425.844346549193</v>
      </c>
      <c r="R102" s="698"/>
      <c r="S102" s="696"/>
      <c r="T102" s="699">
        <v>10866.372980910426</v>
      </c>
      <c r="U102" s="698"/>
      <c r="V102" s="696"/>
      <c r="W102" s="699">
        <v>9838.4728340675483</v>
      </c>
      <c r="X102" s="698"/>
      <c r="Y102" s="696"/>
      <c r="Z102" s="699">
        <v>8810.5726872246705</v>
      </c>
      <c r="AA102" s="698"/>
      <c r="AB102" s="696"/>
      <c r="AC102" s="699">
        <v>8076.358296622614</v>
      </c>
      <c r="AD102" s="698"/>
      <c r="AE102" s="696"/>
      <c r="AF102" s="699">
        <v>7782.6725403817909</v>
      </c>
      <c r="AG102" s="698"/>
      <c r="AH102" s="696"/>
      <c r="AI102" s="699">
        <v>7635.8296622613798</v>
      </c>
      <c r="AJ102" s="698"/>
      <c r="AK102" s="696"/>
      <c r="AL102" s="699">
        <v>6754.7723935389131</v>
      </c>
      <c r="AM102" s="698"/>
      <c r="AN102" s="696"/>
      <c r="AO102" s="699">
        <v>5873.7151248164464</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+$C$4&amp;B103</f>
        <v>Véhicules neufs</v>
      </c>
      <c r="B103" s="700"/>
      <c r="C103" s="700"/>
      <c r="D103" s="707"/>
      <c r="E103" s="701"/>
      <c r="F103" s="700"/>
      <c r="G103" s="707"/>
      <c r="H103" s="701"/>
      <c r="I103" s="700"/>
      <c r="J103" s="707"/>
      <c r="K103" s="701"/>
      <c r="L103" s="700"/>
      <c r="M103" s="707"/>
      <c r="N103" s="701"/>
      <c r="O103" s="700"/>
      <c r="P103" s="707"/>
      <c r="Q103" s="701"/>
      <c r="R103" s="700"/>
      <c r="S103" s="707"/>
      <c r="T103" s="701"/>
      <c r="U103" s="700"/>
      <c r="V103" s="707"/>
      <c r="W103" s="701"/>
      <c r="X103" s="700"/>
      <c r="Y103" s="707"/>
      <c r="Z103" s="701"/>
      <c r="AA103" s="700"/>
      <c r="AB103" s="707"/>
      <c r="AC103" s="701"/>
      <c r="AD103" s="700"/>
      <c r="AE103" s="707"/>
      <c r="AF103" s="701"/>
      <c r="AG103" s="700"/>
      <c r="AH103" s="707"/>
      <c r="AI103" s="701"/>
      <c r="AJ103" s="700"/>
      <c r="AK103" s="707"/>
      <c r="AL103" s="701"/>
      <c r="AM103" s="700"/>
      <c r="AN103" s="707"/>
      <c r="AO103" s="701"/>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usagésVentes au Gros</v>
      </c>
      <c r="B104" s="700" t="s">
        <v>156</v>
      </c>
      <c r="C104" s="695">
        <f>+SUM(F104,I104,L104,O104,R104,U104,X104,AA104,AD104,AG104,AJ104,AM104)</f>
        <v>340</v>
      </c>
      <c r="D104" s="696">
        <f>IF(C104=0,0,E104/C104)</f>
        <v>500</v>
      </c>
      <c r="E104" s="697">
        <f>+SUM(H104,K104,N104,Q104,T104,W104,Z104,AC104,AF104,AI104,AL104,AO104)</f>
        <v>170000</v>
      </c>
      <c r="F104" s="698">
        <f>'[1]Vehicules usages 2026'!E21</f>
        <v>16</v>
      </c>
      <c r="G104" s="696">
        <f>IF(F104=0,0,H104/F104)</f>
        <v>500</v>
      </c>
      <c r="H104" s="699">
        <f>'[1]Vehicules usages 2026'!E46</f>
        <v>8000</v>
      </c>
      <c r="I104" s="698">
        <f>'[1]Vehicules usages 2026'!F21</f>
        <v>9</v>
      </c>
      <c r="J104" s="696">
        <f>IF(I104=0,0,K104/I104)</f>
        <v>500</v>
      </c>
      <c r="K104" s="699">
        <f>'[1]Vehicules usages 2026'!F46</f>
        <v>4500</v>
      </c>
      <c r="L104" s="698">
        <f>'[1]Vehicules usages 2026'!G21</f>
        <v>9</v>
      </c>
      <c r="M104" s="696">
        <f>IF(L104=0,0,N104/L104)</f>
        <v>500</v>
      </c>
      <c r="N104" s="699">
        <f>'[1]Vehicules usages 2026'!G46</f>
        <v>4500</v>
      </c>
      <c r="O104" s="698">
        <f>'[1]Vehicules usages 2026'!H21</f>
        <v>16</v>
      </c>
      <c r="P104" s="696">
        <f>IF(O104=0,0,Q104/O104)</f>
        <v>500</v>
      </c>
      <c r="Q104" s="699">
        <f>'[1]Vehicules usages 2026'!H46</f>
        <v>8000</v>
      </c>
      <c r="R104" s="698">
        <f>'[1]Vehicules usages 2026'!I21</f>
        <v>22</v>
      </c>
      <c r="S104" s="696">
        <f>IF(R104=0,0,T104/R104)</f>
        <v>500</v>
      </c>
      <c r="T104" s="699">
        <f>'[1]Vehicules usages 2026'!I46</f>
        <v>11000</v>
      </c>
      <c r="U104" s="698">
        <f>'[1]Vehicules usages 2026'!J21</f>
        <v>39</v>
      </c>
      <c r="V104" s="696">
        <f>IF(U104=0,0,W104/U104)</f>
        <v>500</v>
      </c>
      <c r="W104" s="699">
        <f>'[1]Vehicules usages 2026'!J46</f>
        <v>19500</v>
      </c>
      <c r="X104" s="698">
        <f>'[1]Vehicules usages 2026'!K21</f>
        <v>44</v>
      </c>
      <c r="Y104" s="696">
        <f>IF(X104=0,0,Z104/X104)</f>
        <v>500</v>
      </c>
      <c r="Z104" s="699">
        <f>'[1]Vehicules usages 2026'!K46</f>
        <v>22000</v>
      </c>
      <c r="AA104" s="698">
        <f>'[1]Vehicules usages 2026'!L21</f>
        <v>43</v>
      </c>
      <c r="AB104" s="696">
        <f>IF(AA104=0,0,AC104/AA104)</f>
        <v>500</v>
      </c>
      <c r="AC104" s="699">
        <f>'[1]Vehicules usages 2026'!L46</f>
        <v>21500</v>
      </c>
      <c r="AD104" s="698">
        <f>'[1]Vehicules usages 2026'!M21</f>
        <v>33</v>
      </c>
      <c r="AE104" s="696">
        <f>IF(AD104=0,0,AF104/AD104)</f>
        <v>500</v>
      </c>
      <c r="AF104" s="699">
        <f>'[1]Vehicules usages 2026'!M46</f>
        <v>16500</v>
      </c>
      <c r="AG104" s="698">
        <f>'[1]Vehicules usages 2026'!N21</f>
        <v>45</v>
      </c>
      <c r="AH104" s="696">
        <f>IF(AG104=0,0,AI104/AG104)</f>
        <v>500</v>
      </c>
      <c r="AI104" s="699">
        <f>'[1]Vehicules usages 2026'!N46</f>
        <v>22500</v>
      </c>
      <c r="AJ104" s="698">
        <f>'[1]Vehicules usages 2026'!O21</f>
        <v>34</v>
      </c>
      <c r="AK104" s="696">
        <f>IF(AJ104=0,0,AL104/AJ104)</f>
        <v>500</v>
      </c>
      <c r="AL104" s="699">
        <f>'[1]Vehicules usages 2026'!O46</f>
        <v>17000</v>
      </c>
      <c r="AM104" s="698">
        <f>'[1]Vehicules usages 2026'!P21</f>
        <v>30</v>
      </c>
      <c r="AN104" s="696">
        <f>IF(AM104=0,0,AO104/AM104)</f>
        <v>500</v>
      </c>
      <c r="AO104" s="699">
        <f>'[1]Vehicules usages 2026'!P46</f>
        <v>15000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v>
      </c>
      <c r="B105" s="726"/>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Finances</v>
      </c>
      <c r="B106" s="700" t="s">
        <v>105</v>
      </c>
      <c r="C106" s="695"/>
      <c r="D106" s="696">
        <f>IF(C100=0,0,E106/C100)</f>
        <v>350</v>
      </c>
      <c r="E106" s="697">
        <f>+SUM(H106,K106,N106,Q106,T106,W106,Z106,AC106,AF106,AI106,AL106,AO106)</f>
        <v>186550</v>
      </c>
      <c r="F106" s="698"/>
      <c r="G106" s="696">
        <f>IF(F100=0,0,H106/F100)</f>
        <v>350</v>
      </c>
      <c r="H106" s="699">
        <f>'[1]Vehicules usages 2026'!E68</f>
        <v>11200</v>
      </c>
      <c r="I106" s="698"/>
      <c r="J106" s="696">
        <f>IF(I100=0,0,K106/I100)</f>
        <v>350</v>
      </c>
      <c r="K106" s="699">
        <f>'[1]Vehicules usages 2026'!F68</f>
        <v>11550</v>
      </c>
      <c r="L106" s="698"/>
      <c r="M106" s="696">
        <f>IF(L100=0,0,N106/L100)</f>
        <v>350</v>
      </c>
      <c r="N106" s="699">
        <f>'[1]Vehicules usages 2026'!G68</f>
        <v>17150</v>
      </c>
      <c r="O106" s="698"/>
      <c r="P106" s="696">
        <f>IF(O100=0,0,Q106/O100)</f>
        <v>350</v>
      </c>
      <c r="Q106" s="699">
        <f>'[1]Vehicules usages 2026'!H68</f>
        <v>17850</v>
      </c>
      <c r="R106" s="698"/>
      <c r="S106" s="696">
        <f>IF(R100=0,0,T106/R100)</f>
        <v>350</v>
      </c>
      <c r="T106" s="699">
        <f>'[1]Vehicules usages 2026'!I68</f>
        <v>18550</v>
      </c>
      <c r="U106" s="698"/>
      <c r="V106" s="696">
        <f>IF(U100=0,0,W106/U100)</f>
        <v>350</v>
      </c>
      <c r="W106" s="699">
        <f>'[1]Vehicules usages 2026'!J68</f>
        <v>17850</v>
      </c>
      <c r="X106" s="698"/>
      <c r="Y106" s="696">
        <f>IF(X100=0,0,Z106/X100)</f>
        <v>350</v>
      </c>
      <c r="Z106" s="699">
        <f>'[1]Vehicules usages 2026'!K68</f>
        <v>16800</v>
      </c>
      <c r="AA106" s="698"/>
      <c r="AB106" s="696">
        <f>IF(AA100=0,0,AC106/AA100)</f>
        <v>350</v>
      </c>
      <c r="AC106" s="699">
        <f>'[1]Vehicules usages 2026'!L68</f>
        <v>16450</v>
      </c>
      <c r="AD106" s="698"/>
      <c r="AE106" s="696">
        <f>IF(AD100=0,0,AF106/AD100)</f>
        <v>350</v>
      </c>
      <c r="AF106" s="699">
        <f>'[1]Vehicules usages 2026'!M68</f>
        <v>16450</v>
      </c>
      <c r="AG106" s="698"/>
      <c r="AH106" s="696">
        <f>IF(AG100=0,0,AI106/AG100)</f>
        <v>350</v>
      </c>
      <c r="AI106" s="699">
        <f>'[1]Vehicules usages 2026'!N68</f>
        <v>16100</v>
      </c>
      <c r="AJ106" s="698"/>
      <c r="AK106" s="696">
        <f>IF(AJ100=0,0,AL106/AJ100)</f>
        <v>350</v>
      </c>
      <c r="AL106" s="699">
        <f>'[1]Vehicules usages 2026'!O68</f>
        <v>14350</v>
      </c>
      <c r="AM106" s="698"/>
      <c r="AN106" s="696">
        <f>IF(AM100=0,0,AO106/AM100)</f>
        <v>350</v>
      </c>
      <c r="AO106" s="699">
        <f>'[1]Vehicules usages 2026'!P68</f>
        <v>12250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Protections</v>
      </c>
      <c r="B107" s="700" t="s">
        <v>106</v>
      </c>
      <c r="C107" s="695"/>
      <c r="D107" s="696">
        <f>IF(C100=0,0,E107/C100)</f>
        <v>1600</v>
      </c>
      <c r="E107" s="697">
        <f>+SUM(H107,K107,N107,Q107,T107,W107,Z107,AC107,AF107,AI107,AL107,AO107)</f>
        <v>852800</v>
      </c>
      <c r="F107" s="698"/>
      <c r="G107" s="696">
        <f>IF(F100=0,0,H107/F100)</f>
        <v>1600</v>
      </c>
      <c r="H107" s="699">
        <f>'[1]Vehicules usages 2026'!E69</f>
        <v>51200</v>
      </c>
      <c r="I107" s="698"/>
      <c r="J107" s="696">
        <f>IF(I100=0,0,K107/I100)</f>
        <v>1600</v>
      </c>
      <c r="K107" s="699">
        <f>'[1]Vehicules usages 2026'!F69</f>
        <v>52800</v>
      </c>
      <c r="L107" s="698"/>
      <c r="M107" s="696">
        <f>IF(L100=0,0,N107/L100)</f>
        <v>1600</v>
      </c>
      <c r="N107" s="699">
        <f>'[1]Vehicules usages 2026'!G69</f>
        <v>78400</v>
      </c>
      <c r="O107" s="698"/>
      <c r="P107" s="696">
        <f>IF(O100=0,0,Q107/O100)</f>
        <v>1600</v>
      </c>
      <c r="Q107" s="699">
        <f>'[1]Vehicules usages 2026'!H69</f>
        <v>81600</v>
      </c>
      <c r="R107" s="698"/>
      <c r="S107" s="696">
        <f>IF(R100=0,0,T107/R100)</f>
        <v>1600</v>
      </c>
      <c r="T107" s="699">
        <f>'[1]Vehicules usages 2026'!I69</f>
        <v>84800</v>
      </c>
      <c r="U107" s="698"/>
      <c r="V107" s="696">
        <f>IF(U100=0,0,W107/U100)</f>
        <v>1600</v>
      </c>
      <c r="W107" s="699">
        <f>'[1]Vehicules usages 2026'!J69</f>
        <v>81600</v>
      </c>
      <c r="X107" s="698"/>
      <c r="Y107" s="696">
        <f>IF(X100=0,0,Z107/X100)</f>
        <v>1600</v>
      </c>
      <c r="Z107" s="699">
        <f>'[1]Vehicules usages 2026'!K69</f>
        <v>76800</v>
      </c>
      <c r="AA107" s="698"/>
      <c r="AB107" s="696">
        <f>IF(AA100=0,0,AC107/AA100)</f>
        <v>1600</v>
      </c>
      <c r="AC107" s="699">
        <f>'[1]Vehicules usages 2026'!L69</f>
        <v>75200</v>
      </c>
      <c r="AD107" s="698"/>
      <c r="AE107" s="696">
        <f>IF(AD100=0,0,AF107/AD100)</f>
        <v>1600</v>
      </c>
      <c r="AF107" s="699">
        <f>'[1]Vehicules usages 2026'!M69</f>
        <v>75200</v>
      </c>
      <c r="AG107" s="698"/>
      <c r="AH107" s="696">
        <f>IF(AG100=0,0,AI107/AG100)</f>
        <v>1600</v>
      </c>
      <c r="AI107" s="699">
        <f>'[1]Vehicules usages 2026'!N69</f>
        <v>73600</v>
      </c>
      <c r="AJ107" s="698"/>
      <c r="AK107" s="696">
        <f>IF(AJ100=0,0,AL107/AJ100)</f>
        <v>1600</v>
      </c>
      <c r="AL107" s="699">
        <f>'[1]Vehicules usages 2026'!O69</f>
        <v>65600</v>
      </c>
      <c r="AM107" s="698"/>
      <c r="AN107" s="696">
        <f>IF(AM100=0,0,AO107/AM100)</f>
        <v>1600</v>
      </c>
      <c r="AO107" s="699">
        <f>'[1]Vehicules usages 2026'!P69</f>
        <v>56000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usagésRev. Autres</v>
      </c>
      <c r="B108" s="700" t="s">
        <v>107</v>
      </c>
      <c r="C108" s="695"/>
      <c r="D108" s="745">
        <f>IF(C100=0,0,E108/C100)</f>
        <v>50</v>
      </c>
      <c r="E108" s="697">
        <f>+SUM(H108,K108,N108,Q108,T108,W108,Z108,AC108,AF108,AI108,AL108,AO108)</f>
        <v>26650</v>
      </c>
      <c r="F108" s="698"/>
      <c r="G108" s="745">
        <f>IF(F100=0,0,H108/F100)</f>
        <v>50</v>
      </c>
      <c r="H108" s="699">
        <f>'[1]Vehicules usages 2026'!E70</f>
        <v>1600</v>
      </c>
      <c r="I108" s="698"/>
      <c r="J108" s="745">
        <f>IF(I100=0,0,K108/I100)</f>
        <v>50</v>
      </c>
      <c r="K108" s="699">
        <f>'[1]Vehicules usages 2026'!F70</f>
        <v>1650</v>
      </c>
      <c r="L108" s="698"/>
      <c r="M108" s="745">
        <f>IF(L100=0,0,N108/L100)</f>
        <v>50</v>
      </c>
      <c r="N108" s="699">
        <f>'[1]Vehicules usages 2026'!G70</f>
        <v>2450</v>
      </c>
      <c r="O108" s="698"/>
      <c r="P108" s="745">
        <f>IF(O100=0,0,Q108/O100)</f>
        <v>50</v>
      </c>
      <c r="Q108" s="699">
        <f>'[1]Vehicules usages 2026'!H70</f>
        <v>2550</v>
      </c>
      <c r="R108" s="698"/>
      <c r="S108" s="745">
        <f>IF(R100=0,0,T108/R100)</f>
        <v>50</v>
      </c>
      <c r="T108" s="699">
        <f>'[1]Vehicules usages 2026'!I70</f>
        <v>2650</v>
      </c>
      <c r="U108" s="698"/>
      <c r="V108" s="745">
        <f>IF(U100=0,0,W108/U100)</f>
        <v>50</v>
      </c>
      <c r="W108" s="699">
        <f>'[1]Vehicules usages 2026'!J70</f>
        <v>2550</v>
      </c>
      <c r="X108" s="698"/>
      <c r="Y108" s="745">
        <f>IF(X100=0,0,Z108/X100)</f>
        <v>50</v>
      </c>
      <c r="Z108" s="699">
        <f>'[1]Vehicules usages 2026'!K70</f>
        <v>2400</v>
      </c>
      <c r="AA108" s="698"/>
      <c r="AB108" s="745">
        <f>IF(AA100=0,0,AC108/AA100)</f>
        <v>50</v>
      </c>
      <c r="AC108" s="699">
        <f>'[1]Vehicules usages 2026'!L70</f>
        <v>2350</v>
      </c>
      <c r="AD108" s="698"/>
      <c r="AE108" s="745">
        <f>IF(AD100=0,0,AF108/AD100)</f>
        <v>50</v>
      </c>
      <c r="AF108" s="699">
        <f>'[1]Vehicules usages 2026'!M70</f>
        <v>2350</v>
      </c>
      <c r="AG108" s="698"/>
      <c r="AH108" s="745">
        <f>IF(AG100=0,0,AI108/AG100)</f>
        <v>50</v>
      </c>
      <c r="AI108" s="699">
        <f>'[1]Vehicules usages 2026'!N70</f>
        <v>2300</v>
      </c>
      <c r="AJ108" s="698"/>
      <c r="AK108" s="745">
        <f>IF(AJ100=0,0,AL108/AJ100)</f>
        <v>50</v>
      </c>
      <c r="AL108" s="699">
        <f>'[1]Vehicules usages 2026'!O70</f>
        <v>2050</v>
      </c>
      <c r="AM108" s="698"/>
      <c r="AN108" s="745">
        <f>IF(AM100=0,0,AO108/AM100)</f>
        <v>50</v>
      </c>
      <c r="AO108" s="699">
        <f>'[1]Vehicules usages 2026'!P70</f>
        <v>1750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usagésTotal F&amp;I</v>
      </c>
      <c r="B109" s="1012" t="s">
        <v>108</v>
      </c>
      <c r="C109" s="1013">
        <f>C100</f>
        <v>533</v>
      </c>
      <c r="D109" s="1014">
        <f>IF(C109&lt;=0,0,E109/C109)</f>
        <v>2000</v>
      </c>
      <c r="E109" s="1015">
        <f>E106+E107+E108</f>
        <v>1066000</v>
      </c>
      <c r="F109" s="1013">
        <f>F100</f>
        <v>32</v>
      </c>
      <c r="G109" s="1014">
        <f>IF(F109&lt;=0,0,H109/F109)</f>
        <v>2000</v>
      </c>
      <c r="H109" s="1015">
        <f>H106+H107+H108</f>
        <v>64000</v>
      </c>
      <c r="I109" s="1013">
        <f>I100</f>
        <v>33</v>
      </c>
      <c r="J109" s="1014">
        <f>IF(I109&lt;=0,0,K109/I109)</f>
        <v>2000</v>
      </c>
      <c r="K109" s="1015">
        <f>K106+K107+K108</f>
        <v>66000</v>
      </c>
      <c r="L109" s="1013">
        <f>L100</f>
        <v>49</v>
      </c>
      <c r="M109" s="1014">
        <f>IF(L109&lt;=0,0,N109/L109)</f>
        <v>2000</v>
      </c>
      <c r="N109" s="1015">
        <f>N106+N107+N108</f>
        <v>98000</v>
      </c>
      <c r="O109" s="1013">
        <f>O100</f>
        <v>51</v>
      </c>
      <c r="P109" s="1014">
        <f>IF(O109&lt;=0,0,Q109/O109)</f>
        <v>2000</v>
      </c>
      <c r="Q109" s="1015">
        <f>Q106+Q107+Q108</f>
        <v>102000</v>
      </c>
      <c r="R109" s="1013">
        <f>R100</f>
        <v>53</v>
      </c>
      <c r="S109" s="1014">
        <f>IF(R109&lt;=0,0,T109/R109)</f>
        <v>2000</v>
      </c>
      <c r="T109" s="1015">
        <f>T106+T107+T108</f>
        <v>106000</v>
      </c>
      <c r="U109" s="1013">
        <f>U100</f>
        <v>51</v>
      </c>
      <c r="V109" s="1014">
        <f>IF(U109&lt;=0,0,W109/U109)</f>
        <v>2000</v>
      </c>
      <c r="W109" s="1015">
        <f>W106+W107+W108</f>
        <v>102000</v>
      </c>
      <c r="X109" s="1013">
        <f>X100</f>
        <v>48</v>
      </c>
      <c r="Y109" s="1014">
        <f>IF(X109&lt;=0,0,Z109/X109)</f>
        <v>2000</v>
      </c>
      <c r="Z109" s="1015">
        <f>Z106+Z107+Z108</f>
        <v>96000</v>
      </c>
      <c r="AA109" s="1013">
        <f>AA100</f>
        <v>47</v>
      </c>
      <c r="AB109" s="1014">
        <f>IF(AA109&lt;=0,0,AC109/AA109)</f>
        <v>2000</v>
      </c>
      <c r="AC109" s="1015">
        <f>AC106+AC107+AC108</f>
        <v>94000</v>
      </c>
      <c r="AD109" s="1013">
        <f>AD100</f>
        <v>47</v>
      </c>
      <c r="AE109" s="1014">
        <f>IF(AD109&lt;=0,0,AF109/AD109)</f>
        <v>2000</v>
      </c>
      <c r="AF109" s="1015">
        <f>AF106+AF107+AF108</f>
        <v>94000</v>
      </c>
      <c r="AG109" s="1013">
        <f>AG100</f>
        <v>46</v>
      </c>
      <c r="AH109" s="1014">
        <f>IF(AG109&lt;=0,0,AI109/AG109)</f>
        <v>2000</v>
      </c>
      <c r="AI109" s="1015">
        <f>AI106+AI107+AI108</f>
        <v>92000</v>
      </c>
      <c r="AJ109" s="1013">
        <f>AJ100</f>
        <v>41</v>
      </c>
      <c r="AK109" s="1014">
        <f>IF(AJ109&lt;=0,0,AL109/AJ109)</f>
        <v>2000</v>
      </c>
      <c r="AL109" s="1015">
        <f>AL106+AL107+AL108</f>
        <v>82000</v>
      </c>
      <c r="AM109" s="1013">
        <f>AM100</f>
        <v>35</v>
      </c>
      <c r="AN109" s="1014">
        <f>IF(AM109&lt;=0,0,AO109/AM109)</f>
        <v>2000</v>
      </c>
      <c r="AO109" s="1015">
        <f>AO106+AO107+AO108</f>
        <v>70000</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v>
      </c>
      <c r="B111" s="700"/>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usagésTotal Dépt. Usagés</v>
      </c>
      <c r="B112" s="1021" t="s">
        <v>157</v>
      </c>
      <c r="C112" s="709">
        <f>C100+C104</f>
        <v>873</v>
      </c>
      <c r="D112" s="710">
        <f>IF(C112&lt;=0,0,E112/C112)</f>
        <v>2331.6151202749143</v>
      </c>
      <c r="E112" s="711">
        <f>E100+E109+E104</f>
        <v>2035500</v>
      </c>
      <c r="F112" s="709">
        <f>F100+F104</f>
        <v>48</v>
      </c>
      <c r="G112" s="710">
        <f>IF(F112&lt;=0,0,H112/F112)</f>
        <v>2500</v>
      </c>
      <c r="H112" s="711">
        <f>H100+H109+H104</f>
        <v>120000</v>
      </c>
      <c r="I112" s="709">
        <f>I100+I104</f>
        <v>42</v>
      </c>
      <c r="J112" s="710">
        <f>IF(I112&lt;=0,0,K112/I112)</f>
        <v>2857.1428571428573</v>
      </c>
      <c r="K112" s="711">
        <f>K100+K109+K104</f>
        <v>120000</v>
      </c>
      <c r="L112" s="709">
        <f>L100+L104</f>
        <v>58</v>
      </c>
      <c r="M112" s="710">
        <f>IF(L112&lt;=0,0,N112/L112)</f>
        <v>3034.4827586206898</v>
      </c>
      <c r="N112" s="711">
        <f>N100+N109+N104</f>
        <v>176000</v>
      </c>
      <c r="O112" s="709">
        <f>O100+O104</f>
        <v>67</v>
      </c>
      <c r="P112" s="710">
        <f>IF(O112&lt;=0,0,Q112/O112)</f>
        <v>2783.5820895522388</v>
      </c>
      <c r="Q112" s="711">
        <f>Q100+Q109+Q104</f>
        <v>186500</v>
      </c>
      <c r="R112" s="709">
        <f>R100+R104</f>
        <v>75</v>
      </c>
      <c r="S112" s="710">
        <f>IF(R112&lt;=0,0,T112/R112)</f>
        <v>2620</v>
      </c>
      <c r="T112" s="711">
        <f>T100+T109+T104</f>
        <v>196500</v>
      </c>
      <c r="U112" s="709">
        <f>U100+U104</f>
        <v>90</v>
      </c>
      <c r="V112" s="710">
        <f>IF(U112&lt;=0,0,W112/U112)</f>
        <v>2200</v>
      </c>
      <c r="W112" s="711">
        <f>W100+W109+W104</f>
        <v>198000</v>
      </c>
      <c r="X112" s="709">
        <f>X100+X104</f>
        <v>92</v>
      </c>
      <c r="Y112" s="710">
        <f>IF(X112&lt;=0,0,Z112/X112)</f>
        <v>2065.217391304348</v>
      </c>
      <c r="Z112" s="711">
        <f>Z100+Z109+Z104</f>
        <v>190000</v>
      </c>
      <c r="AA112" s="709">
        <f>AA100+AA104</f>
        <v>90</v>
      </c>
      <c r="AB112" s="710">
        <f>IF(AA112&lt;=0,0,AC112/AA112)</f>
        <v>2066.6666666666665</v>
      </c>
      <c r="AC112" s="711">
        <f>AC100+AC109+AC104</f>
        <v>186000</v>
      </c>
      <c r="AD112" s="709">
        <f>AD100+AD104</f>
        <v>80</v>
      </c>
      <c r="AE112" s="710">
        <f>IF(AD112&lt;=0,0,AF112/AD112)</f>
        <v>2262.5</v>
      </c>
      <c r="AF112" s="711">
        <f>AF100+AF109+AF104</f>
        <v>181000</v>
      </c>
      <c r="AG112" s="709">
        <f>AG100+AG104</f>
        <v>91</v>
      </c>
      <c r="AH112" s="710">
        <f>IF(AG112&lt;=0,0,AI112/AG112)</f>
        <v>2016.4835164835165</v>
      </c>
      <c r="AI112" s="711">
        <f>AI100+AI109+AI104</f>
        <v>183500</v>
      </c>
      <c r="AJ112" s="709">
        <f>AJ100+AJ104</f>
        <v>75</v>
      </c>
      <c r="AK112" s="710">
        <f>IF(AJ112&lt;=0,0,AL112/AJ112)</f>
        <v>2140</v>
      </c>
      <c r="AL112" s="711">
        <f>AL100+AL109+AL104</f>
        <v>160500</v>
      </c>
      <c r="AM112" s="709">
        <f>AM100+AM104</f>
        <v>65</v>
      </c>
      <c r="AN112" s="710">
        <f>IF(AM112&lt;=0,0,AO112/AM112)</f>
        <v>2115.3846153846152</v>
      </c>
      <c r="AO112" s="711">
        <f>AO100+AO109+AO104</f>
        <v>137500</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12"/>
      <c r="C113" s="712"/>
      <c r="D113" s="713"/>
      <c r="E113" s="714"/>
      <c r="F113" s="712"/>
      <c r="G113" s="713"/>
      <c r="H113" s="714"/>
      <c r="I113" s="712"/>
      <c r="J113" s="713"/>
      <c r="K113" s="714"/>
      <c r="L113" s="712"/>
      <c r="M113" s="713"/>
      <c r="N113" s="714"/>
      <c r="O113" s="712"/>
      <c r="P113" s="713"/>
      <c r="Q113" s="714"/>
      <c r="R113" s="712"/>
      <c r="S113" s="713"/>
      <c r="T113" s="714"/>
      <c r="U113" s="712"/>
      <c r="V113" s="713"/>
      <c r="W113" s="714"/>
      <c r="X113" s="712"/>
      <c r="Y113" s="713"/>
      <c r="Z113" s="714"/>
      <c r="AA113" s="712"/>
      <c r="AB113" s="713"/>
      <c r="AC113" s="714"/>
      <c r="AD113" s="712"/>
      <c r="AE113" s="713"/>
      <c r="AF113" s="714"/>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v>
      </c>
      <c r="B114" s="7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usagésDEPENSES</v>
      </c>
      <c r="B115" s="1022" t="s">
        <v>110</v>
      </c>
      <c r="C115" s="700"/>
      <c r="D115" s="718"/>
      <c r="E115" s="701"/>
      <c r="F115" s="700"/>
      <c r="G115" s="718"/>
      <c r="H115" s="701"/>
      <c r="I115" s="700"/>
      <c r="J115" s="718"/>
      <c r="K115" s="701"/>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vendeurs</v>
      </c>
      <c r="B116" s="700" t="s">
        <v>111</v>
      </c>
      <c r="C116" s="1044">
        <f>E116/E100</f>
        <v>0.31552845528455287</v>
      </c>
      <c r="D116" s="720">
        <f>IF(C$100=0,0,E116/(C$97+C$98+C99))</f>
        <v>473.29268292682929</v>
      </c>
      <c r="E116" s="708">
        <f t="shared" ref="E116:E125" si="34">+SUM(H116,K116,N116,Q116,T116,W116,Z116,AC116,AF116,AI116,AL116,AO116)</f>
        <v>252265</v>
      </c>
      <c r="F116" s="1044">
        <f>H116/H100</f>
        <v>0.32833333333333331</v>
      </c>
      <c r="G116" s="720">
        <f>IF(F$100=0,0,H116/(F$97+F$98+F99))</f>
        <v>492.5</v>
      </c>
      <c r="H116" s="721">
        <f>'[1]Vehicules usages 2026'!E61</f>
        <v>15760</v>
      </c>
      <c r="I116" s="1044">
        <f>K116/K100</f>
        <v>0.32656565656565656</v>
      </c>
      <c r="J116" s="720">
        <f>IF(I$100=0,0,K116/(I$97+I$98+I99))</f>
        <v>489.84848484848487</v>
      </c>
      <c r="K116" s="721">
        <f>'[1]Vehicules usages 2026'!F61</f>
        <v>16165</v>
      </c>
      <c r="L116" s="1044">
        <f>N116/N100</f>
        <v>0.30809523809523809</v>
      </c>
      <c r="M116" s="720">
        <f>IF(L$100=0,0,N116/(L$97+L$98+L99))</f>
        <v>462.14285714285717</v>
      </c>
      <c r="N116" s="721">
        <f>'[1]Vehicules usages 2026'!G61</f>
        <v>22645</v>
      </c>
      <c r="O116" s="1044">
        <f>Q116/Q100</f>
        <v>0.30660130718954248</v>
      </c>
      <c r="P116" s="720">
        <f>IF(O$100=0,0,Q116/(O$97+O$98+O99))</f>
        <v>459.9019607843137</v>
      </c>
      <c r="Q116" s="721">
        <f>'[1]Vehicules usages 2026'!H61</f>
        <v>23455</v>
      </c>
      <c r="R116" s="1044">
        <f>T116/T100</f>
        <v>0.31402515723270441</v>
      </c>
      <c r="S116" s="720">
        <f>IF(R$100=0,0,T116/(R$97+R$98+R99))</f>
        <v>471.03773584905662</v>
      </c>
      <c r="T116" s="721">
        <f>'[1]Vehicules usages 2026'!I61</f>
        <v>24965</v>
      </c>
      <c r="U116" s="1044">
        <f>W116/W100</f>
        <v>0.30660130718954248</v>
      </c>
      <c r="V116" s="720">
        <f>IF(U$100=0,0,W116/(U$97+U$98+U99))</f>
        <v>459.9019607843137</v>
      </c>
      <c r="W116" s="721">
        <f>'[1]Vehicules usages 2026'!J61</f>
        <v>23455</v>
      </c>
      <c r="X116" s="1044">
        <f>Z116/Z100</f>
        <v>0.31861111111111112</v>
      </c>
      <c r="Y116" s="720">
        <f>IF(X$100=0,0,Z116/(X$97+X$98+X99))</f>
        <v>477.91666666666669</v>
      </c>
      <c r="Z116" s="721">
        <f>'[1]Vehicules usages 2026'!K61</f>
        <v>22940</v>
      </c>
      <c r="AA116" s="1044">
        <f>AC116/AC100</f>
        <v>0.30971631205673761</v>
      </c>
      <c r="AB116" s="720">
        <f>IF(AA$100=0,0,AC116/(AA$97+AA$98+AA99))</f>
        <v>464.57446808510639</v>
      </c>
      <c r="AC116" s="721">
        <f>'[1]Vehicules usages 2026'!L61</f>
        <v>21835</v>
      </c>
      <c r="AD116" s="1044">
        <f>AF116/AF100</f>
        <v>0.30971631205673761</v>
      </c>
      <c r="AE116" s="720">
        <f>IF(AD$100=0,0,AF116/(AD$97+AD$98+AD99))</f>
        <v>464.57446808510639</v>
      </c>
      <c r="AF116" s="721">
        <f>'[1]Vehicules usages 2026'!M61</f>
        <v>21835</v>
      </c>
      <c r="AG116" s="1044">
        <f>AI116/AI100</f>
        <v>0.32072463768115944</v>
      </c>
      <c r="AH116" s="720">
        <f>IF(AG$100=0,0,AI116/(AG$97+AG$98+AG99))</f>
        <v>481.08695652173913</v>
      </c>
      <c r="AI116" s="721">
        <f>'[1]Vehicules usages 2026'!N61</f>
        <v>22130</v>
      </c>
      <c r="AJ116" s="1044">
        <f>AL116/AL100</f>
        <v>0.31552845528455287</v>
      </c>
      <c r="AK116" s="720">
        <f>IF(AJ$100=0,0,AL116/(AJ$97+AJ$98+AJ99))</f>
        <v>473.29268292682929</v>
      </c>
      <c r="AL116" s="721">
        <f>'[1]Vehicules usages 2026'!O61</f>
        <v>19405</v>
      </c>
      <c r="AM116" s="1044">
        <f>AO116/AO100</f>
        <v>0.33666666666666667</v>
      </c>
      <c r="AN116" s="720">
        <f>IF(AM$100=0,0,AO116/(AM$97+AM$98+AM99))</f>
        <v>505</v>
      </c>
      <c r="AO116" s="721">
        <f>'[1]Vehicules usages 2026'!P61</f>
        <v>17675</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usagésComm. F&amp;I</v>
      </c>
      <c r="B117" s="726" t="s">
        <v>112</v>
      </c>
      <c r="C117" s="722">
        <f>E117/E109</f>
        <v>0.25876172607879927</v>
      </c>
      <c r="D117" s="723">
        <f>IF(C$100=0,0,E117/(C$97+C$98+C99))</f>
        <v>517.52345215759851</v>
      </c>
      <c r="E117" s="724">
        <f t="shared" si="34"/>
        <v>275840</v>
      </c>
      <c r="F117" s="722">
        <f>H117/H109</f>
        <v>0.26064977973568282</v>
      </c>
      <c r="G117" s="723">
        <f>IF(F$100=0,0,H117/(F$97+F$98+F99))</f>
        <v>521.29955947136568</v>
      </c>
      <c r="H117" s="725">
        <f>'[1]Vehicules usages 2026'!E75</f>
        <v>16681.585903083702</v>
      </c>
      <c r="I117" s="722">
        <f>K117/K109</f>
        <v>0.26135896409024167</v>
      </c>
      <c r="J117" s="723">
        <f>IF(I$100=0,0,K117/(I$97+I$98+I99))</f>
        <v>522.71792818048334</v>
      </c>
      <c r="K117" s="725">
        <f>'[1]Vehicules usages 2026'!F75</f>
        <v>17249.691629955949</v>
      </c>
      <c r="L117" s="722">
        <f>N117/N109</f>
        <v>0.26097755401720157</v>
      </c>
      <c r="M117" s="723">
        <f>IF(L$100=0,0,N117/(L$97+L$98+L99))</f>
        <v>521.95510803440322</v>
      </c>
      <c r="N117" s="725">
        <f>'[1]Vehicules usages 2026'!G75</f>
        <v>25575.800293685756</v>
      </c>
      <c r="O117" s="722">
        <f>Q117/Q109</f>
        <v>0.26044283205205726</v>
      </c>
      <c r="P117" s="723">
        <f>IF(O$100=0,0,Q117/(O$97+O$98+O99))</f>
        <v>520.88566410411454</v>
      </c>
      <c r="Q117" s="725">
        <f>'[1]Vehicules usages 2026'!H75</f>
        <v>26565.16886930984</v>
      </c>
      <c r="R117" s="722">
        <f>T117/T109</f>
        <v>0.26050259053001967</v>
      </c>
      <c r="S117" s="723">
        <f>IF(R$100=0,0,T117/(R$97+R$98+R99))</f>
        <v>521.00518106003926</v>
      </c>
      <c r="T117" s="725">
        <f>'[1]Vehicules usages 2026'!I75</f>
        <v>27613.274596182084</v>
      </c>
      <c r="U117" s="722">
        <f>W117/W109</f>
        <v>0.25929112320405401</v>
      </c>
      <c r="V117" s="723">
        <f>IF(U$100=0,0,W117/(U$97+U$98+U99))</f>
        <v>518.58224640810806</v>
      </c>
      <c r="W117" s="725">
        <f>'[1]Vehicules usages 2026'!J75</f>
        <v>26447.694566813509</v>
      </c>
      <c r="X117" s="722">
        <f>Z117/Z109</f>
        <v>0.25835535976505136</v>
      </c>
      <c r="Y117" s="723">
        <f>IF(X$100=0,0,Z117/(X$97+X$98+X99))</f>
        <v>516.71071953010278</v>
      </c>
      <c r="Z117" s="725">
        <f>'[1]Vehicules usages 2026'!K75</f>
        <v>24802.114537444933</v>
      </c>
      <c r="AA117" s="722">
        <f>AC117/AC109</f>
        <v>0.25718374105664388</v>
      </c>
      <c r="AB117" s="723">
        <f>IF(AA$100=0,0,AC117/(AA$97+AA$98+AA99))</f>
        <v>514.36748211328779</v>
      </c>
      <c r="AC117" s="725">
        <f>'[1]Vehicules usages 2026'!L75</f>
        <v>24175.271659324524</v>
      </c>
      <c r="AD117" s="722">
        <f>AF117/AF109</f>
        <v>0.25655887774549319</v>
      </c>
      <c r="AE117" s="723">
        <f>IF(AD$100=0,0,AF117/(AD$97+AD$98+AD99))</f>
        <v>513.11775549098638</v>
      </c>
      <c r="AF117" s="725">
        <f>'[1]Vehicules usages 2026'!M75</f>
        <v>24116.534508076358</v>
      </c>
      <c r="AG117" s="722">
        <f>AI117/AI109</f>
        <v>0.25659962970056821</v>
      </c>
      <c r="AH117" s="723">
        <f>IF(AG$100=0,0,AI117/(AG$97+AG$98+AG99))</f>
        <v>513.19925940113649</v>
      </c>
      <c r="AI117" s="725">
        <f>'[1]Vehicules usages 2026'!N75</f>
        <v>23607.165932452277</v>
      </c>
      <c r="AJ117" s="722">
        <f>AL117/AL109</f>
        <v>0.2564750546183876</v>
      </c>
      <c r="AK117" s="723">
        <f>IF(AJ$100=0,0,AL117/(AJ$97+AJ$98+AJ99))</f>
        <v>512.95010923677523</v>
      </c>
      <c r="AL117" s="725">
        <f>'[1]Vehicules usages 2026'!O75</f>
        <v>21030.954478707783</v>
      </c>
      <c r="AM117" s="722">
        <f>AO117/AO109</f>
        <v>0.25678204321376125</v>
      </c>
      <c r="AN117" s="723">
        <f>IF(AM$100=0,0,AO117/(AM$97+AM$98+AM99))</f>
        <v>513.56408642752251</v>
      </c>
      <c r="AO117" s="725">
        <f>'[1]Vehicules usages 2026'!P75</f>
        <v>17974.743024963289</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usagésFrais de livraison</v>
      </c>
      <c r="B118" s="700" t="s">
        <v>113</v>
      </c>
      <c r="C118" s="700"/>
      <c r="D118" s="720">
        <f>IF(C$100=0,0,E118/(C$97+C$98+C99))</f>
        <v>8</v>
      </c>
      <c r="E118" s="708">
        <f t="shared" si="34"/>
        <v>4264</v>
      </c>
      <c r="F118" s="700"/>
      <c r="G118" s="720">
        <f>IF(F$100=0,0,H118/(F$97+F$98+F99))</f>
        <v>8</v>
      </c>
      <c r="H118" s="721">
        <f>'[1]Vehicules usages 2026'!E81</f>
        <v>256</v>
      </c>
      <c r="I118" s="700"/>
      <c r="J118" s="720">
        <f>IF(I$100=0,0,K118/(I$97+I$98+I99))</f>
        <v>8</v>
      </c>
      <c r="K118" s="721">
        <f>'[1]Vehicules usages 2026'!F81</f>
        <v>264</v>
      </c>
      <c r="L118" s="700"/>
      <c r="M118" s="720">
        <f>IF(L$100=0,0,N118/(L$97+L$98+L99))</f>
        <v>8</v>
      </c>
      <c r="N118" s="721">
        <f>'[1]Vehicules usages 2026'!G81</f>
        <v>392</v>
      </c>
      <c r="O118" s="700"/>
      <c r="P118" s="720">
        <f>IF(O$100=0,0,Q118/(O$97+O$98+O99))</f>
        <v>8</v>
      </c>
      <c r="Q118" s="721">
        <f>'[1]Vehicules usages 2026'!H81</f>
        <v>408</v>
      </c>
      <c r="R118" s="700"/>
      <c r="S118" s="720">
        <f>IF(R$100=0,0,T118/(R$97+R$98+R99))</f>
        <v>8</v>
      </c>
      <c r="T118" s="721">
        <f>'[1]Vehicules usages 2026'!I81</f>
        <v>424</v>
      </c>
      <c r="U118" s="700"/>
      <c r="V118" s="720">
        <f>IF(U$100=0,0,W118/(U$97+U$98+U99))</f>
        <v>8</v>
      </c>
      <c r="W118" s="721">
        <f>'[1]Vehicules usages 2026'!J81</f>
        <v>408</v>
      </c>
      <c r="X118" s="700"/>
      <c r="Y118" s="720">
        <f>IF(X$100=0,0,Z118/(X$97+X$98+X99))</f>
        <v>8</v>
      </c>
      <c r="Z118" s="721">
        <f>'[1]Vehicules usages 2026'!K81</f>
        <v>384</v>
      </c>
      <c r="AA118" s="700"/>
      <c r="AB118" s="720">
        <f>IF(AA$100=0,0,AC118/(AA$97+AA$98+AA99))</f>
        <v>8</v>
      </c>
      <c r="AC118" s="721">
        <f>'[1]Vehicules usages 2026'!L81</f>
        <v>376</v>
      </c>
      <c r="AD118" s="700"/>
      <c r="AE118" s="720">
        <f>IF(AD$100=0,0,AF118/(AD$97+AD$98+AD99))</f>
        <v>8</v>
      </c>
      <c r="AF118" s="721">
        <f>'[1]Vehicules usages 2026'!M81</f>
        <v>376</v>
      </c>
      <c r="AG118" s="700"/>
      <c r="AH118" s="720">
        <f>IF(AG$100=0,0,AI118/(AG$97+AG$98+AG99))</f>
        <v>8</v>
      </c>
      <c r="AI118" s="721">
        <f>'[1]Vehicules usages 2026'!N81</f>
        <v>368</v>
      </c>
      <c r="AJ118" s="700"/>
      <c r="AK118" s="720">
        <f>IF(AJ$100=0,0,AL118/(AJ$97+AJ$98+AJ99))</f>
        <v>8</v>
      </c>
      <c r="AL118" s="721">
        <f>'[1]Vehicules usages 2026'!O81</f>
        <v>328</v>
      </c>
      <c r="AM118" s="700"/>
      <c r="AN118" s="720">
        <f>IF(AM$100=0,0,AO118/(AM$97+AM$98+AM99))</f>
        <v>8</v>
      </c>
      <c r="AO118" s="721">
        <f>'[1]Vehicules usages 2026'!P81</f>
        <v>280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usagésService gratuit 1</v>
      </c>
      <c r="B119" s="700" t="s">
        <v>114</v>
      </c>
      <c r="C119" s="700"/>
      <c r="D119" s="720">
        <f>IF(C$100=0,0,E119/(C$97+C$98+C99))</f>
        <v>50</v>
      </c>
      <c r="E119" s="708">
        <f t="shared" si="34"/>
        <v>26650</v>
      </c>
      <c r="F119" s="700"/>
      <c r="G119" s="720">
        <f>IF(F$100=0,0,H119/(F$97+F$98+F99))</f>
        <v>50</v>
      </c>
      <c r="H119" s="721">
        <f>'[1]Vehicules usages 2026'!E87</f>
        <v>1600</v>
      </c>
      <c r="I119" s="700"/>
      <c r="J119" s="720">
        <f>IF(I$100=0,0,K119/(I$97+I$98+I99))</f>
        <v>50</v>
      </c>
      <c r="K119" s="721">
        <f>'[1]Vehicules usages 2026'!F87</f>
        <v>1650</v>
      </c>
      <c r="L119" s="700"/>
      <c r="M119" s="720">
        <f>IF(L$100=0,0,N119/(L$97+L$98+L99))</f>
        <v>50</v>
      </c>
      <c r="N119" s="721">
        <f>'[1]Vehicules usages 2026'!G87</f>
        <v>2450</v>
      </c>
      <c r="O119" s="700"/>
      <c r="P119" s="720">
        <f>IF(O$100=0,0,Q119/(O$97+O$98+O99))</f>
        <v>50</v>
      </c>
      <c r="Q119" s="721">
        <f>'[1]Vehicules usages 2026'!H87</f>
        <v>2550</v>
      </c>
      <c r="R119" s="700"/>
      <c r="S119" s="720">
        <f>IF(R$100=0,0,T119/(R$97+R$98+R99))</f>
        <v>50</v>
      </c>
      <c r="T119" s="721">
        <f>'[1]Vehicules usages 2026'!I87</f>
        <v>2650</v>
      </c>
      <c r="U119" s="700"/>
      <c r="V119" s="720">
        <f>IF(U$100=0,0,W119/(U$97+U$98+U99))</f>
        <v>50</v>
      </c>
      <c r="W119" s="721">
        <f>'[1]Vehicules usages 2026'!J87</f>
        <v>2550</v>
      </c>
      <c r="X119" s="700"/>
      <c r="Y119" s="720">
        <f>IF(X$100=0,0,Z119/(X$97+X$98+X99))</f>
        <v>50</v>
      </c>
      <c r="Z119" s="721">
        <f>'[1]Vehicules usages 2026'!K87</f>
        <v>2400</v>
      </c>
      <c r="AA119" s="700"/>
      <c r="AB119" s="720">
        <f>IF(AA$100=0,0,AC119/(AA$97+AA$98+AA99))</f>
        <v>50</v>
      </c>
      <c r="AC119" s="721">
        <f>'[1]Vehicules usages 2026'!L87</f>
        <v>2350</v>
      </c>
      <c r="AD119" s="700"/>
      <c r="AE119" s="720">
        <f>IF(AD$100=0,0,AF119/(AD$97+AD$98+AD99))</f>
        <v>50</v>
      </c>
      <c r="AF119" s="721">
        <f>'[1]Vehicules usages 2026'!M87</f>
        <v>2350</v>
      </c>
      <c r="AG119" s="700"/>
      <c r="AH119" s="720">
        <f>IF(AG$100=0,0,AI119/(AG$97+AG$98+AG99))</f>
        <v>50</v>
      </c>
      <c r="AI119" s="721">
        <f>'[1]Vehicules usages 2026'!N87</f>
        <v>2300</v>
      </c>
      <c r="AJ119" s="700"/>
      <c r="AK119" s="720">
        <f>IF(AJ$100=0,0,AL119/(AJ$97+AJ$98+AJ99))</f>
        <v>50</v>
      </c>
      <c r="AL119" s="721">
        <f>'[1]Vehicules usages 2026'!O87</f>
        <v>2050</v>
      </c>
      <c r="AM119" s="700"/>
      <c r="AN119" s="720">
        <f>IF(AM$100=0,0,AO119/(AM$97+AM$98+AM99))</f>
        <v>50</v>
      </c>
      <c r="AO119" s="721">
        <f>'[1]Vehicules usages 2026'!P87</f>
        <v>1750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usagésEntretien stock</v>
      </c>
      <c r="B120" s="726" t="s">
        <v>115</v>
      </c>
      <c r="C120" s="726"/>
      <c r="D120" s="723">
        <f>IF(C$100=0,0,E120/(C$97+C$98+C99))</f>
        <v>170</v>
      </c>
      <c r="E120" s="724">
        <f t="shared" si="34"/>
        <v>90610</v>
      </c>
      <c r="F120" s="726"/>
      <c r="G120" s="723">
        <f>IF(F$100=0,0,H120/(F$97+F$98+F99))</f>
        <v>170</v>
      </c>
      <c r="H120" s="725">
        <f>'[1]Vehicules usages 2026'!E94</f>
        <v>5440</v>
      </c>
      <c r="I120" s="726"/>
      <c r="J120" s="723">
        <f>IF(I$100=0,0,K120/(I$97+I$98+I99))</f>
        <v>170</v>
      </c>
      <c r="K120" s="725">
        <f>'[1]Vehicules usages 2026'!F94</f>
        <v>5610</v>
      </c>
      <c r="L120" s="726"/>
      <c r="M120" s="723">
        <f>IF(L$100=0,0,N120/(L$97+L$98+L99))</f>
        <v>170</v>
      </c>
      <c r="N120" s="725">
        <f>'[1]Vehicules usages 2026'!G94</f>
        <v>8330</v>
      </c>
      <c r="O120" s="726"/>
      <c r="P120" s="723">
        <f>IF(O$100=0,0,Q120/(O$97+O$98+O99))</f>
        <v>170</v>
      </c>
      <c r="Q120" s="725">
        <f>'[1]Vehicules usages 2026'!H94</f>
        <v>8670</v>
      </c>
      <c r="R120" s="726"/>
      <c r="S120" s="723">
        <f>IF(R$100=0,0,T120/(R$97+R$98+R99))</f>
        <v>170</v>
      </c>
      <c r="T120" s="725">
        <f>'[1]Vehicules usages 2026'!I94</f>
        <v>9010</v>
      </c>
      <c r="U120" s="726"/>
      <c r="V120" s="723">
        <f>IF(U$100=0,0,W120/(U$97+U$98+U99))</f>
        <v>170</v>
      </c>
      <c r="W120" s="725">
        <f>'[1]Vehicules usages 2026'!J94</f>
        <v>8670</v>
      </c>
      <c r="X120" s="726"/>
      <c r="Y120" s="723">
        <f>IF(X$100=0,0,Z120/(X$97+X$98+X99))</f>
        <v>170</v>
      </c>
      <c r="Z120" s="725">
        <f>'[1]Vehicules usages 2026'!K94</f>
        <v>8160</v>
      </c>
      <c r="AA120" s="726"/>
      <c r="AB120" s="723">
        <f>IF(AA$100=0,0,AC120/(AA$97+AA$98+AA99))</f>
        <v>170</v>
      </c>
      <c r="AC120" s="725">
        <f>'[1]Vehicules usages 2026'!L94</f>
        <v>7990</v>
      </c>
      <c r="AD120" s="726"/>
      <c r="AE120" s="723">
        <f>IF(AD$100=0,0,AF120/(AD$97+AD$98+AD99))</f>
        <v>170</v>
      </c>
      <c r="AF120" s="725">
        <f>'[1]Vehicules usages 2026'!M94</f>
        <v>7990</v>
      </c>
      <c r="AG120" s="726"/>
      <c r="AH120" s="723">
        <f>IF(AG$100=0,0,AI120/(AG$97+AG$98+AG99))</f>
        <v>170</v>
      </c>
      <c r="AI120" s="725">
        <f>'[1]Vehicules usages 2026'!N94</f>
        <v>7820</v>
      </c>
      <c r="AJ120" s="726"/>
      <c r="AK120" s="723">
        <f>IF(AJ$100=0,0,AL120/(AJ$97+AJ$98+AJ99))</f>
        <v>170</v>
      </c>
      <c r="AL120" s="725">
        <f>'[1]Vehicules usages 2026'!O94</f>
        <v>6970</v>
      </c>
      <c r="AM120" s="726"/>
      <c r="AN120" s="723">
        <f>IF(AM$100=0,0,AO120/(AM$97+AM$98+AM99))</f>
        <v>170</v>
      </c>
      <c r="AO120" s="725">
        <f>'[1]Vehicules usages 2026'!P94</f>
        <v>5950</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usagésPublicité 1</v>
      </c>
      <c r="B121" s="700" t="s">
        <v>116</v>
      </c>
      <c r="C121" s="700"/>
      <c r="D121" s="720">
        <f>IF(C$100=0,0,E121/(C$97+C$98+C99))</f>
        <v>220.76735459662288</v>
      </c>
      <c r="E121" s="708">
        <f t="shared" si="34"/>
        <v>117669</v>
      </c>
      <c r="F121" s="700"/>
      <c r="G121" s="720">
        <f>IF(F$100=0,0,H121/(F$97+F$98+F99))</f>
        <v>395.1328125</v>
      </c>
      <c r="H121" s="721">
        <f>'[1]Vehicules usages 2026'!E101</f>
        <v>12644.25</v>
      </c>
      <c r="I121" s="700"/>
      <c r="J121" s="720">
        <f>IF(I$100=0,0,K121/(I$97+I$98+I99))</f>
        <v>327.34090909090907</v>
      </c>
      <c r="K121" s="721">
        <f>'[1]Vehicules usages 2026'!F101</f>
        <v>10802.25</v>
      </c>
      <c r="L121" s="700"/>
      <c r="M121" s="720">
        <f>IF(L$100=0,0,N121/(L$97+L$98+L99))</f>
        <v>187.80102040816325</v>
      </c>
      <c r="N121" s="721">
        <f>'[1]Vehicules usages 2026'!G101</f>
        <v>9202.25</v>
      </c>
      <c r="O121" s="700"/>
      <c r="P121" s="720">
        <f>IF(O$100=0,0,Q121/(O$97+O$98+O99))</f>
        <v>176.51470588235293</v>
      </c>
      <c r="Q121" s="721">
        <f>'[1]Vehicules usages 2026'!H101</f>
        <v>9002.25</v>
      </c>
      <c r="R121" s="700"/>
      <c r="S121" s="720">
        <f>IF(R$100=0,0,T121/(R$97+R$98+R99))</f>
        <v>166.08018867924528</v>
      </c>
      <c r="T121" s="721">
        <f>'[1]Vehicules usages 2026'!I101</f>
        <v>8802.25</v>
      </c>
      <c r="U121" s="700"/>
      <c r="V121" s="720">
        <f>IF(U$100=0,0,W121/(U$97+U$98+U99))</f>
        <v>176.51470588235293</v>
      </c>
      <c r="W121" s="721">
        <f>'[1]Vehicules usages 2026'!J101</f>
        <v>9002.25</v>
      </c>
      <c r="X121" s="700"/>
      <c r="Y121" s="720">
        <f>IF(X$100=0,0,Z121/(X$97+X$98+X99))</f>
        <v>193.796875</v>
      </c>
      <c r="Z121" s="721">
        <f>'[1]Vehicules usages 2026'!K101</f>
        <v>9302.25</v>
      </c>
      <c r="AA121" s="700"/>
      <c r="AB121" s="720">
        <f>IF(AA$100=0,0,AC121/(AA$97+AA$98+AA99))</f>
        <v>200.04787234042553</v>
      </c>
      <c r="AC121" s="721">
        <f>'[1]Vehicules usages 2026'!L101</f>
        <v>9402.25</v>
      </c>
      <c r="AD121" s="700"/>
      <c r="AE121" s="720">
        <f>IF(AD$100=0,0,AF121/(AD$97+AD$98+AD99))</f>
        <v>200.04787234042553</v>
      </c>
      <c r="AF121" s="721">
        <f>'[1]Vehicules usages 2026'!M101</f>
        <v>9402.25</v>
      </c>
      <c r="AG121" s="700"/>
      <c r="AH121" s="720">
        <f>IF(AG$100=0,0,AI121/(AG$97+AG$98+AG99))</f>
        <v>206.57065217391303</v>
      </c>
      <c r="AI121" s="721">
        <f>'[1]Vehicules usages 2026'!N101</f>
        <v>9502.25</v>
      </c>
      <c r="AJ121" s="700"/>
      <c r="AK121" s="720">
        <f>IF(AJ$100=0,0,AL121/(AJ$97+AJ$98+AJ99))</f>
        <v>243.95731707317074</v>
      </c>
      <c r="AL121" s="721">
        <f>'[1]Vehicules usages 2026'!O101</f>
        <v>10002.25</v>
      </c>
      <c r="AM121" s="700"/>
      <c r="AN121" s="720">
        <f>IF(AM$100=0,0,AO121/(AM$97+AM$98+AM99))</f>
        <v>302.92142857142858</v>
      </c>
      <c r="AO121" s="721">
        <f>'[1]Vehicules usages 2026'!P101</f>
        <v>10602.25</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usagésIntérêt de gros</v>
      </c>
      <c r="B122" s="700" t="s">
        <v>117</v>
      </c>
      <c r="C122" s="700"/>
      <c r="D122" s="720">
        <f>IF(C$100=0,0,E122/(C$97+C$98+C99))</f>
        <v>0</v>
      </c>
      <c r="E122" s="708">
        <f t="shared" si="34"/>
        <v>0</v>
      </c>
      <c r="F122" s="700"/>
      <c r="G122" s="720">
        <f>IF(F$100=0,0,H122/(F$97+F$98+F99))</f>
        <v>0</v>
      </c>
      <c r="H122" s="721">
        <f>'[1]Vehicules usages 2026'!E32</f>
        <v>0</v>
      </c>
      <c r="I122" s="700"/>
      <c r="J122" s="720">
        <f>IF(I$100=0,0,K122/(I$97+I$98+I99))</f>
        <v>0</v>
      </c>
      <c r="K122" s="721">
        <f>'[1]Vehicules usages 2026'!F32</f>
        <v>0</v>
      </c>
      <c r="L122" s="700"/>
      <c r="M122" s="720">
        <f>IF(L$100=0,0,N122/(L$97+L$98+L99))</f>
        <v>0</v>
      </c>
      <c r="N122" s="721">
        <f>'[1]Vehicules usages 2026'!G32</f>
        <v>0</v>
      </c>
      <c r="O122" s="700"/>
      <c r="P122" s="720">
        <f>IF(O$100=0,0,Q122/(O$97+O$98+O99))</f>
        <v>0</v>
      </c>
      <c r="Q122" s="721">
        <f>'[1]Vehicules usages 2026'!H32</f>
        <v>0</v>
      </c>
      <c r="R122" s="700"/>
      <c r="S122" s="720">
        <f>IF(R$100=0,0,T122/(R$97+R$98+R99))</f>
        <v>0</v>
      </c>
      <c r="T122" s="721">
        <f>'[1]Vehicules usages 2026'!I32</f>
        <v>0</v>
      </c>
      <c r="U122" s="700"/>
      <c r="V122" s="720">
        <f>IF(U$100=0,0,W122/(U$97+U$98+U99))</f>
        <v>0</v>
      </c>
      <c r="W122" s="721">
        <f>'[1]Vehicules usages 2026'!J32</f>
        <v>0</v>
      </c>
      <c r="X122" s="700"/>
      <c r="Y122" s="720">
        <f>IF(X$100=0,0,Z122/(X$97+X$98+X99))</f>
        <v>0</v>
      </c>
      <c r="Z122" s="721">
        <f>'[1]Vehicules usages 2026'!K32</f>
        <v>0</v>
      </c>
      <c r="AA122" s="700"/>
      <c r="AB122" s="720">
        <f>IF(AA$100=0,0,AC122/(AA$97+AA$98+AA99))</f>
        <v>0</v>
      </c>
      <c r="AC122" s="721">
        <f>'[1]Vehicules usages 2026'!L32</f>
        <v>0</v>
      </c>
      <c r="AD122" s="700"/>
      <c r="AE122" s="720">
        <f>IF(AD$100=0,0,AF122/(AD$97+AD$98+AD99))</f>
        <v>0</v>
      </c>
      <c r="AF122" s="721">
        <f>'[1]Vehicules usages 2026'!M32</f>
        <v>0</v>
      </c>
      <c r="AG122" s="700"/>
      <c r="AH122" s="720">
        <f>IF(AG$100=0,0,AI122/(AG$97+AG$98+AG99))</f>
        <v>0</v>
      </c>
      <c r="AI122" s="721">
        <f>'[1]Vehicules usages 2026'!N32</f>
        <v>0</v>
      </c>
      <c r="AJ122" s="700"/>
      <c r="AK122" s="720">
        <f>IF(AJ$100=0,0,AL122/(AJ$97+AJ$98+AJ99))</f>
        <v>0</v>
      </c>
      <c r="AL122" s="721">
        <f>'[1]Vehicules usages 2026'!O32</f>
        <v>0</v>
      </c>
      <c r="AM122" s="700"/>
      <c r="AN122" s="720">
        <f>IF(AM$100=0,0,AO122/(AM$97+AM$98+AM99))</f>
        <v>0</v>
      </c>
      <c r="AO122" s="721">
        <f>'[1]Vehicules usages 2026'!P32</f>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4"/>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4"/>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v>
      </c>
      <c r="B125" s="700" t="s">
        <v>59</v>
      </c>
      <c r="C125" s="750"/>
      <c r="D125" s="720">
        <f>IF(C$100=0,0,E125/(C$97+C$98))</f>
        <v>0</v>
      </c>
      <c r="E125" s="708">
        <f t="shared" si="34"/>
        <v>0</v>
      </c>
      <c r="F125" s="750"/>
      <c r="G125" s="720">
        <f>IF(F$100=0,0,H125/(F$97+F$98))</f>
        <v>0</v>
      </c>
      <c r="H125" s="708"/>
      <c r="I125" s="750"/>
      <c r="J125" s="720">
        <f>IF(I$100=0,0,K125/(I$97+I$98))</f>
        <v>0</v>
      </c>
      <c r="K125" s="708"/>
      <c r="L125" s="750"/>
      <c r="M125" s="720">
        <f>IF(L$100=0,0,N125/(L$97+L$98))</f>
        <v>0</v>
      </c>
      <c r="N125" s="708"/>
      <c r="O125" s="750"/>
      <c r="P125" s="720">
        <f>IF(O$100=0,0,Q125/(O$97+O$98))</f>
        <v>0</v>
      </c>
      <c r="Q125" s="708"/>
      <c r="R125" s="750"/>
      <c r="S125" s="720">
        <f>IF(R$100=0,0,T125/(R$97+R$98))</f>
        <v>0</v>
      </c>
      <c r="T125" s="708"/>
      <c r="U125" s="750"/>
      <c r="V125" s="720">
        <f>IF(U$100=0,0,W125/(U$97+U$98))</f>
        <v>0</v>
      </c>
      <c r="W125" s="708"/>
      <c r="X125" s="750"/>
      <c r="Y125" s="720">
        <f>IF(X$100=0,0,Z125/(X$97+X$98))</f>
        <v>0</v>
      </c>
      <c r="Z125" s="708"/>
      <c r="AA125" s="750"/>
      <c r="AB125" s="720">
        <f>IF(AA$100=0,0,AC125/(AA$97+AA$98))</f>
        <v>0</v>
      </c>
      <c r="AC125" s="708"/>
      <c r="AD125" s="750"/>
      <c r="AE125" s="720">
        <f>IF(AD$100=0,0,AF125/(AD$97+AD$98))</f>
        <v>0</v>
      </c>
      <c r="AF125" s="708"/>
      <c r="AG125" s="750"/>
      <c r="AH125" s="720">
        <f>IF(AG$100=0,0,AI125/(AG$97+AG$98))</f>
        <v>0</v>
      </c>
      <c r="AI125" s="708"/>
      <c r="AJ125" s="750"/>
      <c r="AK125" s="720">
        <f>IF(AJ$100=0,0,AL125/(AJ$97+AJ$98))</f>
        <v>0</v>
      </c>
      <c r="AL125" s="708"/>
      <c r="AM125" s="750"/>
      <c r="AN125" s="720">
        <f>IF(AM$100=0,0,AO125/(AM$97+AM$98))</f>
        <v>0</v>
      </c>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usagésTOTAL VARIABLES</v>
      </c>
      <c r="B126" s="1023" t="s">
        <v>118</v>
      </c>
      <c r="C126" s="1024" t="s">
        <v>119</v>
      </c>
      <c r="D126" s="1025">
        <f>IFERROR(E126/E$112,0)</f>
        <v>0.37695799557848192</v>
      </c>
      <c r="E126" s="1026">
        <f>SUM(E116:E125)</f>
        <v>767298</v>
      </c>
      <c r="F126" s="1024" t="s">
        <v>119</v>
      </c>
      <c r="G126" s="1025">
        <f>IFERROR(H126/H$112,0)</f>
        <v>0.4365152991923642</v>
      </c>
      <c r="H126" s="1026">
        <f>SUM(H116:H125)</f>
        <v>52381.835903083702</v>
      </c>
      <c r="I126" s="1024" t="s">
        <v>119</v>
      </c>
      <c r="J126" s="1025">
        <f>IFERROR(K126/K$112,0)</f>
        <v>0.43117451358296627</v>
      </c>
      <c r="K126" s="1026">
        <f>SUM(K116:K125)</f>
        <v>51740.941629955953</v>
      </c>
      <c r="L126" s="1024" t="s">
        <v>119</v>
      </c>
      <c r="M126" s="1025">
        <f>IFERROR(N126/N$112,0)</f>
        <v>0.38974460394139632</v>
      </c>
      <c r="N126" s="1026">
        <f>SUM(N116:N125)</f>
        <v>68595.050293685752</v>
      </c>
      <c r="O126" s="1024" t="s">
        <v>119</v>
      </c>
      <c r="P126" s="1025">
        <f>IFERROR(Q126/Q$112,0)</f>
        <v>0.37882262128316269</v>
      </c>
      <c r="Q126" s="1026">
        <f>SUM(Q116:Q125)</f>
        <v>70650.41886930984</v>
      </c>
      <c r="R126" s="1024" t="s">
        <v>119</v>
      </c>
      <c r="S126" s="1025">
        <f>IFERROR(T126/T$112,0)</f>
        <v>0.37386526512051949</v>
      </c>
      <c r="T126" s="1026">
        <f>SUM(T116:T125)</f>
        <v>73464.524596182076</v>
      </c>
      <c r="U126" s="1024" t="s">
        <v>119</v>
      </c>
      <c r="V126" s="1025">
        <f>IFERROR(W126/W$112,0)</f>
        <v>0.35622699276168435</v>
      </c>
      <c r="W126" s="1026">
        <f>SUM(W116:W125)</f>
        <v>70532.944566813501</v>
      </c>
      <c r="X126" s="1024" t="s">
        <v>119</v>
      </c>
      <c r="Y126" s="1025">
        <f>IFERROR(Z126/Z$112,0)</f>
        <v>0.35783349756549959</v>
      </c>
      <c r="Z126" s="1026">
        <f>SUM(Z116:Z125)</f>
        <v>67988.364537444926</v>
      </c>
      <c r="AA126" s="1024" t="s">
        <v>119</v>
      </c>
      <c r="AB126" s="1025">
        <f>IFERROR(AC126/AC$112,0)</f>
        <v>0.35552968634045445</v>
      </c>
      <c r="AC126" s="1026">
        <f>SUM(AC116:AC125)</f>
        <v>66128.521659324528</v>
      </c>
      <c r="AD126" s="1024" t="s">
        <v>119</v>
      </c>
      <c r="AE126" s="1025">
        <f>IFERROR(AF126/AF$112,0)</f>
        <v>0.36502643374627819</v>
      </c>
      <c r="AF126" s="1026">
        <f>SUM(AF116:AF125)</f>
        <v>66069.784508076351</v>
      </c>
      <c r="AG126" s="1024" t="s">
        <v>119</v>
      </c>
      <c r="AH126" s="1025">
        <f>IFERROR(AI126/AI$112,0)</f>
        <v>0.35818755276540748</v>
      </c>
      <c r="AI126" s="1026">
        <f>SUM(AI116:AI125)</f>
        <v>65727.415932452277</v>
      </c>
      <c r="AJ126" s="1024" t="s">
        <v>119</v>
      </c>
      <c r="AK126" s="1025">
        <f>IFERROR(AL126/AL$112,0)</f>
        <v>0.37249971637824164</v>
      </c>
      <c r="AL126" s="1026">
        <f>SUM(AL116:AL125)</f>
        <v>59786.204478707783</v>
      </c>
      <c r="AM126" s="1024" t="s">
        <v>119</v>
      </c>
      <c r="AN126" s="1025">
        <f>IFERROR(AO126/AO$112,0)</f>
        <v>0.39441449472700574</v>
      </c>
      <c r="AO126" s="1026">
        <f>SUM(AO116:AO125)</f>
        <v>54231.993024963289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cadres</v>
      </c>
      <c r="B127" s="1027" t="s">
        <v>120</v>
      </c>
      <c r="C127" s="700"/>
      <c r="D127" s="707"/>
      <c r="E127" s="708">
        <f t="shared" ref="E127:E138" si="35">+SUM(H127,K127,N127,Q127,T127,W127,Z127,AC127,AF127,AI127,AL127,AO127)</f>
        <v>141788.40833333333</v>
      </c>
      <c r="F127" s="700"/>
      <c r="G127" s="707"/>
      <c r="H127" s="721">
        <f>[1]Salaire!$E$40</f>
        <v>12515.972435897434</v>
      </c>
      <c r="I127" s="700"/>
      <c r="J127" s="707"/>
      <c r="K127" s="721">
        <f>[1]Salaire!$F$40</f>
        <v>11227.564102564102</v>
      </c>
      <c r="L127" s="700"/>
      <c r="M127" s="707"/>
      <c r="N127" s="721">
        <f>[1]Salaire!$G$40</f>
        <v>11227.564102564102</v>
      </c>
      <c r="O127" s="700"/>
      <c r="P127" s="707"/>
      <c r="Q127" s="721">
        <f>[1]Salaire!$H$40</f>
        <v>11227.564102564102</v>
      </c>
      <c r="R127" s="700"/>
      <c r="S127" s="707"/>
      <c r="T127" s="721">
        <f>[1]Salaire!$I$40</f>
        <v>12669.871794871795</v>
      </c>
      <c r="U127" s="700"/>
      <c r="V127" s="707"/>
      <c r="W127" s="721">
        <f>[1]Salaire!$J$40</f>
        <v>11227.564102564102</v>
      </c>
      <c r="X127" s="700"/>
      <c r="Y127" s="707"/>
      <c r="Z127" s="721">
        <f>[1]Salaire!$K$40</f>
        <v>12669.871794871795</v>
      </c>
      <c r="AA127" s="700"/>
      <c r="AB127" s="707"/>
      <c r="AC127" s="721">
        <f>[1]Salaire!$L$40</f>
        <v>11227.564102564102</v>
      </c>
      <c r="AD127" s="700"/>
      <c r="AE127" s="707"/>
      <c r="AF127" s="721">
        <f>[1]Salaire!$M$40</f>
        <v>11227.564102564102</v>
      </c>
      <c r="AG127" s="700"/>
      <c r="AH127" s="707"/>
      <c r="AI127" s="721">
        <f>[1]Salaire!$N$40</f>
        <v>12669.871794871795</v>
      </c>
      <c r="AJ127" s="700"/>
      <c r="AK127" s="707"/>
      <c r="AL127" s="721">
        <f>[1]Salaire!$O$40</f>
        <v>11227.564102564102</v>
      </c>
      <c r="AM127" s="700"/>
      <c r="AN127" s="707"/>
      <c r="AO127" s="721">
        <f>[1]Salaire!$P$40</f>
        <v>12669.871794871795</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commis</v>
      </c>
      <c r="B128" s="1028" t="s">
        <v>121</v>
      </c>
      <c r="C128" s="700"/>
      <c r="D128" s="707"/>
      <c r="E128" s="708">
        <f t="shared" si="35"/>
        <v>74021.07941845333</v>
      </c>
      <c r="F128" s="700"/>
      <c r="G128" s="707"/>
      <c r="H128" s="721">
        <f>[1]Salaire!$E$102</f>
        <v>5038.8964937271794</v>
      </c>
      <c r="I128" s="700"/>
      <c r="J128" s="707"/>
      <c r="K128" s="721">
        <f>[1]Salaire!$F$102</f>
        <v>5795.0548270605132</v>
      </c>
      <c r="L128" s="700"/>
      <c r="M128" s="707"/>
      <c r="N128" s="721">
        <f>[1]Salaire!$G$102</f>
        <v>5795.0548270605132</v>
      </c>
      <c r="O128" s="700"/>
      <c r="P128" s="707"/>
      <c r="Q128" s="721">
        <f>[1]Salaire!$H$102</f>
        <v>5795.0548270605132</v>
      </c>
      <c r="R128" s="700"/>
      <c r="S128" s="707"/>
      <c r="T128" s="721">
        <f>[1]Salaire!$I$102</f>
        <v>7104.1997838256402</v>
      </c>
      <c r="U128" s="700"/>
      <c r="V128" s="707"/>
      <c r="W128" s="721">
        <f>[1]Salaire!$J$102</f>
        <v>5795.0548270605132</v>
      </c>
      <c r="X128" s="700"/>
      <c r="Y128" s="707"/>
      <c r="Z128" s="721">
        <f>[1]Salaire!$K$102</f>
        <v>7104.1997838256402</v>
      </c>
      <c r="AA128" s="700"/>
      <c r="AB128" s="707"/>
      <c r="AC128" s="721">
        <f>[1]Salaire!$L$102</f>
        <v>5795.0548270605132</v>
      </c>
      <c r="AD128" s="700"/>
      <c r="AE128" s="707"/>
      <c r="AF128" s="721">
        <f>[1]Salaire!$M$102</f>
        <v>5795.0548270605132</v>
      </c>
      <c r="AG128" s="700"/>
      <c r="AH128" s="707"/>
      <c r="AI128" s="721">
        <f>[1]Salaire!$N$102</f>
        <v>7104.1997838256402</v>
      </c>
      <c r="AJ128" s="700"/>
      <c r="AK128" s="707"/>
      <c r="AL128" s="721">
        <f>[1]Salaire!$O$102</f>
        <v>5795.0548270605132</v>
      </c>
      <c r="AM128" s="700"/>
      <c r="AN128" s="707"/>
      <c r="AO128" s="721">
        <f>[1]Salaire!$P$102</f>
        <v>7104.1997838256402</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autres</v>
      </c>
      <c r="B129" s="1027" t="s">
        <v>122</v>
      </c>
      <c r="C129" s="1011"/>
      <c r="D129" s="1029"/>
      <c r="E129" s="1030">
        <f t="shared" si="35"/>
        <v>3623.6333333333332</v>
      </c>
      <c r="F129" s="1011"/>
      <c r="G129" s="1029"/>
      <c r="H129" s="1031">
        <f>[1]Salaire!$E$167</f>
        <v>3623.6333333333332</v>
      </c>
      <c r="I129" s="1011"/>
      <c r="J129" s="1029"/>
      <c r="K129" s="1031">
        <f>[1]Salaire!$F$167</f>
        <v>0</v>
      </c>
      <c r="L129" s="1011"/>
      <c r="M129" s="1029"/>
      <c r="N129" s="1031">
        <f>[1]Salaire!$G$167</f>
        <v>0</v>
      </c>
      <c r="O129" s="1011"/>
      <c r="P129" s="1029"/>
      <c r="Q129" s="1031">
        <f>[1]Salaire!$H$167</f>
        <v>0</v>
      </c>
      <c r="R129" s="1011"/>
      <c r="S129" s="1029"/>
      <c r="T129" s="1031">
        <f>[1]Salaire!$I$167</f>
        <v>0</v>
      </c>
      <c r="U129" s="1011"/>
      <c r="V129" s="1029"/>
      <c r="W129" s="1031">
        <f>[1]Salaire!$J$167</f>
        <v>0</v>
      </c>
      <c r="X129" s="1011"/>
      <c r="Y129" s="1029"/>
      <c r="Z129" s="1031">
        <f>[1]Salaire!$K$167</f>
        <v>0</v>
      </c>
      <c r="AA129" s="1011"/>
      <c r="AB129" s="1029"/>
      <c r="AC129" s="1031">
        <f>[1]Salaire!$L$167</f>
        <v>0</v>
      </c>
      <c r="AD129" s="1011"/>
      <c r="AE129" s="1029"/>
      <c r="AF129" s="1031">
        <f>[1]Salaire!$M$167</f>
        <v>0</v>
      </c>
      <c r="AG129" s="1011"/>
      <c r="AH129" s="1029"/>
      <c r="AI129" s="1031">
        <f>[1]Salaire!$N$167</f>
        <v>0</v>
      </c>
      <c r="AJ129" s="1011"/>
      <c r="AK129" s="1029"/>
      <c r="AL129" s="1031">
        <f>[1]Salaire!$O$167</f>
        <v>0</v>
      </c>
      <c r="AM129" s="1011"/>
      <c r="AN129" s="1029"/>
      <c r="AO129" s="1031">
        <f>[1]Salaire!$P$167</f>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usagésSalaires spécialistes</v>
      </c>
      <c r="B130" s="1027" t="s">
        <v>123</v>
      </c>
      <c r="C130" s="700"/>
      <c r="D130" s="707"/>
      <c r="E130" s="708">
        <f t="shared" si="35"/>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5"/>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5"/>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v>
      </c>
      <c r="B133" s="700" t="s">
        <v>59</v>
      </c>
      <c r="C133" s="700"/>
      <c r="D133" s="707"/>
      <c r="E133" s="708">
        <f t="shared" si="35"/>
        <v>0</v>
      </c>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721"/>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usagésSalaires en absences</v>
      </c>
      <c r="B134" s="1028" t="s">
        <v>124</v>
      </c>
      <c r="C134" s="700"/>
      <c r="D134" s="707"/>
      <c r="E134" s="708">
        <f t="shared" si="35"/>
        <v>91205.234734661135</v>
      </c>
      <c r="F134" s="700"/>
      <c r="G134" s="707"/>
      <c r="H134" s="721">
        <f>'[1]DAS-VAC'!$F$44</f>
        <v>7189.0136792688036</v>
      </c>
      <c r="I134" s="700"/>
      <c r="J134" s="707"/>
      <c r="K134" s="721">
        <f>'[1]DAS-VAC'!$G$44</f>
        <v>6702.5659209354708</v>
      </c>
      <c r="L134" s="700"/>
      <c r="M134" s="707"/>
      <c r="N134" s="721">
        <f>'[1]DAS-VAC'!$H$44</f>
        <v>7341.2871709354713</v>
      </c>
      <c r="O134" s="700"/>
      <c r="P134" s="707"/>
      <c r="Q134" s="721">
        <f>'[1]DAS-VAC'!$I$44</f>
        <v>9032.3236709354715</v>
      </c>
      <c r="R134" s="700"/>
      <c r="S134" s="707"/>
      <c r="T134" s="721">
        <f>'[1]DAS-VAC'!$J$44</f>
        <v>9123.2126522110048</v>
      </c>
      <c r="U134" s="700"/>
      <c r="V134" s="707"/>
      <c r="W134" s="721">
        <f>'[1]DAS-VAC'!$K$44</f>
        <v>7570.2166709354715</v>
      </c>
      <c r="X134" s="700"/>
      <c r="Y134" s="707"/>
      <c r="Z134" s="721">
        <f>'[1]DAS-VAC'!$L$44</f>
        <v>7446.9311522110047</v>
      </c>
      <c r="AA134" s="700"/>
      <c r="AB134" s="707"/>
      <c r="AC134" s="721">
        <f>'[1]DAS-VAC'!$M$44</f>
        <v>7570.2166709354715</v>
      </c>
      <c r="AD134" s="700"/>
      <c r="AE134" s="707"/>
      <c r="AF134" s="721">
        <f>'[1]DAS-VAC'!$N$44</f>
        <v>7326.5321709354712</v>
      </c>
      <c r="AG134" s="700"/>
      <c r="AH134" s="707"/>
      <c r="AI134" s="721">
        <f>'[1]DAS-VAC'!$O$44</f>
        <v>8041.3874022110049</v>
      </c>
      <c r="AJ134" s="700"/>
      <c r="AK134" s="707"/>
      <c r="AL134" s="721">
        <f>'[1]DAS-VAC'!$P$44</f>
        <v>7448.3744209354718</v>
      </c>
      <c r="AM134" s="700"/>
      <c r="AN134" s="707"/>
      <c r="AO134" s="721">
        <f>'[1]DAS-VAC'!$Q$44</f>
        <v>6413.1731522110049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usagésDéduction à la source</v>
      </c>
      <c r="B135" s="1027" t="s">
        <v>125</v>
      </c>
      <c r="C135" s="1011"/>
      <c r="D135" s="1029"/>
      <c r="E135" s="1030">
        <f t="shared" si="35"/>
        <v>110892.70831174657</v>
      </c>
      <c r="F135" s="1011"/>
      <c r="G135" s="1029"/>
      <c r="H135" s="1031">
        <f>'[1]DAS-VAC'!$F$52</f>
        <v>8740.8272047497358</v>
      </c>
      <c r="I135" s="1011"/>
      <c r="J135" s="1029"/>
      <c r="K135" s="1031">
        <f>'[1]DAS-VAC'!$G$52</f>
        <v>8149.3753047497357</v>
      </c>
      <c r="L135" s="1011"/>
      <c r="M135" s="1029"/>
      <c r="N135" s="1031">
        <f>'[1]DAS-VAC'!$H$52</f>
        <v>8925.9703047497369</v>
      </c>
      <c r="O135" s="1011"/>
      <c r="P135" s="1029"/>
      <c r="Q135" s="1031">
        <f>'[1]DAS-VAC'!$I$52</f>
        <v>10982.032304749737</v>
      </c>
      <c r="R135" s="1011"/>
      <c r="S135" s="1029"/>
      <c r="T135" s="1031">
        <f>'[1]DAS-VAC'!$J$52</f>
        <v>11092.540493437169</v>
      </c>
      <c r="U135" s="1011"/>
      <c r="V135" s="1029"/>
      <c r="W135" s="1031">
        <f>'[1]DAS-VAC'!$K$52</f>
        <v>9204.3163047497364</v>
      </c>
      <c r="X135" s="1011"/>
      <c r="Y135" s="1029"/>
      <c r="Z135" s="1031">
        <f>'[1]DAS-VAC'!$L$52</f>
        <v>9054.4184934371697</v>
      </c>
      <c r="AA135" s="1011"/>
      <c r="AB135" s="1029"/>
      <c r="AC135" s="1031">
        <f>'[1]DAS-VAC'!$M$52</f>
        <v>9204.3163047497364</v>
      </c>
      <c r="AD135" s="1011"/>
      <c r="AE135" s="1029"/>
      <c r="AF135" s="1031">
        <f>'[1]DAS-VAC'!$N$52</f>
        <v>8908.0303047497364</v>
      </c>
      <c r="AG135" s="1011"/>
      <c r="AH135" s="1029"/>
      <c r="AI135" s="1031">
        <f>'[1]DAS-VAC'!$O$52</f>
        <v>9777.1934934371693</v>
      </c>
      <c r="AJ135" s="1011"/>
      <c r="AK135" s="1029"/>
      <c r="AL135" s="1031">
        <f>'[1]DAS-VAC'!$P$52</f>
        <v>9056.1733047497364</v>
      </c>
      <c r="AM135" s="1011"/>
      <c r="AN135" s="1029"/>
      <c r="AO135" s="1031">
        <f>'[1]DAS-VAC'!$Q$52</f>
        <v>7797.5144934371692</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usagésBénéfices marginaux</v>
      </c>
      <c r="B136" s="1032" t="s">
        <v>126</v>
      </c>
      <c r="C136" s="700"/>
      <c r="D136" s="707"/>
      <c r="E136" s="708">
        <f t="shared" si="35"/>
        <v>57133.851891052029</v>
      </c>
      <c r="F136" s="700"/>
      <c r="G136" s="707"/>
      <c r="H136" s="721">
        <f>'[1]DAS-VAC'!$F$60</f>
        <v>4503.4261902732333</v>
      </c>
      <c r="I136" s="700"/>
      <c r="J136" s="707"/>
      <c r="K136" s="721">
        <f>'[1]DAS-VAC'!$G$60</f>
        <v>4198.6998852732331</v>
      </c>
      <c r="L136" s="700"/>
      <c r="M136" s="707"/>
      <c r="N136" s="721">
        <f>'[1]DAS-VAC'!$H$60</f>
        <v>4598.815135273233</v>
      </c>
      <c r="O136" s="700"/>
      <c r="P136" s="707"/>
      <c r="Q136" s="721">
        <f>'[1]DAS-VAC'!$I$60</f>
        <v>5658.1340352732332</v>
      </c>
      <c r="R136" s="700"/>
      <c r="S136" s="707"/>
      <c r="T136" s="721">
        <f>'[1]DAS-VAC'!$J$60</f>
        <v>5715.0697759665409</v>
      </c>
      <c r="U136" s="700"/>
      <c r="V136" s="707"/>
      <c r="W136" s="721">
        <f>'[1]DAS-VAC'!$K$60</f>
        <v>4742.2238352732338</v>
      </c>
      <c r="X136" s="700"/>
      <c r="Y136" s="707"/>
      <c r="Z136" s="721">
        <f>'[1]DAS-VAC'!$L$60</f>
        <v>4664.9938759665411</v>
      </c>
      <c r="AA136" s="700"/>
      <c r="AB136" s="707"/>
      <c r="AC136" s="721">
        <f>'[1]DAS-VAC'!$M$60</f>
        <v>4742.2238352732338</v>
      </c>
      <c r="AD136" s="700"/>
      <c r="AE136" s="707"/>
      <c r="AF136" s="721">
        <f>'[1]DAS-VAC'!$N$60</f>
        <v>4589.5721352732326</v>
      </c>
      <c r="AG136" s="700"/>
      <c r="AH136" s="707"/>
      <c r="AI136" s="721">
        <f>'[1]DAS-VAC'!$O$60</f>
        <v>5037.3801259665406</v>
      </c>
      <c r="AJ136" s="700"/>
      <c r="AK136" s="707"/>
      <c r="AL136" s="721">
        <f>'[1]DAS-VAC'!$P$60</f>
        <v>4665.8979852732336</v>
      </c>
      <c r="AM136" s="700"/>
      <c r="AN136" s="707"/>
      <c r="AO136" s="721">
        <f>'[1]DAS-VAC'!$Q$60</f>
        <v>4017.4150759665413</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usagésCsst</v>
      </c>
      <c r="B137" s="1027" t="s">
        <v>127</v>
      </c>
      <c r="C137" s="700"/>
      <c r="D137" s="707"/>
      <c r="E137" s="708">
        <f t="shared" si="35"/>
        <v>24910.680852638725</v>
      </c>
      <c r="F137" s="700"/>
      <c r="G137" s="707"/>
      <c r="H137" s="721">
        <f>'[1]DAS-VAC'!$F$68</f>
        <v>1963.5191546901578</v>
      </c>
      <c r="I137" s="700"/>
      <c r="J137" s="707"/>
      <c r="K137" s="721">
        <f>'[1]DAS-VAC'!$G$68</f>
        <v>1830.6567713568245</v>
      </c>
      <c r="L137" s="700"/>
      <c r="M137" s="707"/>
      <c r="N137" s="721">
        <f>'[1]DAS-VAC'!$H$68</f>
        <v>2005.1092713568246</v>
      </c>
      <c r="O137" s="700"/>
      <c r="P137" s="707"/>
      <c r="Q137" s="721">
        <f>'[1]DAS-VAC'!$I$68</f>
        <v>2466.9782713568247</v>
      </c>
      <c r="R137" s="700"/>
      <c r="S137" s="707"/>
      <c r="T137" s="721">
        <f>'[1]DAS-VAC'!$J$68</f>
        <v>2491.8025746126973</v>
      </c>
      <c r="U137" s="700"/>
      <c r="V137" s="707"/>
      <c r="W137" s="721">
        <f>'[1]DAS-VAC'!$K$68</f>
        <v>2067.6362713568246</v>
      </c>
      <c r="X137" s="700"/>
      <c r="Y137" s="707"/>
      <c r="Z137" s="721">
        <f>'[1]DAS-VAC'!$L$68</f>
        <v>2033.9635746126974</v>
      </c>
      <c r="AA137" s="700"/>
      <c r="AB137" s="707"/>
      <c r="AC137" s="721">
        <f>'[1]DAS-VAC'!$M$68</f>
        <v>2067.6362713568246</v>
      </c>
      <c r="AD137" s="700"/>
      <c r="AE137" s="707"/>
      <c r="AF137" s="721">
        <f>'[1]DAS-VAC'!$N$68</f>
        <v>2001.0792713568246</v>
      </c>
      <c r="AG137" s="700"/>
      <c r="AH137" s="707"/>
      <c r="AI137" s="721">
        <f>'[1]DAS-VAC'!$O$68</f>
        <v>2196.3260746126975</v>
      </c>
      <c r="AJ137" s="700"/>
      <c r="AK137" s="707"/>
      <c r="AL137" s="721">
        <f>'[1]DAS-VAC'!$P$68</f>
        <v>2034.3577713568247</v>
      </c>
      <c r="AM137" s="700"/>
      <c r="AN137" s="707"/>
      <c r="AO137" s="721">
        <f>'[1]DAS-VAC'!$Q$68</f>
        <v>1751.6155746126974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v>
      </c>
      <c r="B138" s="700" t="s">
        <v>59</v>
      </c>
      <c r="C138" s="726"/>
      <c r="D138" s="727"/>
      <c r="E138" s="724">
        <f t="shared" si="35"/>
        <v>0</v>
      </c>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usagésTOTAL PERSONNEL</v>
      </c>
      <c r="B139" s="1023" t="s">
        <v>128</v>
      </c>
      <c r="C139" s="1024" t="s">
        <v>119</v>
      </c>
      <c r="D139" s="1025">
        <f>IFERROR(E139/E$112,0)</f>
        <v>0.24739651037839275</v>
      </c>
      <c r="E139" s="1026">
        <f>SUM(E127:E137)</f>
        <v>503575.59687521844</v>
      </c>
      <c r="F139" s="1024" t="s">
        <v>119</v>
      </c>
      <c r="G139" s="1025">
        <f>IFERROR(H139/H$112,0)</f>
        <v>0.36312740409949895</v>
      </c>
      <c r="H139" s="1026">
        <f>SUM(H127:H137)</f>
        <v>43575.288491939871</v>
      </c>
      <c r="I139" s="1024" t="s">
        <v>119</v>
      </c>
      <c r="J139" s="1025">
        <f>IFERROR(K139/K$112,0)</f>
        <v>0.31586597343283235</v>
      </c>
      <c r="K139" s="1026">
        <f>SUM(K127:K137)</f>
        <v>37903.916811939882</v>
      </c>
      <c r="L139" s="1024" t="s">
        <v>119</v>
      </c>
      <c r="M139" s="1025">
        <f>IFERROR(N139/N$112,0)</f>
        <v>0.22666932279511295</v>
      </c>
      <c r="N139" s="1026">
        <f>SUM(N127:N137)</f>
        <v>39893.80081193988</v>
      </c>
      <c r="O139" s="1024" t="s">
        <v>119</v>
      </c>
      <c r="P139" s="1025">
        <f>IFERROR(Q139/Q$112,0)</f>
        <v>0.24215596360289482</v>
      </c>
      <c r="Q139" s="1026">
        <f>SUM(Q127:Q137)</f>
        <v>45162.087211939885</v>
      </c>
      <c r="R139" s="1024" t="s">
        <v>119</v>
      </c>
      <c r="S139" s="1025">
        <f>IFERROR(T139/T$112,0)</f>
        <v>0.24527581208613156</v>
      </c>
      <c r="T139" s="1026">
        <f>SUM(T127:T137)</f>
        <v>48196.69707492485</v>
      </c>
      <c r="U139" s="1024" t="s">
        <v>119</v>
      </c>
      <c r="V139" s="1025">
        <f>IFERROR(W139/W$112,0)</f>
        <v>0.20508591925222161</v>
      </c>
      <c r="W139" s="1026">
        <f>SUM(W127:W137)</f>
        <v>40607.012011939878</v>
      </c>
      <c r="X139" s="1024" t="s">
        <v>119</v>
      </c>
      <c r="Y139" s="1025">
        <f>IFERROR(Z139/Z$112,0)</f>
        <v>0.22618094039434131</v>
      </c>
      <c r="Z139" s="1026">
        <f>SUM(Z127:Z137)</f>
        <v>42974.378674924847</v>
      </c>
      <c r="AA139" s="1024" t="s">
        <v>119</v>
      </c>
      <c r="AB139" s="1025">
        <f>IFERROR(AC139/AC$112,0)</f>
        <v>0.21831726888139719</v>
      </c>
      <c r="AC139" s="1026">
        <f>SUM(AC127:AC137)</f>
        <v>40607.012011939878</v>
      </c>
      <c r="AD139" s="1024" t="s">
        <v>119</v>
      </c>
      <c r="AE139" s="1025">
        <f>IFERROR(AF139/AF$112,0)</f>
        <v>0.22015377244165679</v>
      </c>
      <c r="AF139" s="1026">
        <f>SUM(AF127:AF137)</f>
        <v>39847.832811939879</v>
      </c>
      <c r="AG139" s="1024" t="s">
        <v>119</v>
      </c>
      <c r="AH139" s="1025">
        <f>IFERROR(AI139/AI$112,0)</f>
        <v>0.24428533337833705</v>
      </c>
      <c r="AI139" s="1026">
        <f>SUM(AI127:AI137)</f>
        <v>44826.35867492485</v>
      </c>
      <c r="AJ139" s="1024" t="s">
        <v>119</v>
      </c>
      <c r="AK139" s="1025">
        <f>IFERROR(AL139/AL$112,0)</f>
        <v>0.25063814586878425</v>
      </c>
      <c r="AL139" s="1026">
        <f>SUM(AL127:AL137)</f>
        <v>40227.422411939871</v>
      </c>
      <c r="AM139" s="1024" t="s">
        <v>119</v>
      </c>
      <c r="AN139" s="1025">
        <f>IFERROR(AO139/AO$112,0)</f>
        <v>0.28911847181763528</v>
      </c>
      <c r="AO139" s="1026">
        <f>SUM(AO127:AO137)</f>
        <v>39753.789874924849</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usagésPublicité 2</v>
      </c>
      <c r="B140" s="700" t="s">
        <v>129</v>
      </c>
      <c r="C140" s="700"/>
      <c r="D140" s="707"/>
      <c r="E140" s="708">
        <f t="shared" ref="E140:E156" si="36">+SUM(H140,K140,N140,Q140,T140,W140,Z140,AC140,AF140,AI140,AL140,AO140)</f>
        <v>0</v>
      </c>
      <c r="F140" s="700"/>
      <c r="G140" s="707"/>
      <c r="H140" s="721">
        <f>[1]DEPA!$C$7</f>
        <v>0</v>
      </c>
      <c r="I140" s="700"/>
      <c r="J140" s="707"/>
      <c r="K140" s="721">
        <f>[1]DEPA!$D$7</f>
        <v>0</v>
      </c>
      <c r="L140" s="700"/>
      <c r="M140" s="707"/>
      <c r="N140" s="721">
        <f>[1]DEPA!$E$7</f>
        <v>0</v>
      </c>
      <c r="O140" s="700"/>
      <c r="P140" s="707"/>
      <c r="Q140" s="721">
        <f>[1]DEPA!$F$7</f>
        <v>0</v>
      </c>
      <c r="R140" s="700"/>
      <c r="S140" s="707"/>
      <c r="T140" s="721">
        <f>[1]DEPA!$G$7</f>
        <v>0</v>
      </c>
      <c r="U140" s="700"/>
      <c r="V140" s="707"/>
      <c r="W140" s="721">
        <f>[1]DEPA!$H$7</f>
        <v>0</v>
      </c>
      <c r="X140" s="700"/>
      <c r="Y140" s="707"/>
      <c r="Z140" s="721">
        <f>[1]DEPA!$I$7</f>
        <v>0</v>
      </c>
      <c r="AA140" s="700"/>
      <c r="AB140" s="707"/>
      <c r="AC140" s="721">
        <f>[1]DEPA!$J$7</f>
        <v>0</v>
      </c>
      <c r="AD140" s="700"/>
      <c r="AE140" s="707"/>
      <c r="AF140" s="721">
        <f>[1]DEPA!$K$7</f>
        <v>0</v>
      </c>
      <c r="AG140" s="700"/>
      <c r="AH140" s="707"/>
      <c r="AI140" s="721">
        <f>[1]DEPA!$L$7</f>
        <v>0</v>
      </c>
      <c r="AJ140" s="700"/>
      <c r="AK140" s="707"/>
      <c r="AL140" s="721">
        <f>[1]DEPA!$M$7</f>
        <v>0</v>
      </c>
      <c r="AM140" s="700"/>
      <c r="AN140" s="707"/>
      <c r="AO140" s="721">
        <f>[1]DEPA!$N$7</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usagésService gratuit 2</v>
      </c>
      <c r="B141" s="700" t="s">
        <v>130</v>
      </c>
      <c r="C141" s="700"/>
      <c r="D141" s="707"/>
      <c r="E141" s="708">
        <f t="shared" si="36"/>
        <v>0</v>
      </c>
      <c r="F141" s="700"/>
      <c r="G141" s="707"/>
      <c r="H141" s="721">
        <f>[1]DEPA!$C$33</f>
        <v>0</v>
      </c>
      <c r="I141" s="700"/>
      <c r="J141" s="707"/>
      <c r="K141" s="721">
        <f>[1]DEPA!$D$33</f>
        <v>0</v>
      </c>
      <c r="L141" s="700"/>
      <c r="M141" s="707"/>
      <c r="N141" s="721">
        <f>[1]DEPA!$E$33</f>
        <v>0</v>
      </c>
      <c r="O141" s="700"/>
      <c r="P141" s="707"/>
      <c r="Q141" s="721">
        <f>[1]DEPA!$F$33</f>
        <v>0</v>
      </c>
      <c r="R141" s="700"/>
      <c r="S141" s="707"/>
      <c r="T141" s="721">
        <f>[1]DEPA!$G$33</f>
        <v>0</v>
      </c>
      <c r="U141" s="700"/>
      <c r="V141" s="707"/>
      <c r="W141" s="721">
        <f>[1]DEPA!$H$33</f>
        <v>0</v>
      </c>
      <c r="X141" s="700"/>
      <c r="Y141" s="707"/>
      <c r="Z141" s="721">
        <f>[1]DEPA!$I$33</f>
        <v>0</v>
      </c>
      <c r="AA141" s="700"/>
      <c r="AB141" s="707"/>
      <c r="AC141" s="721">
        <f>[1]DEPA!$J$33</f>
        <v>0</v>
      </c>
      <c r="AD141" s="700"/>
      <c r="AE141" s="707"/>
      <c r="AF141" s="721">
        <f>[1]DEPA!$K$33</f>
        <v>0</v>
      </c>
      <c r="AG141" s="700"/>
      <c r="AH141" s="707"/>
      <c r="AI141" s="721">
        <f>[1]DEPA!$L$33</f>
        <v>0</v>
      </c>
      <c r="AJ141" s="700"/>
      <c r="AK141" s="707"/>
      <c r="AL141" s="721">
        <f>[1]DEPA!$M$33</f>
        <v>0</v>
      </c>
      <c r="AM141" s="700"/>
      <c r="AN141" s="707"/>
      <c r="AO141" s="721">
        <f>[1]DEPA!$N$33</f>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usagésFrais véhicules de cie</v>
      </c>
      <c r="B142" s="726" t="s">
        <v>131</v>
      </c>
      <c r="C142" s="728"/>
      <c r="D142" s="729"/>
      <c r="E142" s="730">
        <f t="shared" si="36"/>
        <v>15409.839466666666</v>
      </c>
      <c r="F142" s="728"/>
      <c r="G142" s="729"/>
      <c r="H142" s="731">
        <f>[1]DEPA!$C$42</f>
        <v>1284.1532888888889</v>
      </c>
      <c r="I142" s="728"/>
      <c r="J142" s="729"/>
      <c r="K142" s="731">
        <f>[1]DEPA!$D$42</f>
        <v>1284.1532888888889</v>
      </c>
      <c r="L142" s="728"/>
      <c r="M142" s="729"/>
      <c r="N142" s="731">
        <f>[1]DEPA!$E$42</f>
        <v>1284.1532888888889</v>
      </c>
      <c r="O142" s="728"/>
      <c r="P142" s="729"/>
      <c r="Q142" s="731">
        <f>[1]DEPA!$F$42</f>
        <v>1284.1532888888889</v>
      </c>
      <c r="R142" s="728"/>
      <c r="S142" s="729"/>
      <c r="T142" s="731">
        <f>[1]DEPA!$G$42</f>
        <v>1284.1532888888889</v>
      </c>
      <c r="U142" s="728"/>
      <c r="V142" s="729"/>
      <c r="W142" s="731">
        <f>[1]DEPA!$H$42</f>
        <v>1284.1532888888889</v>
      </c>
      <c r="X142" s="728"/>
      <c r="Y142" s="729"/>
      <c r="Z142" s="731">
        <f>[1]DEPA!$I$42</f>
        <v>1284.1532888888889</v>
      </c>
      <c r="AA142" s="728"/>
      <c r="AB142" s="729"/>
      <c r="AC142" s="731">
        <f>[1]DEPA!$J$42</f>
        <v>1284.1532888888889</v>
      </c>
      <c r="AD142" s="728"/>
      <c r="AE142" s="729"/>
      <c r="AF142" s="731">
        <f>[1]DEPA!$K$42</f>
        <v>1284.1532888888889</v>
      </c>
      <c r="AG142" s="728"/>
      <c r="AH142" s="729"/>
      <c r="AI142" s="731">
        <f>[1]DEPA!$L$42</f>
        <v>1284.1532888888889</v>
      </c>
      <c r="AJ142" s="728"/>
      <c r="AK142" s="729"/>
      <c r="AL142" s="731">
        <f>[1]DEPA!$M$42</f>
        <v>1284.1532888888889</v>
      </c>
      <c r="AM142" s="728"/>
      <c r="AN142" s="729"/>
      <c r="AO142" s="731">
        <f>[1]DEPA!$N$42</f>
        <v>1284.1532888888889</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usagésInformatique</v>
      </c>
      <c r="B143" s="700" t="s">
        <v>132</v>
      </c>
      <c r="C143" s="700"/>
      <c r="D143" s="707"/>
      <c r="E143" s="708">
        <f t="shared" si="36"/>
        <v>40794</v>
      </c>
      <c r="F143" s="700"/>
      <c r="G143" s="707"/>
      <c r="H143" s="721">
        <f>[1]DEPA!$C$56</f>
        <v>4604</v>
      </c>
      <c r="I143" s="700"/>
      <c r="J143" s="707"/>
      <c r="K143" s="721">
        <f>[1]DEPA!$D$56</f>
        <v>3290</v>
      </c>
      <c r="L143" s="700"/>
      <c r="M143" s="707"/>
      <c r="N143" s="721">
        <f>[1]DEPA!$E$56</f>
        <v>3290</v>
      </c>
      <c r="O143" s="700"/>
      <c r="P143" s="707"/>
      <c r="Q143" s="721">
        <f>[1]DEPA!$F$56</f>
        <v>3290</v>
      </c>
      <c r="R143" s="700"/>
      <c r="S143" s="707"/>
      <c r="T143" s="721">
        <f>[1]DEPA!$G$56</f>
        <v>3290</v>
      </c>
      <c r="U143" s="700"/>
      <c r="V143" s="707"/>
      <c r="W143" s="721">
        <f>[1]DEPA!$H$56</f>
        <v>3290</v>
      </c>
      <c r="X143" s="700"/>
      <c r="Y143" s="707"/>
      <c r="Z143" s="721">
        <f>[1]DEPA!$I$56</f>
        <v>3290</v>
      </c>
      <c r="AA143" s="700"/>
      <c r="AB143" s="707"/>
      <c r="AC143" s="721">
        <f>[1]DEPA!$J$56</f>
        <v>3290</v>
      </c>
      <c r="AD143" s="700"/>
      <c r="AE143" s="707"/>
      <c r="AF143" s="721">
        <f>[1]DEPA!$K$56</f>
        <v>3290</v>
      </c>
      <c r="AG143" s="700"/>
      <c r="AH143" s="707"/>
      <c r="AI143" s="721">
        <f>[1]DEPA!$L$56</f>
        <v>3290</v>
      </c>
      <c r="AJ143" s="700"/>
      <c r="AK143" s="707"/>
      <c r="AL143" s="721">
        <f>[1]DEPA!$M$56</f>
        <v>3290</v>
      </c>
      <c r="AM143" s="700"/>
      <c r="AN143" s="707"/>
      <c r="AO143" s="721">
        <f>[1]DEPA!$N$56</f>
        <v>3290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usagésFrais de déplacement</v>
      </c>
      <c r="B144" s="700" t="s">
        <v>133</v>
      </c>
      <c r="C144" s="700"/>
      <c r="D144" s="707"/>
      <c r="E144" s="708">
        <f t="shared" si="36"/>
        <v>9000</v>
      </c>
      <c r="F144" s="700"/>
      <c r="G144" s="707"/>
      <c r="H144" s="721">
        <f>[1]DEPA!$C$76</f>
        <v>750</v>
      </c>
      <c r="I144" s="700"/>
      <c r="J144" s="707"/>
      <c r="K144" s="721">
        <f>[1]DEPA!$D$76</f>
        <v>750</v>
      </c>
      <c r="L144" s="700"/>
      <c r="M144" s="707"/>
      <c r="N144" s="721">
        <f>[1]DEPA!$E$76</f>
        <v>750</v>
      </c>
      <c r="O144" s="700"/>
      <c r="P144" s="707"/>
      <c r="Q144" s="721">
        <f>[1]DEPA!$F$76</f>
        <v>750</v>
      </c>
      <c r="R144" s="700"/>
      <c r="S144" s="707"/>
      <c r="T144" s="721">
        <f>[1]DEPA!$G$76</f>
        <v>750</v>
      </c>
      <c r="U144" s="700"/>
      <c r="V144" s="707"/>
      <c r="W144" s="721">
        <f>[1]DEPA!$H$76</f>
        <v>750</v>
      </c>
      <c r="X144" s="700"/>
      <c r="Y144" s="707"/>
      <c r="Z144" s="721">
        <f>[1]DEPA!$I$76</f>
        <v>750</v>
      </c>
      <c r="AA144" s="700"/>
      <c r="AB144" s="707"/>
      <c r="AC144" s="721">
        <f>[1]DEPA!$J$76</f>
        <v>750</v>
      </c>
      <c r="AD144" s="700"/>
      <c r="AE144" s="707"/>
      <c r="AF144" s="721">
        <f>[1]DEPA!$K$76</f>
        <v>750</v>
      </c>
      <c r="AG144" s="700"/>
      <c r="AH144" s="707"/>
      <c r="AI144" s="721">
        <f>[1]DEPA!$L$76</f>
        <v>750</v>
      </c>
      <c r="AJ144" s="700"/>
      <c r="AK144" s="707"/>
      <c r="AL144" s="721">
        <f>[1]DEPA!$M$76</f>
        <v>750</v>
      </c>
      <c r="AM144" s="700"/>
      <c r="AN144" s="707"/>
      <c r="AO144" s="721">
        <f>[1]DEPA!$N$76</f>
        <v>750</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usagésServices extérieurs</v>
      </c>
      <c r="B145" s="726" t="s">
        <v>134</v>
      </c>
      <c r="C145" s="728"/>
      <c r="D145" s="729"/>
      <c r="E145" s="730">
        <f t="shared" si="36"/>
        <v>20771.04</v>
      </c>
      <c r="F145" s="728"/>
      <c r="G145" s="729"/>
      <c r="H145" s="731">
        <f>[1]DEPA!$C$85</f>
        <v>2080.92</v>
      </c>
      <c r="I145" s="728"/>
      <c r="J145" s="729"/>
      <c r="K145" s="731">
        <f>[1]DEPA!$D$85</f>
        <v>1540.9199999999998</v>
      </c>
      <c r="L145" s="728"/>
      <c r="M145" s="729"/>
      <c r="N145" s="731">
        <f>[1]DEPA!$E$85</f>
        <v>1360.9199999999998</v>
      </c>
      <c r="O145" s="728"/>
      <c r="P145" s="729"/>
      <c r="Q145" s="731">
        <f>[1]DEPA!$F$85</f>
        <v>1360.9199999999998</v>
      </c>
      <c r="R145" s="728"/>
      <c r="S145" s="729"/>
      <c r="T145" s="731">
        <f>[1]DEPA!$G$85</f>
        <v>1360.9199999999998</v>
      </c>
      <c r="U145" s="728"/>
      <c r="V145" s="729"/>
      <c r="W145" s="731">
        <f>[1]DEPA!$H$85</f>
        <v>1840.9199999999998</v>
      </c>
      <c r="X145" s="728"/>
      <c r="Y145" s="729"/>
      <c r="Z145" s="731">
        <f>[1]DEPA!$I$85</f>
        <v>1360.9199999999998</v>
      </c>
      <c r="AA145" s="728"/>
      <c r="AB145" s="729"/>
      <c r="AC145" s="731">
        <f>[1]DEPA!$J$85</f>
        <v>1360.9199999999998</v>
      </c>
      <c r="AD145" s="728"/>
      <c r="AE145" s="729"/>
      <c r="AF145" s="731">
        <f>[1]DEPA!$K$85</f>
        <v>1360.9199999999998</v>
      </c>
      <c r="AG145" s="728"/>
      <c r="AH145" s="729"/>
      <c r="AI145" s="731">
        <f>[1]DEPA!$L$85</f>
        <v>1720.9199999999998</v>
      </c>
      <c r="AJ145" s="728"/>
      <c r="AK145" s="729"/>
      <c r="AL145" s="731">
        <f>[1]DEPA!$M$85</f>
        <v>2080.92</v>
      </c>
      <c r="AM145" s="728"/>
      <c r="AN145" s="729"/>
      <c r="AO145" s="731">
        <f>[1]DEPA!$N$85</f>
        <v>3340.92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usagésFournitures autres</v>
      </c>
      <c r="B146" s="700" t="s">
        <v>135</v>
      </c>
      <c r="C146" s="700"/>
      <c r="D146" s="707"/>
      <c r="E146" s="708">
        <f t="shared" si="36"/>
        <v>600</v>
      </c>
      <c r="F146" s="700"/>
      <c r="G146" s="707"/>
      <c r="H146" s="721">
        <f>[1]DEPA!$C$114</f>
        <v>50</v>
      </c>
      <c r="I146" s="700"/>
      <c r="J146" s="707"/>
      <c r="K146" s="721">
        <f>[1]DEPA!$D$114</f>
        <v>50</v>
      </c>
      <c r="L146" s="700"/>
      <c r="M146" s="707"/>
      <c r="N146" s="721">
        <f>[1]DEPA!$E$114</f>
        <v>50</v>
      </c>
      <c r="O146" s="700"/>
      <c r="P146" s="707"/>
      <c r="Q146" s="721">
        <f>[1]DEPA!$F$114</f>
        <v>50</v>
      </c>
      <c r="R146" s="700"/>
      <c r="S146" s="707"/>
      <c r="T146" s="721">
        <f>[1]DEPA!$G$114</f>
        <v>50</v>
      </c>
      <c r="U146" s="700"/>
      <c r="V146" s="707"/>
      <c r="W146" s="721">
        <f>[1]DEPA!$H$114</f>
        <v>50</v>
      </c>
      <c r="X146" s="700"/>
      <c r="Y146" s="707"/>
      <c r="Z146" s="721">
        <f>[1]DEPA!$I$114</f>
        <v>50</v>
      </c>
      <c r="AA146" s="700"/>
      <c r="AB146" s="707"/>
      <c r="AC146" s="721">
        <f>[1]DEPA!$J$114</f>
        <v>50</v>
      </c>
      <c r="AD146" s="700"/>
      <c r="AE146" s="707"/>
      <c r="AF146" s="721">
        <f>[1]DEPA!$K$114</f>
        <v>50</v>
      </c>
      <c r="AG146" s="700"/>
      <c r="AH146" s="707"/>
      <c r="AI146" s="721">
        <f>[1]DEPA!$L$114</f>
        <v>50</v>
      </c>
      <c r="AJ146" s="700"/>
      <c r="AK146" s="707"/>
      <c r="AL146" s="721">
        <f>[1]DEPA!$M$114</f>
        <v>50</v>
      </c>
      <c r="AM146" s="700"/>
      <c r="AN146" s="707"/>
      <c r="AO146" s="721">
        <f>[1]DEPA!$N$114</f>
        <v>50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usagésUniformes</v>
      </c>
      <c r="B147" s="700" t="s">
        <v>136</v>
      </c>
      <c r="C147" s="700"/>
      <c r="D147" s="707"/>
      <c r="E147" s="708">
        <f t="shared" si="36"/>
        <v>0</v>
      </c>
      <c r="F147" s="700"/>
      <c r="G147" s="707"/>
      <c r="H147" s="721">
        <f>[1]DEPA!$C$123</f>
        <v>0</v>
      </c>
      <c r="I147" s="700"/>
      <c r="J147" s="707"/>
      <c r="K147" s="721">
        <f>[1]DEPA!$D$123</f>
        <v>0</v>
      </c>
      <c r="L147" s="700"/>
      <c r="M147" s="707"/>
      <c r="N147" s="721">
        <f>[1]DEPA!$E$123</f>
        <v>0</v>
      </c>
      <c r="O147" s="700"/>
      <c r="P147" s="707"/>
      <c r="Q147" s="721">
        <f>[1]DEPA!$F$123</f>
        <v>0</v>
      </c>
      <c r="R147" s="700"/>
      <c r="S147" s="707"/>
      <c r="T147" s="721">
        <f>[1]DEPA!$G$123</f>
        <v>0</v>
      </c>
      <c r="U147" s="700"/>
      <c r="V147" s="707"/>
      <c r="W147" s="721">
        <f>[1]DEPA!$H$123</f>
        <v>0</v>
      </c>
      <c r="X147" s="700"/>
      <c r="Y147" s="707"/>
      <c r="Z147" s="721">
        <f>[1]DEPA!$I$123</f>
        <v>0</v>
      </c>
      <c r="AA147" s="700"/>
      <c r="AB147" s="707"/>
      <c r="AC147" s="721">
        <f>[1]DEPA!$J$123</f>
        <v>0</v>
      </c>
      <c r="AD147" s="700"/>
      <c r="AE147" s="707"/>
      <c r="AF147" s="721">
        <f>[1]DEPA!$K$123</f>
        <v>0</v>
      </c>
      <c r="AG147" s="700"/>
      <c r="AH147" s="707"/>
      <c r="AI147" s="721">
        <f>[1]DEPA!$L$123</f>
        <v>0</v>
      </c>
      <c r="AJ147" s="700"/>
      <c r="AK147" s="707"/>
      <c r="AL147" s="721">
        <f>[1]DEPA!$M$123</f>
        <v>0</v>
      </c>
      <c r="AM147" s="700"/>
      <c r="AN147" s="707"/>
      <c r="AO147" s="721">
        <f>[1]DEPA!$N$123</f>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usagésPapeterie</v>
      </c>
      <c r="B148" s="700" t="s">
        <v>137</v>
      </c>
      <c r="C148" s="700"/>
      <c r="D148" s="707"/>
      <c r="E148" s="708">
        <f t="shared" si="36"/>
        <v>3264</v>
      </c>
      <c r="F148" s="700"/>
      <c r="G148" s="707"/>
      <c r="H148" s="721">
        <f>[1]DEPA!$C$132</f>
        <v>272</v>
      </c>
      <c r="I148" s="700"/>
      <c r="J148" s="707"/>
      <c r="K148" s="721">
        <f>[1]DEPA!$D$132</f>
        <v>272</v>
      </c>
      <c r="L148" s="700"/>
      <c r="M148" s="707"/>
      <c r="N148" s="721">
        <f>[1]DEPA!$E$132</f>
        <v>272</v>
      </c>
      <c r="O148" s="700"/>
      <c r="P148" s="707"/>
      <c r="Q148" s="721">
        <f>[1]DEPA!$F$132</f>
        <v>272</v>
      </c>
      <c r="R148" s="700"/>
      <c r="S148" s="707"/>
      <c r="T148" s="721">
        <f>[1]DEPA!$G$132</f>
        <v>272</v>
      </c>
      <c r="U148" s="700"/>
      <c r="V148" s="707"/>
      <c r="W148" s="721">
        <f>[1]DEPA!$H$132</f>
        <v>272</v>
      </c>
      <c r="X148" s="700"/>
      <c r="Y148" s="707"/>
      <c r="Z148" s="721">
        <f>[1]DEPA!$I$132</f>
        <v>272</v>
      </c>
      <c r="AA148" s="700"/>
      <c r="AB148" s="707"/>
      <c r="AC148" s="721">
        <f>[1]DEPA!$J$132</f>
        <v>272</v>
      </c>
      <c r="AD148" s="700"/>
      <c r="AE148" s="707"/>
      <c r="AF148" s="721">
        <f>[1]DEPA!$K$132</f>
        <v>272</v>
      </c>
      <c r="AG148" s="700"/>
      <c r="AH148" s="707"/>
      <c r="AI148" s="721">
        <f>[1]DEPA!$L$132</f>
        <v>272</v>
      </c>
      <c r="AJ148" s="700"/>
      <c r="AK148" s="707"/>
      <c r="AL148" s="721">
        <f>[1]DEPA!$M$132</f>
        <v>272</v>
      </c>
      <c r="AM148" s="700"/>
      <c r="AN148" s="707"/>
      <c r="AO148" s="721">
        <f>[1]DEPA!$N$132</f>
        <v>272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usagésTéléphone</v>
      </c>
      <c r="B149" s="700" t="s">
        <v>138</v>
      </c>
      <c r="C149" s="700"/>
      <c r="D149" s="707"/>
      <c r="E149" s="708">
        <f t="shared" si="36"/>
        <v>1050</v>
      </c>
      <c r="F149" s="700"/>
      <c r="G149" s="707"/>
      <c r="H149" s="721">
        <f>[1]DEPA!$C$141</f>
        <v>87.5</v>
      </c>
      <c r="I149" s="700"/>
      <c r="J149" s="707"/>
      <c r="K149" s="721">
        <f>[1]DEPA!$D$141</f>
        <v>87.5</v>
      </c>
      <c r="L149" s="700"/>
      <c r="M149" s="707"/>
      <c r="N149" s="721">
        <f>[1]DEPA!$E$141</f>
        <v>87.5</v>
      </c>
      <c r="O149" s="700"/>
      <c r="P149" s="707"/>
      <c r="Q149" s="721">
        <f>[1]DEPA!$F$141</f>
        <v>87.5</v>
      </c>
      <c r="R149" s="700"/>
      <c r="S149" s="707"/>
      <c r="T149" s="721">
        <f>[1]DEPA!$G$141</f>
        <v>87.5</v>
      </c>
      <c r="U149" s="700"/>
      <c r="V149" s="707"/>
      <c r="W149" s="721">
        <f>[1]DEPA!$H$141</f>
        <v>87.5</v>
      </c>
      <c r="X149" s="700"/>
      <c r="Y149" s="707"/>
      <c r="Z149" s="721">
        <f>[1]DEPA!$I$141</f>
        <v>87.5</v>
      </c>
      <c r="AA149" s="700"/>
      <c r="AB149" s="707"/>
      <c r="AC149" s="721">
        <f>[1]DEPA!$J$141</f>
        <v>87.5</v>
      </c>
      <c r="AD149" s="700"/>
      <c r="AE149" s="707"/>
      <c r="AF149" s="721">
        <f>[1]DEPA!$K$141</f>
        <v>87.5</v>
      </c>
      <c r="AG149" s="700"/>
      <c r="AH149" s="707"/>
      <c r="AI149" s="721">
        <f>[1]DEPA!$L$141</f>
        <v>87.5</v>
      </c>
      <c r="AJ149" s="700"/>
      <c r="AK149" s="707"/>
      <c r="AL149" s="721">
        <f>[1]DEPA!$M$141</f>
        <v>87.5</v>
      </c>
      <c r="AM149" s="700"/>
      <c r="AN149" s="707"/>
      <c r="AO149" s="721">
        <f>[1]DEPA!$N$141</f>
        <v>87.5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usagésFrais postaux</v>
      </c>
      <c r="B150" s="700" t="s">
        <v>139</v>
      </c>
      <c r="C150" s="700"/>
      <c r="D150" s="707"/>
      <c r="E150" s="708">
        <f t="shared" si="36"/>
        <v>1025.6400000000001</v>
      </c>
      <c r="F150" s="700"/>
      <c r="G150" s="707"/>
      <c r="H150" s="721">
        <f>[1]DEPA!$C$150</f>
        <v>85.469999999999985</v>
      </c>
      <c r="I150" s="700"/>
      <c r="J150" s="707"/>
      <c r="K150" s="721">
        <f>[1]DEPA!$D$150</f>
        <v>85.469999999999985</v>
      </c>
      <c r="L150" s="700"/>
      <c r="M150" s="707"/>
      <c r="N150" s="721">
        <f>[1]DEPA!$E$150</f>
        <v>85.469999999999985</v>
      </c>
      <c r="O150" s="700"/>
      <c r="P150" s="707"/>
      <c r="Q150" s="721">
        <f>[1]DEPA!$F$150</f>
        <v>85.469999999999985</v>
      </c>
      <c r="R150" s="700"/>
      <c r="S150" s="707"/>
      <c r="T150" s="721">
        <f>[1]DEPA!$G$150</f>
        <v>85.469999999999985</v>
      </c>
      <c r="U150" s="700"/>
      <c r="V150" s="707"/>
      <c r="W150" s="721">
        <f>[1]DEPA!$H$150</f>
        <v>85.469999999999985</v>
      </c>
      <c r="X150" s="700"/>
      <c r="Y150" s="707"/>
      <c r="Z150" s="721">
        <f>[1]DEPA!$I$150</f>
        <v>85.469999999999985</v>
      </c>
      <c r="AA150" s="700"/>
      <c r="AB150" s="707"/>
      <c r="AC150" s="721">
        <f>[1]DEPA!$J$150</f>
        <v>85.469999999999985</v>
      </c>
      <c r="AD150" s="700"/>
      <c r="AE150" s="707"/>
      <c r="AF150" s="721">
        <f>[1]DEPA!$K$150</f>
        <v>85.469999999999985</v>
      </c>
      <c r="AG150" s="700"/>
      <c r="AH150" s="707"/>
      <c r="AI150" s="721">
        <f>[1]DEPA!$L$150</f>
        <v>85.469999999999985</v>
      </c>
      <c r="AJ150" s="700"/>
      <c r="AK150" s="707"/>
      <c r="AL150" s="721">
        <f>[1]DEPA!$M$150</f>
        <v>85.469999999999985</v>
      </c>
      <c r="AM150" s="700"/>
      <c r="AN150" s="707"/>
      <c r="AO150" s="721">
        <f>[1]DEPA!$N$150</f>
        <v>85.469999999999985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usagésDivers</v>
      </c>
      <c r="B151" s="700" t="s">
        <v>140</v>
      </c>
      <c r="C151" s="700"/>
      <c r="D151" s="707"/>
      <c r="E151" s="708">
        <f t="shared" si="36"/>
        <v>540</v>
      </c>
      <c r="F151" s="700"/>
      <c r="G151" s="707"/>
      <c r="H151" s="721">
        <f>[1]DEPA!$C$159</f>
        <v>45</v>
      </c>
      <c r="I151" s="700"/>
      <c r="J151" s="707"/>
      <c r="K151" s="721">
        <f>[1]DEPA!$D$159</f>
        <v>45</v>
      </c>
      <c r="L151" s="700"/>
      <c r="M151" s="707"/>
      <c r="N151" s="721">
        <f>[1]DEPA!$E$159</f>
        <v>45</v>
      </c>
      <c r="O151" s="700"/>
      <c r="P151" s="707"/>
      <c r="Q151" s="721">
        <f>[1]DEPA!$F$159</f>
        <v>45</v>
      </c>
      <c r="R151" s="700"/>
      <c r="S151" s="707"/>
      <c r="T151" s="721">
        <f>[1]DEPA!$G$159</f>
        <v>45</v>
      </c>
      <c r="U151" s="700"/>
      <c r="V151" s="707"/>
      <c r="W151" s="721">
        <f>[1]DEPA!$H$159</f>
        <v>45</v>
      </c>
      <c r="X151" s="700"/>
      <c r="Y151" s="707"/>
      <c r="Z151" s="721">
        <f>[1]DEPA!$I$159</f>
        <v>45</v>
      </c>
      <c r="AA151" s="700"/>
      <c r="AB151" s="707"/>
      <c r="AC151" s="721">
        <f>[1]DEPA!$J$159</f>
        <v>45</v>
      </c>
      <c r="AD151" s="700"/>
      <c r="AE151" s="707"/>
      <c r="AF151" s="721">
        <f>[1]DEPA!$K$159</f>
        <v>45</v>
      </c>
      <c r="AG151" s="700"/>
      <c r="AH151" s="707"/>
      <c r="AI151" s="721">
        <f>[1]DEPA!$L$159</f>
        <v>45</v>
      </c>
      <c r="AJ151" s="700"/>
      <c r="AK151" s="707"/>
      <c r="AL151" s="721">
        <f>[1]DEPA!$M$159</f>
        <v>45</v>
      </c>
      <c r="AM151" s="700"/>
      <c r="AN151" s="707"/>
      <c r="AO151" s="721">
        <f>[1]DEPA!$N$159</f>
        <v>45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usagésFormation</v>
      </c>
      <c r="B152" s="700" t="s">
        <v>141</v>
      </c>
      <c r="C152" s="700"/>
      <c r="D152" s="707"/>
      <c r="E152" s="708">
        <f t="shared" si="36"/>
        <v>5000</v>
      </c>
      <c r="F152" s="700"/>
      <c r="G152" s="707"/>
      <c r="H152" s="721">
        <f>[1]DEPA!$C$170</f>
        <v>416.66666666666669</v>
      </c>
      <c r="I152" s="700"/>
      <c r="J152" s="707"/>
      <c r="K152" s="721">
        <f>[1]DEPA!$D$170</f>
        <v>416.66666666666669</v>
      </c>
      <c r="L152" s="700"/>
      <c r="M152" s="707"/>
      <c r="N152" s="721">
        <f>[1]DEPA!$E$170</f>
        <v>416.66666666666669</v>
      </c>
      <c r="O152" s="700"/>
      <c r="P152" s="707"/>
      <c r="Q152" s="721">
        <f>[1]DEPA!$F$170</f>
        <v>416.66666666666669</v>
      </c>
      <c r="R152" s="700"/>
      <c r="S152" s="707"/>
      <c r="T152" s="721">
        <f>[1]DEPA!$G$170</f>
        <v>416.66666666666669</v>
      </c>
      <c r="U152" s="700"/>
      <c r="V152" s="707"/>
      <c r="W152" s="721">
        <f>[1]DEPA!$H$170</f>
        <v>416.66666666666669</v>
      </c>
      <c r="X152" s="700"/>
      <c r="Y152" s="707"/>
      <c r="Z152" s="721">
        <f>[1]DEPA!$I$170</f>
        <v>416.66666666666669</v>
      </c>
      <c r="AA152" s="700"/>
      <c r="AB152" s="707"/>
      <c r="AC152" s="721">
        <f>[1]DEPA!$J$170</f>
        <v>416.66666666666669</v>
      </c>
      <c r="AD152" s="700"/>
      <c r="AE152" s="707"/>
      <c r="AF152" s="721">
        <f>[1]DEPA!$K$170</f>
        <v>416.66666666666669</v>
      </c>
      <c r="AG152" s="700"/>
      <c r="AH152" s="707"/>
      <c r="AI152" s="721">
        <f>[1]DEPA!$L$170</f>
        <v>416.66666666666669</v>
      </c>
      <c r="AJ152" s="700"/>
      <c r="AK152" s="707"/>
      <c r="AL152" s="721">
        <f>[1]DEPA!$M$170</f>
        <v>416.66666666666669</v>
      </c>
      <c r="AM152" s="700"/>
      <c r="AN152" s="707"/>
      <c r="AO152" s="721">
        <f>[1]DEPA!$N$170</f>
        <v>416.66666666666669</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usagésFrais bancaires</v>
      </c>
      <c r="B153" s="700" t="s">
        <v>142</v>
      </c>
      <c r="C153" s="700"/>
      <c r="D153" s="707"/>
      <c r="E153" s="708">
        <f t="shared" si="36"/>
        <v>10009.847698444823</v>
      </c>
      <c r="F153" s="700"/>
      <c r="G153" s="707"/>
      <c r="H153" s="721">
        <f>[1]DEPA!$C$182</f>
        <v>640.8534683431119</v>
      </c>
      <c r="I153" s="700"/>
      <c r="J153" s="707"/>
      <c r="K153" s="721">
        <f>[1]DEPA!$D$182</f>
        <v>648.50711871097565</v>
      </c>
      <c r="L153" s="700"/>
      <c r="M153" s="707"/>
      <c r="N153" s="721">
        <f>[1]DEPA!$E$182</f>
        <v>884.80425183842488</v>
      </c>
      <c r="O153" s="700"/>
      <c r="P153" s="707"/>
      <c r="Q153" s="721">
        <f>[1]DEPA!$F$182</f>
        <v>939.56215937759464</v>
      </c>
      <c r="R153" s="700"/>
      <c r="S153" s="707"/>
      <c r="T153" s="721">
        <f>[1]DEPA!$G$182</f>
        <v>1000.1928608544387</v>
      </c>
      <c r="U153" s="700"/>
      <c r="V153" s="707"/>
      <c r="W153" s="721">
        <f>[1]DEPA!$H$182</f>
        <v>903.86121876737752</v>
      </c>
      <c r="X153" s="700"/>
      <c r="Y153" s="707"/>
      <c r="Z153" s="721">
        <f>[1]DEPA!$I$182</f>
        <v>856.99097099234598</v>
      </c>
      <c r="AA153" s="700"/>
      <c r="AB153" s="707"/>
      <c r="AC153" s="721">
        <f>[1]DEPA!$J$182</f>
        <v>830.81937884981221</v>
      </c>
      <c r="AD153" s="700"/>
      <c r="AE153" s="707"/>
      <c r="AF153" s="721">
        <f>[1]DEPA!$K$182</f>
        <v>866.45980074554529</v>
      </c>
      <c r="AG153" s="700"/>
      <c r="AH153" s="707"/>
      <c r="AI153" s="721">
        <f>[1]DEPA!$L$182</f>
        <v>868.59748986327622</v>
      </c>
      <c r="AJ153" s="700"/>
      <c r="AK153" s="707"/>
      <c r="AL153" s="721">
        <f>[1]DEPA!$M$182</f>
        <v>897.80848835201243</v>
      </c>
      <c r="AM153" s="700"/>
      <c r="AN153" s="707"/>
      <c r="AO153" s="721">
        <f>[1]DEPA!$N$182</f>
        <v>671.39049174990771</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6"/>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00"/>
      <c r="D155" s="707"/>
      <c r="E155" s="708">
        <f t="shared" si="36"/>
        <v>0</v>
      </c>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v>
      </c>
      <c r="B156" s="700" t="s">
        <v>59</v>
      </c>
      <c r="C156" s="726"/>
      <c r="D156" s="727"/>
      <c r="E156" s="708">
        <f t="shared" si="36"/>
        <v>0</v>
      </c>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usagésTOTAL SEMI-FIXES</v>
      </c>
      <c r="B157" s="1023" t="s">
        <v>143</v>
      </c>
      <c r="C157" s="1024" t="s">
        <v>119</v>
      </c>
      <c r="D157" s="1025">
        <f>IFERROR(E157/E$112,0)</f>
        <v>5.2795071071044697E-2</v>
      </c>
      <c r="E157" s="1026">
        <f>+SUM(E140:E156)</f>
        <v>107464.36716511149</v>
      </c>
      <c r="F157" s="1024" t="s">
        <v>119</v>
      </c>
      <c r="G157" s="1025">
        <f>IFERROR(H157/H$112,0)</f>
        <v>8.5971361865822216E-2</v>
      </c>
      <c r="H157" s="1026">
        <f>+SUM(H140:H156)</f>
        <v>10316.563423898666</v>
      </c>
      <c r="I157" s="1024" t="s">
        <v>119</v>
      </c>
      <c r="J157" s="1025">
        <f>IFERROR(K157/K$112,0)</f>
        <v>7.0585142285554431E-2</v>
      </c>
      <c r="K157" s="1026">
        <f>+SUM(K140:K156)</f>
        <v>8470.2170742665312</v>
      </c>
      <c r="L157" s="1024" t="s">
        <v>119</v>
      </c>
      <c r="M157" s="1025">
        <f>IFERROR(N157/N$112,0)</f>
        <v>4.844610345110216E-2</v>
      </c>
      <c r="N157" s="1026">
        <f>+SUM(N140:N156)</f>
        <v>8526.5142073939805</v>
      </c>
      <c r="O157" s="1024" t="s">
        <v>119</v>
      </c>
      <c r="P157" s="1025">
        <f>IFERROR(Q157/Q$112,0)</f>
        <v>4.6012182921893567E-2</v>
      </c>
      <c r="Q157" s="1026">
        <f>+SUM(Q140:Q156)</f>
        <v>8581.2721149331501</v>
      </c>
      <c r="R157" s="1024" t="s">
        <v>119</v>
      </c>
      <c r="S157" s="1025">
        <f>IFERROR(T157/T$112,0)</f>
        <v>4.3979149192926184E-2</v>
      </c>
      <c r="T157" s="1026">
        <f>+SUM(T140:T156)</f>
        <v>8641.9028164099946</v>
      </c>
      <c r="U157" s="1024" t="s">
        <v>119</v>
      </c>
      <c r="V157" s="1025">
        <f>IFERROR(W157/W$112,0)</f>
        <v>4.5583692799610775E-2</v>
      </c>
      <c r="W157" s="1026">
        <f>+SUM(W140:W156)</f>
        <v>9025.5711743229331</v>
      </c>
      <c r="X157" s="1024" t="s">
        <v>119</v>
      </c>
      <c r="Y157" s="1025">
        <f>IFERROR(Z157/Z$112,0)</f>
        <v>4.4730004876567912E-2</v>
      </c>
      <c r="Z157" s="1026">
        <f>+SUM(Z140:Z156)</f>
        <v>8498.7009265479028</v>
      </c>
      <c r="AA157" s="1024" t="s">
        <v>119</v>
      </c>
      <c r="AB157" s="1025">
        <f>IFERROR(AC157/AC$112,0)</f>
        <v>4.5551232980674018E-2</v>
      </c>
      <c r="AC157" s="1026">
        <f>+SUM(AC140:AC156)</f>
        <v>8472.529334405368</v>
      </c>
      <c r="AD157" s="1024" t="s">
        <v>119</v>
      </c>
      <c r="AE157" s="1025">
        <f>IFERROR(AF157/AF$112,0)</f>
        <v>4.7006462741995041E-2</v>
      </c>
      <c r="AF157" s="1026">
        <f>+SUM(AF140:AF156)</f>
        <v>8508.1697563011021</v>
      </c>
      <c r="AG157" s="1024" t="s">
        <v>119</v>
      </c>
      <c r="AH157" s="1025">
        <f>IFERROR(AI157/AI$112,0)</f>
        <v>4.833955011127429E-2</v>
      </c>
      <c r="AI157" s="1026">
        <f>+SUM(AI140:AI156)</f>
        <v>8870.3074454188318</v>
      </c>
      <c r="AJ157" s="1024" t="s">
        <v>119</v>
      </c>
      <c r="AK157" s="1025">
        <f>IFERROR(AL157/AL$112,0)</f>
        <v>5.7691703700358685E-2</v>
      </c>
      <c r="AL157" s="1026">
        <f>+SUM(AL140:AL156)</f>
        <v>9259.5184439075692</v>
      </c>
      <c r="AM157" s="1024" t="s">
        <v>119</v>
      </c>
      <c r="AN157" s="1025">
        <f>IFERROR(AO157/AO$112,0)</f>
        <v>7.4858912344039727E-2</v>
      </c>
      <c r="AO157" s="1026">
        <f>+SUM(AO140:AO156)</f>
        <v>10293.100447305462</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v>
      </c>
      <c r="B158" s="726"/>
      <c r="C158" s="726"/>
      <c r="D158" s="727"/>
      <c r="E158" s="724"/>
      <c r="F158" s="726"/>
      <c r="G158" s="727"/>
      <c r="H158" s="724"/>
      <c r="I158" s="726"/>
      <c r="J158" s="727"/>
      <c r="K158" s="724"/>
      <c r="L158" s="726"/>
      <c r="M158" s="727"/>
      <c r="N158" s="724"/>
      <c r="O158" s="726"/>
      <c r="P158" s="727"/>
      <c r="Q158" s="724"/>
      <c r="R158" s="726"/>
      <c r="S158" s="727"/>
      <c r="T158" s="724"/>
      <c r="U158" s="726"/>
      <c r="V158" s="727"/>
      <c r="W158" s="724"/>
      <c r="X158" s="726"/>
      <c r="Y158" s="727"/>
      <c r="Z158" s="724"/>
      <c r="AA158" s="726"/>
      <c r="AB158" s="727"/>
      <c r="AC158" s="724"/>
      <c r="AD158" s="726"/>
      <c r="AE158" s="727"/>
      <c r="AF158" s="724"/>
      <c r="AG158" s="726"/>
      <c r="AH158" s="727"/>
      <c r="AI158" s="724"/>
      <c r="AJ158" s="726"/>
      <c r="AK158" s="727"/>
      <c r="AL158" s="724"/>
      <c r="AM158" s="726"/>
      <c r="AN158" s="727"/>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usagésTOTAL DES DÉPENSES</v>
      </c>
      <c r="B159" s="1033" t="s">
        <v>144</v>
      </c>
      <c r="C159" s="1024" t="s">
        <v>119</v>
      </c>
      <c r="D159" s="1025">
        <f>IFERROR(E159/E$112,0)</f>
        <v>0.67714957702791934</v>
      </c>
      <c r="E159" s="1034">
        <f>E126+E139+E157</f>
        <v>1378337.9640403299</v>
      </c>
      <c r="F159" s="1024" t="s">
        <v>119</v>
      </c>
      <c r="G159" s="1025">
        <f>IFERROR(H159/H$112,0)</f>
        <v>0.88561406515768526</v>
      </c>
      <c r="H159" s="1034">
        <f>H126+H139+H157</f>
        <v>106273.68781892223</v>
      </c>
      <c r="I159" s="1024" t="s">
        <v>119</v>
      </c>
      <c r="J159" s="1025">
        <f>IFERROR(K159/K$112,0)</f>
        <v>0.81762562930135307</v>
      </c>
      <c r="K159" s="1034">
        <f>K126+K139+K157</f>
        <v>98115.075516162367</v>
      </c>
      <c r="L159" s="1024" t="s">
        <v>119</v>
      </c>
      <c r="M159" s="1025">
        <f>IFERROR(N159/N$112,0)</f>
        <v>0.66486003018761142</v>
      </c>
      <c r="N159" s="1034">
        <f>N126+N139+N157</f>
        <v>117015.3653130196</v>
      </c>
      <c r="O159" s="1024" t="s">
        <v>119</v>
      </c>
      <c r="P159" s="1025">
        <f>IFERROR(Q159/Q$112,0)</f>
        <v>0.66699076780795108</v>
      </c>
      <c r="Q159" s="1034">
        <f>Q126+Q139+Q157</f>
        <v>124393.77819618287</v>
      </c>
      <c r="R159" s="1024" t="s">
        <v>119</v>
      </c>
      <c r="S159" s="1025">
        <f>IFERROR(T159/T$112,0)</f>
        <v>0.66312022639957724</v>
      </c>
      <c r="T159" s="1034">
        <f>T126+T139+T157</f>
        <v>130303.12448751694</v>
      </c>
      <c r="U159" s="1024" t="s">
        <v>119</v>
      </c>
      <c r="V159" s="1025">
        <f>IFERROR(W159/W$112,0)</f>
        <v>0.6068966048135167</v>
      </c>
      <c r="W159" s="1034">
        <f>W126+W139+W157</f>
        <v>120165.52775307631</v>
      </c>
      <c r="X159" s="1024" t="s">
        <v>119</v>
      </c>
      <c r="Y159" s="1025">
        <f>IFERROR(Z159/Z$112,0)</f>
        <v>0.62874444283640873</v>
      </c>
      <c r="Z159" s="1034">
        <f>Z126+Z139+Z157</f>
        <v>119461.44413891766</v>
      </c>
      <c r="AA159" s="1024" t="s">
        <v>119</v>
      </c>
      <c r="AB159" s="1025">
        <f>IFERROR(AC159/AC$112,0)</f>
        <v>0.61939818820252568</v>
      </c>
      <c r="AC159" s="1034">
        <f>AC126+AC139+AC157</f>
        <v>115208.06300566977</v>
      </c>
      <c r="AD159" s="1024" t="s">
        <v>119</v>
      </c>
      <c r="AE159" s="1025">
        <f>IFERROR(AF159/AF$112,0)</f>
        <v>0.63218666892993003</v>
      </c>
      <c r="AF159" s="1034">
        <f>AF126+AF139+AF157</f>
        <v>114425.78707631733</v>
      </c>
      <c r="AG159" s="1024" t="s">
        <v>119</v>
      </c>
      <c r="AH159" s="1025">
        <f>IFERROR(AI159/AI$112,0)</f>
        <v>0.65081243625501883</v>
      </c>
      <c r="AI159" s="1034">
        <f>AI126+AI139+AI157</f>
        <v>119424.08205279596</v>
      </c>
      <c r="AJ159" s="1024" t="s">
        <v>119</v>
      </c>
      <c r="AK159" s="1025">
        <f>IFERROR(AL159/AL$112,0)</f>
        <v>0.68082956594738464</v>
      </c>
      <c r="AL159" s="1034">
        <f>AL126+AL139+AL157</f>
        <v>109273.14533455523</v>
      </c>
      <c r="AM159" s="1024" t="s">
        <v>119</v>
      </c>
      <c r="AN159" s="1025">
        <f>IFERROR(AO159/AO$112,0)</f>
        <v>0.75839187888868076</v>
      </c>
      <c r="AO159" s="1034">
        <f>AO126+AO139+AO157</f>
        <v>104278.88334719361</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1</v>
      </c>
      <c r="B160" s="700" t="s">
        <v>158</v>
      </c>
      <c r="C160" s="741"/>
      <c r="D160" s="751"/>
      <c r="E160" s="708">
        <f t="shared" ref="E160:E166" si="37">+SUM(H160,K160,N160,Q160,T160,W160,Z160,AC160,AF160,AI160,AL160,AO160)</f>
        <v>0</v>
      </c>
      <c r="F160" s="741"/>
      <c r="G160" s="751"/>
      <c r="H160" s="721">
        <f>'[1]véh usagés'!$E$113</f>
        <v>0</v>
      </c>
      <c r="I160" s="741"/>
      <c r="J160" s="751"/>
      <c r="K160" s="721">
        <f>'[1]véh usagés'!$F$113</f>
        <v>0</v>
      </c>
      <c r="L160" s="741"/>
      <c r="M160" s="751"/>
      <c r="N160" s="721">
        <f>'[1]véh usagés'!$G$113</f>
        <v>0</v>
      </c>
      <c r="O160" s="741"/>
      <c r="P160" s="751"/>
      <c r="Q160" s="721">
        <f>'[1]véh usagés'!$H$113</f>
        <v>0</v>
      </c>
      <c r="R160" s="741"/>
      <c r="S160" s="751"/>
      <c r="T160" s="721">
        <f>'[1]véh usagés'!$I$113</f>
        <v>0</v>
      </c>
      <c r="U160" s="741"/>
      <c r="V160" s="751"/>
      <c r="W160" s="721">
        <f>'[1]véh usagés'!$J$113</f>
        <v>0</v>
      </c>
      <c r="X160" s="741"/>
      <c r="Y160" s="751"/>
      <c r="Z160" s="721">
        <f>'[1]véh usagés'!$K$113</f>
        <v>0</v>
      </c>
      <c r="AA160" s="741"/>
      <c r="AB160" s="751"/>
      <c r="AC160" s="721">
        <f>'[1]véh usagés'!$L$113</f>
        <v>0</v>
      </c>
      <c r="AD160" s="741"/>
      <c r="AE160" s="751"/>
      <c r="AF160" s="721">
        <f>'[1]véh usagés'!$M$113</f>
        <v>0</v>
      </c>
      <c r="AG160" s="741"/>
      <c r="AH160" s="751"/>
      <c r="AI160" s="721">
        <f>'[1]véh usagés'!$N$113</f>
        <v>0</v>
      </c>
      <c r="AJ160" s="741"/>
      <c r="AK160" s="751"/>
      <c r="AL160" s="721">
        <f>'[1]véh usagés'!$O$113</f>
        <v>0</v>
      </c>
      <c r="AM160" s="741"/>
      <c r="AN160" s="751"/>
      <c r="AO160" s="721">
        <f>'[1]véh usagés'!$P$113</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2</v>
      </c>
      <c r="B161" s="700" t="s">
        <v>159</v>
      </c>
      <c r="C161" s="741"/>
      <c r="D161" s="751"/>
      <c r="E161" s="708">
        <f t="shared" si="37"/>
        <v>0</v>
      </c>
      <c r="F161" s="741"/>
      <c r="G161" s="751"/>
      <c r="H161" s="721">
        <f>'[1]véh usagés'!$E$118</f>
        <v>0</v>
      </c>
      <c r="I161" s="741"/>
      <c r="J161" s="751"/>
      <c r="K161" s="721">
        <f>'[1]véh usagés'!$F$118</f>
        <v>0</v>
      </c>
      <c r="L161" s="741"/>
      <c r="M161" s="751"/>
      <c r="N161" s="721">
        <f>'[1]véh usagés'!$G$118</f>
        <v>0</v>
      </c>
      <c r="O161" s="741"/>
      <c r="P161" s="751"/>
      <c r="Q161" s="721">
        <f>'[1]véh usagés'!$H$118</f>
        <v>0</v>
      </c>
      <c r="R161" s="741"/>
      <c r="S161" s="751"/>
      <c r="T161" s="721">
        <f>'[1]véh usagés'!$I$118</f>
        <v>0</v>
      </c>
      <c r="U161" s="741"/>
      <c r="V161" s="751"/>
      <c r="W161" s="721">
        <f>'[1]véh usagés'!$J$118</f>
        <v>0</v>
      </c>
      <c r="X161" s="741"/>
      <c r="Y161" s="751"/>
      <c r="Z161" s="721">
        <f>'[1]véh usagés'!$K$118</f>
        <v>0</v>
      </c>
      <c r="AA161" s="741"/>
      <c r="AB161" s="751"/>
      <c r="AC161" s="721">
        <f>'[1]véh usagés'!$L$118</f>
        <v>0</v>
      </c>
      <c r="AD161" s="741"/>
      <c r="AE161" s="751"/>
      <c r="AF161" s="721">
        <f>'[1]véh usagés'!$M$118</f>
        <v>0</v>
      </c>
      <c r="AG161" s="741"/>
      <c r="AH161" s="751"/>
      <c r="AI161" s="721">
        <f>'[1]véh usagés'!$N$118</f>
        <v>0</v>
      </c>
      <c r="AJ161" s="741"/>
      <c r="AK161" s="751"/>
      <c r="AL161" s="721">
        <f>'[1]véh usagés'!$O$118</f>
        <v>0</v>
      </c>
      <c r="AM161" s="741"/>
      <c r="AN161" s="751"/>
      <c r="AO161" s="721">
        <f>'[1]véh usagés'!$P$118</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usagésProgramme used 3</v>
      </c>
      <c r="B162" s="700" t="s">
        <v>160</v>
      </c>
      <c r="C162" s="700"/>
      <c r="D162" s="707"/>
      <c r="E162" s="708">
        <f t="shared" si="37"/>
        <v>0</v>
      </c>
      <c r="F162" s="700"/>
      <c r="G162" s="707"/>
      <c r="H162" s="721">
        <f>'[1]véh usagés'!$E$127</f>
        <v>0</v>
      </c>
      <c r="I162" s="700"/>
      <c r="J162" s="707"/>
      <c r="K162" s="721">
        <f>'[1]véh usagés'!$F$127</f>
        <v>0</v>
      </c>
      <c r="L162" s="700"/>
      <c r="M162" s="707"/>
      <c r="N162" s="721">
        <f>'[1]véh usagés'!$G$127</f>
        <v>0</v>
      </c>
      <c r="O162" s="700"/>
      <c r="P162" s="707"/>
      <c r="Q162" s="721">
        <f>'[1]véh usagés'!$H$127</f>
        <v>0</v>
      </c>
      <c r="R162" s="700"/>
      <c r="S162" s="707"/>
      <c r="T162" s="721">
        <f>'[1]véh usagés'!$I$127</f>
        <v>0</v>
      </c>
      <c r="U162" s="700"/>
      <c r="V162" s="707"/>
      <c r="W162" s="721">
        <f>'[1]véh usagés'!$J$127</f>
        <v>0</v>
      </c>
      <c r="X162" s="700"/>
      <c r="Y162" s="707"/>
      <c r="Z162" s="721">
        <f>'[1]véh usagés'!$K$127</f>
        <v>0</v>
      </c>
      <c r="AA162" s="700"/>
      <c r="AB162" s="707"/>
      <c r="AC162" s="721">
        <f>'[1]véh usagés'!$L$127</f>
        <v>0</v>
      </c>
      <c r="AD162" s="700"/>
      <c r="AE162" s="707"/>
      <c r="AF162" s="721">
        <f>'[1]véh usagés'!$M$127</f>
        <v>0</v>
      </c>
      <c r="AG162" s="700"/>
      <c r="AH162" s="707"/>
      <c r="AI162" s="721">
        <f>'[1]véh usagés'!$N$127</f>
        <v>0</v>
      </c>
      <c r="AJ162" s="700"/>
      <c r="AK162" s="707"/>
      <c r="AL162" s="721">
        <f>'[1]véh usagés'!$O$127</f>
        <v>0</v>
      </c>
      <c r="AM162" s="700"/>
      <c r="AN162" s="707"/>
      <c r="AO162" s="721">
        <f>'[1]véh usagés'!$P$127</f>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7"/>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7"/>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v>
      </c>
      <c r="B165" s="700" t="s">
        <v>59</v>
      </c>
      <c r="C165" s="700"/>
      <c r="D165" s="707"/>
      <c r="E165" s="708">
        <f t="shared" si="37"/>
        <v>0</v>
      </c>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usagésFrais administration</v>
      </c>
      <c r="B166" s="726" t="s">
        <v>149</v>
      </c>
      <c r="C166" s="726"/>
      <c r="D166" s="727"/>
      <c r="E166" s="724">
        <f t="shared" si="37"/>
        <v>242541.65</v>
      </c>
      <c r="F166" s="726"/>
      <c r="G166" s="727"/>
      <c r="H166" s="725">
        <f>'[1]Vehicules usages 2026'!E53</f>
        <v>14561.599999999999</v>
      </c>
      <c r="I166" s="726"/>
      <c r="J166" s="727"/>
      <c r="K166" s="725">
        <f>'[1]Vehicules usages 2026'!F53</f>
        <v>15016.65</v>
      </c>
      <c r="L166" s="726"/>
      <c r="M166" s="727"/>
      <c r="N166" s="725">
        <f>'[1]Vehicules usages 2026'!G53</f>
        <v>22297.45</v>
      </c>
      <c r="O166" s="726"/>
      <c r="P166" s="727"/>
      <c r="Q166" s="725">
        <f>'[1]Vehicules usages 2026'!H53</f>
        <v>23207.55</v>
      </c>
      <c r="R166" s="726"/>
      <c r="S166" s="727"/>
      <c r="T166" s="725">
        <f>'[1]Vehicules usages 2026'!I53</f>
        <v>24117.649999999998</v>
      </c>
      <c r="U166" s="726"/>
      <c r="V166" s="727"/>
      <c r="W166" s="725">
        <f>'[1]Vehicules usages 2026'!J53</f>
        <v>23207.55</v>
      </c>
      <c r="X166" s="726"/>
      <c r="Y166" s="727"/>
      <c r="Z166" s="725">
        <f>'[1]Vehicules usages 2026'!K53</f>
        <v>21842.399999999998</v>
      </c>
      <c r="AA166" s="726"/>
      <c r="AB166" s="727"/>
      <c r="AC166" s="725">
        <f>'[1]Vehicules usages 2026'!L53</f>
        <v>21387.35</v>
      </c>
      <c r="AD166" s="726"/>
      <c r="AE166" s="727"/>
      <c r="AF166" s="725">
        <f>'[1]Vehicules usages 2026'!M53</f>
        <v>21387.35</v>
      </c>
      <c r="AG166" s="726"/>
      <c r="AH166" s="727"/>
      <c r="AI166" s="725">
        <f>'[1]Vehicules usages 2026'!N53</f>
        <v>20932.3</v>
      </c>
      <c r="AJ166" s="726"/>
      <c r="AK166" s="727"/>
      <c r="AL166" s="725">
        <f>'[1]Vehicules usages 2026'!O53</f>
        <v>18657.05</v>
      </c>
      <c r="AM166" s="726"/>
      <c r="AN166" s="727"/>
      <c r="AO166" s="725">
        <f>'[1]Vehicules usages 2026'!P53</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usagésAUTRES REVENUS</v>
      </c>
      <c r="B167" s="1033" t="s">
        <v>150</v>
      </c>
      <c r="C167" s="1045"/>
      <c r="D167" s="1046"/>
      <c r="E167" s="1034">
        <f>+SUM(E160:E166)</f>
        <v>242541.65</v>
      </c>
      <c r="F167" s="1045"/>
      <c r="G167" s="1046"/>
      <c r="H167" s="1034">
        <f>+SUM(H160:H166)</f>
        <v>14561.599999999999</v>
      </c>
      <c r="I167" s="1045"/>
      <c r="J167" s="1046"/>
      <c r="K167" s="1034">
        <f>+SUM(K160:K166)</f>
        <v>15016.65</v>
      </c>
      <c r="L167" s="1045"/>
      <c r="M167" s="1046"/>
      <c r="N167" s="1034">
        <f>+SUM(N160:N166)</f>
        <v>22297.45</v>
      </c>
      <c r="O167" s="1045"/>
      <c r="P167" s="1046"/>
      <c r="Q167" s="1034">
        <f>+SUM(Q160:Q166)</f>
        <v>23207.55</v>
      </c>
      <c r="R167" s="1045"/>
      <c r="S167" s="1046"/>
      <c r="T167" s="1034">
        <f>+SUM(T160:T166)</f>
        <v>24117.649999999998</v>
      </c>
      <c r="U167" s="1045"/>
      <c r="V167" s="1046"/>
      <c r="W167" s="1034">
        <f>+SUM(W160:W166)</f>
        <v>23207.55</v>
      </c>
      <c r="X167" s="1045"/>
      <c r="Y167" s="1046"/>
      <c r="Z167" s="1034">
        <f>+SUM(Z160:Z166)</f>
        <v>21842.399999999998</v>
      </c>
      <c r="AA167" s="1045"/>
      <c r="AB167" s="1046"/>
      <c r="AC167" s="1034">
        <f>+SUM(AC160:AC166)</f>
        <v>21387.35</v>
      </c>
      <c r="AD167" s="1045"/>
      <c r="AE167" s="1046"/>
      <c r="AF167" s="1034">
        <f>+SUM(AF160:AF166)</f>
        <v>21387.35</v>
      </c>
      <c r="AG167" s="1045"/>
      <c r="AH167" s="1046"/>
      <c r="AI167" s="1034">
        <f>+SUM(AI160:AI166)</f>
        <v>20932.3</v>
      </c>
      <c r="AJ167" s="1045"/>
      <c r="AK167" s="1046"/>
      <c r="AL167" s="1034">
        <f>+SUM(AL160:AL166)</f>
        <v>18657.05</v>
      </c>
      <c r="AM167" s="1045"/>
      <c r="AN167" s="1046"/>
      <c r="AO167" s="1034">
        <f>+SUM(AO160:AO166)</f>
        <v>15926.75</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v>
      </c>
      <c r="B168" s="700"/>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t="str">
        <f t="shared" si="33"/>
        <v>Véhicules usagésPROFIT DÉPARTEMENTAL</v>
      </c>
      <c r="B169" s="1037" t="s">
        <v>151</v>
      </c>
      <c r="C169" s="1037"/>
      <c r="D169" s="1047">
        <f>E169/E96</f>
        <v>4.8623147630078377E-2</v>
      </c>
      <c r="E169" s="1040">
        <f>E112-E159+E167</f>
        <v>899703.68595967011</v>
      </c>
      <c r="F169" s="1037"/>
      <c r="G169" s="1048"/>
      <c r="H169" s="1040">
        <f>H112-H159+H167</f>
        <v>28287.912181077765</v>
      </c>
      <c r="I169" s="1037"/>
      <c r="J169" s="1048"/>
      <c r="K169" s="1040">
        <f>K112-K159+K167</f>
        <v>36901.574483837634</v>
      </c>
      <c r="L169" s="1037"/>
      <c r="M169" s="1048"/>
      <c r="N169" s="1040">
        <f>N112-N159+N167</f>
        <v>81282.084686980394</v>
      </c>
      <c r="O169" s="1037"/>
      <c r="P169" s="1048"/>
      <c r="Q169" s="1040">
        <f>Q112-Q159+Q167</f>
        <v>85313.77180381713</v>
      </c>
      <c r="R169" s="1037"/>
      <c r="S169" s="1048"/>
      <c r="T169" s="1040">
        <f>T112-T159+T167</f>
        <v>90314.525512483058</v>
      </c>
      <c r="U169" s="1037"/>
      <c r="V169" s="1048"/>
      <c r="W169" s="1040">
        <f>W112-W159+W167</f>
        <v>101042.02224692369</v>
      </c>
      <c r="X169" s="1037"/>
      <c r="Y169" s="1048"/>
      <c r="Z169" s="1040">
        <f>Z112-Z159+Z167</f>
        <v>92380.95586108233</v>
      </c>
      <c r="AA169" s="1037"/>
      <c r="AB169" s="1048"/>
      <c r="AC169" s="1040">
        <f>AC112-AC159+AC167</f>
        <v>92179.286994330236</v>
      </c>
      <c r="AD169" s="1037"/>
      <c r="AE169" s="1048"/>
      <c r="AF169" s="1040">
        <f>AF112-AF159+AF167</f>
        <v>87961.562923682679</v>
      </c>
      <c r="AG169" s="1037"/>
      <c r="AH169" s="1048"/>
      <c r="AI169" s="1040">
        <f>AI112-AI159+AI167</f>
        <v>85008.217947204044</v>
      </c>
      <c r="AJ169" s="1037"/>
      <c r="AK169" s="1048"/>
      <c r="AL169" s="1040">
        <f>AL112-AL159+AL167</f>
        <v>69883.904665444774</v>
      </c>
      <c r="AM169" s="1037"/>
      <c r="AN169" s="1048"/>
      <c r="AO169" s="1040">
        <f>AO112-AO159+AO167</f>
        <v>49147.866652806391</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739"/>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739"/>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1042" t="str">
        <f>B4</f>
        <v>Budget 2025</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c r="A173" s="39"/>
      <c r="B173" s="1043"/>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9"/>
      <c r="B174" s="868" t="s">
        <v>3</v>
      </c>
      <c r="C174" s="1163">
        <v>2021</v>
      </c>
      <c r="D174" s="1164"/>
      <c r="E174" s="1165"/>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21" si="38">+$C$172&amp;B175</f>
        <v>Service</v>
      </c>
      <c r="B175" s="700"/>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ServiceM/O Client</v>
      </c>
      <c r="B176" s="700" t="s">
        <v>164</v>
      </c>
      <c r="C176" s="753">
        <f>+SUM(F176,I176,L176,O176,R176,U176,X176,AA176,AD176,AG176,AJ176,AM176)</f>
        <v>5803.0000000000009</v>
      </c>
      <c r="D176" s="720">
        <f>+SUM(G176,J176,M176,P176,S176,V176,Y176,AB176,AE176,AH176,AK176,AN176)</f>
        <v>2031049.9999999995</v>
      </c>
      <c r="E176" s="708">
        <f>+SUM(H176,K176,N176,Q176,T176,W176,Z176,AC176,AF176,AI176,AL176,AO176)</f>
        <v>1598436.3499999999</v>
      </c>
      <c r="F176" s="754">
        <f>'[1]Bud men fixes'!$E$73</f>
        <v>294.76237807605202</v>
      </c>
      <c r="G176" s="755">
        <f>'[1]Bud men fixes'!$E$6</f>
        <v>103166.8323266182</v>
      </c>
      <c r="H176" s="721">
        <f>'[1]Bud men fixes'!$E$5</f>
        <v>81192.297041048529</v>
      </c>
      <c r="I176" s="754">
        <f>'[1]Bud men fixes'!$F$73</f>
        <v>283.72149852865647</v>
      </c>
      <c r="J176" s="755">
        <f>'[1]Bud men fixes'!$F$6</f>
        <v>99302.52448502976</v>
      </c>
      <c r="K176" s="721">
        <f>'[1]Bud men fixes'!$F$5</f>
        <v>78151.086769718429</v>
      </c>
      <c r="L176" s="754">
        <f>'[1]Bud men fixes'!$G$73</f>
        <v>370.38159707021657</v>
      </c>
      <c r="M176" s="755">
        <f>'[1]Bud men fixes'!$G$6</f>
        <v>129633.5589745758</v>
      </c>
      <c r="N176" s="721">
        <f>'[1]Bud men fixes'!$G$5</f>
        <v>102021.61091299116</v>
      </c>
      <c r="O176" s="754">
        <f>'[1]Bud men fixes'!$H$73</f>
        <v>659.01552188133667</v>
      </c>
      <c r="P176" s="755">
        <f>'[1]Bud men fixes'!$H$6</f>
        <v>230655.43265846782</v>
      </c>
      <c r="Q176" s="721">
        <f>'[1]Bud men fixes'!$H$5</f>
        <v>181525.82550221417</v>
      </c>
      <c r="R176" s="754">
        <f>'[1]Bud men fixes'!$I$73</f>
        <v>620.90288771897451</v>
      </c>
      <c r="S176" s="755">
        <f>'[1]Bud men fixes'!$I$6</f>
        <v>217316.01070164109</v>
      </c>
      <c r="T176" s="721">
        <f>'[1]Bud men fixes'!$I$5</f>
        <v>171027.70042219156</v>
      </c>
      <c r="U176" s="754">
        <f>'[1]Bud men fixes'!$J$73</f>
        <v>423.81970065732037</v>
      </c>
      <c r="V176" s="755">
        <f>'[1]Bud men fixes'!$J$6</f>
        <v>148336.89523006213</v>
      </c>
      <c r="W176" s="721">
        <f>'[1]Bud men fixes'!$J$5</f>
        <v>116741.1365460589</v>
      </c>
      <c r="X176" s="754">
        <f>'[1]Bud men fixes'!$K$73</f>
        <v>411.51758821408816</v>
      </c>
      <c r="Y176" s="755">
        <f>'[1]Bud men fixes'!$K$6</f>
        <v>144031.15587493085</v>
      </c>
      <c r="Z176" s="721">
        <f>'[1]Bud men fixes'!$K$5</f>
        <v>113352.51967357058</v>
      </c>
      <c r="AA176" s="754">
        <f>'[1]Bud men fixes'!$L$73</f>
        <v>409.5330002686436</v>
      </c>
      <c r="AB176" s="755">
        <f>'[1]Bud men fixes'!$L$6</f>
        <v>143336.55009402527</v>
      </c>
      <c r="AC176" s="721">
        <f>'[1]Bud men fixes'!$L$5</f>
        <v>112805.86492399788</v>
      </c>
      <c r="AD176" s="754">
        <f>'[1]Bud men fixes'!$M$73</f>
        <v>388.66542486707237</v>
      </c>
      <c r="AE176" s="755">
        <f>'[1]Bud men fixes'!$M$6</f>
        <v>136032.89870347534</v>
      </c>
      <c r="AF176" s="721">
        <f>'[1]Bud men fixes'!$M$5</f>
        <v>107057.89127963509</v>
      </c>
      <c r="AG176" s="754">
        <f>'[1]Bud men fixes'!$N$73</f>
        <v>592.43026349314778</v>
      </c>
      <c r="AH176" s="755">
        <f>'[1]Bud men fixes'!$N$6</f>
        <v>207350.5922226017</v>
      </c>
      <c r="AI176" s="721">
        <f>'[1]Bud men fixes'!$N$5</f>
        <v>163184.91607918753</v>
      </c>
      <c r="AJ176" s="754">
        <f>'[1]Bud men fixes'!$O$73</f>
        <v>886.22515645668841</v>
      </c>
      <c r="AK176" s="755">
        <f>'[1]Bud men fixes'!$O$6</f>
        <v>310178.80475984095</v>
      </c>
      <c r="AL176" s="721">
        <f>'[1]Bud men fixes'!$O$5</f>
        <v>244110.71934599485</v>
      </c>
      <c r="AM176" s="754">
        <f>'[1]Bud men fixes'!$P$73</f>
        <v>462.02498276780256</v>
      </c>
      <c r="AN176" s="755">
        <f>'[1]Bud men fixes'!$P$6</f>
        <v>161708.74396873091</v>
      </c>
      <c r="AO176" s="721">
        <f>'[1]Bud men fixes'!$P$5</f>
        <v>127264.78150339123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 profit / ventes</v>
      </c>
      <c r="B177" s="700" t="s">
        <v>165</v>
      </c>
      <c r="C177" s="753"/>
      <c r="D177" s="707"/>
      <c r="E177" s="756">
        <f>IF(E176=0,0,E176/D176)</f>
        <v>0.78700000000000014</v>
      </c>
      <c r="F177" s="753"/>
      <c r="G177" s="707"/>
      <c r="H177" s="756">
        <f>IF(H176=0,0,H176/G176)</f>
        <v>0.78700000000000003</v>
      </c>
      <c r="I177" s="753"/>
      <c r="J177" s="707"/>
      <c r="K177" s="756">
        <f>IF(K176=0,0,K176/J176)</f>
        <v>0.78700000000000003</v>
      </c>
      <c r="L177" s="753"/>
      <c r="M177" s="707"/>
      <c r="N177" s="756">
        <f>IF(N176=0,0,N176/M176)</f>
        <v>0.78700000000000003</v>
      </c>
      <c r="O177" s="753"/>
      <c r="P177" s="707"/>
      <c r="Q177" s="756">
        <f>IF(Q176=0,0,Q176/P176)</f>
        <v>0.78699999999999992</v>
      </c>
      <c r="R177" s="753"/>
      <c r="S177" s="707"/>
      <c r="T177" s="756">
        <f>IF(T176=0,0,T176/S176)</f>
        <v>0.78700000000000003</v>
      </c>
      <c r="U177" s="753"/>
      <c r="V177" s="707"/>
      <c r="W177" s="756">
        <f>IF(W176=0,0,W176/V176)</f>
        <v>0.78700000000000003</v>
      </c>
      <c r="X177" s="753"/>
      <c r="Y177" s="707"/>
      <c r="Z177" s="756">
        <f>IF(Z176=0,0,Z176/Y176)</f>
        <v>0.78700000000000003</v>
      </c>
      <c r="AA177" s="753"/>
      <c r="AB177" s="707"/>
      <c r="AC177" s="756">
        <f>IF(AC176=0,0,AC176/AB176)</f>
        <v>0.78700000000000003</v>
      </c>
      <c r="AD177" s="753"/>
      <c r="AE177" s="707"/>
      <c r="AF177" s="756">
        <f>IF(AF176=0,0,AF176/AE176)</f>
        <v>0.78700000000000003</v>
      </c>
      <c r="AG177" s="753"/>
      <c r="AH177" s="707"/>
      <c r="AI177" s="756">
        <f>IF(AI176=0,0,AI176/AH176)</f>
        <v>0.78700000000000003</v>
      </c>
      <c r="AJ177" s="753"/>
      <c r="AK177" s="707"/>
      <c r="AL177" s="756">
        <f>IF(AL176=0,0,AL176/AK176)</f>
        <v>0.78700000000000003</v>
      </c>
      <c r="AM177" s="753"/>
      <c r="AN177" s="707"/>
      <c r="AO177" s="756">
        <f>IF(AO176=0,0,AO176/AN176)</f>
        <v>0.78700000000000003</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v>
      </c>
      <c r="B178" s="726"/>
      <c r="C178" s="757"/>
      <c r="D178" s="758">
        <f>IFERROR(D176/C176,0)</f>
        <v>349.99999999999989</v>
      </c>
      <c r="E178" s="759"/>
      <c r="F178" s="757"/>
      <c r="G178" s="758">
        <f>IFERROR(G176/F176,0)</f>
        <v>350</v>
      </c>
      <c r="H178" s="759"/>
      <c r="I178" s="757"/>
      <c r="J178" s="758">
        <f>IFERROR(J176/I176,0)</f>
        <v>350</v>
      </c>
      <c r="K178" s="759"/>
      <c r="L178" s="757"/>
      <c r="M178" s="758">
        <f>IFERROR(M176/L176,0)</f>
        <v>350</v>
      </c>
      <c r="N178" s="759"/>
      <c r="O178" s="757"/>
      <c r="P178" s="758">
        <f>IFERROR(P176/O176,0)</f>
        <v>350</v>
      </c>
      <c r="Q178" s="759"/>
      <c r="R178" s="757"/>
      <c r="S178" s="758">
        <f>IFERROR(S176/R176,0)</f>
        <v>350</v>
      </c>
      <c r="T178" s="759"/>
      <c r="U178" s="757"/>
      <c r="V178" s="758">
        <f>IFERROR(V176/U176,0)</f>
        <v>350</v>
      </c>
      <c r="W178" s="759"/>
      <c r="X178" s="757"/>
      <c r="Y178" s="758">
        <f>IFERROR(Y176/X176,0)</f>
        <v>350</v>
      </c>
      <c r="Z178" s="759"/>
      <c r="AA178" s="757"/>
      <c r="AB178" s="758">
        <f>IFERROR(AB176/AA176,0)</f>
        <v>350</v>
      </c>
      <c r="AC178" s="759"/>
      <c r="AD178" s="757"/>
      <c r="AE178" s="758">
        <f>IFERROR(AE176/AD176,0)</f>
        <v>350</v>
      </c>
      <c r="AF178" s="759"/>
      <c r="AG178" s="757"/>
      <c r="AH178" s="758">
        <f>IFERROR(AH176/AG176,0)</f>
        <v>349.99999999999994</v>
      </c>
      <c r="AI178" s="759"/>
      <c r="AJ178" s="757"/>
      <c r="AK178" s="758">
        <f>IFERROR(AK176/AJ176,0)</f>
        <v>350</v>
      </c>
      <c r="AL178" s="759"/>
      <c r="AM178" s="757"/>
      <c r="AN178" s="758">
        <f>IFERROR(AN176/AM176,0)</f>
        <v>350.00000000000006</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ServiceM/O Garantie</v>
      </c>
      <c r="B179" s="1011" t="s">
        <v>166</v>
      </c>
      <c r="C179" s="1049">
        <f>+SUM(F179,I179,L179,O179,R179,U179,X179,AA179,AD179,AG179,AJ179,AM179)</f>
        <v>2377</v>
      </c>
      <c r="D179" s="1050">
        <f>+SUM(G179,J179,M179,P179,S179,V179,Y179,AB179,AE179,AH179,AK179,AN179)</f>
        <v>713100.00000000012</v>
      </c>
      <c r="E179" s="1030">
        <f>+SUM(H179,K179,N179,Q179,T179,W179,Z179,AC179,AF179,AI179,AL179,AO179)</f>
        <v>459949.5</v>
      </c>
      <c r="F179" s="1051">
        <f>'[1]Bud men fixes'!$E$76</f>
        <v>273.53966785057435</v>
      </c>
      <c r="G179" s="1052">
        <f>'[1]Bud men fixes'!$E$9</f>
        <v>82061.9003551723</v>
      </c>
      <c r="H179" s="1031">
        <f>'[1]Bud men fixes'!$E$8</f>
        <v>52929.925729086135</v>
      </c>
      <c r="I179" s="1051">
        <f>'[1]Bud men fixes'!$F$76</f>
        <v>235.88237362310653</v>
      </c>
      <c r="J179" s="1052">
        <f>'[1]Bud men fixes'!$F$9</f>
        <v>70764.712086931962</v>
      </c>
      <c r="K179" s="1031">
        <f>'[1]Bud men fixes'!$F$8</f>
        <v>45643.239296071115</v>
      </c>
      <c r="L179" s="1051">
        <f>'[1]Bud men fixes'!$G$76</f>
        <v>290.91736964263987</v>
      </c>
      <c r="M179" s="1052">
        <f>'[1]Bud men fixes'!$G$9</f>
        <v>87275.210892791962</v>
      </c>
      <c r="N179" s="1031">
        <f>'[1]Bud men fixes'!$G$8</f>
        <v>56292.511025850814</v>
      </c>
      <c r="O179" s="1051">
        <f>'[1]Bud men fixes'!$H$76</f>
        <v>139.91529733713244</v>
      </c>
      <c r="P179" s="1052">
        <f>'[1]Bud men fixes'!$H$9</f>
        <v>41974.58920113973</v>
      </c>
      <c r="Q179" s="1031">
        <f>'[1]Bud men fixes'!$H$8</f>
        <v>27073.610034735128</v>
      </c>
      <c r="R179" s="1051">
        <f>'[1]Bud men fixes'!$I$76</f>
        <v>149.96147628257265</v>
      </c>
      <c r="S179" s="1052">
        <f>'[1]Bud men fixes'!$I$9</f>
        <v>44988.442884771794</v>
      </c>
      <c r="T179" s="1031">
        <f>'[1]Bud men fixes'!$I$8</f>
        <v>29017.545660677806</v>
      </c>
      <c r="U179" s="1051">
        <f>'[1]Bud men fixes'!$J$76</f>
        <v>205.16198987760498</v>
      </c>
      <c r="V179" s="1052">
        <f>'[1]Bud men fixes'!$J$9</f>
        <v>61548.596963281496</v>
      </c>
      <c r="W179" s="1031">
        <f>'[1]Bud men fixes'!$J$8</f>
        <v>39698.845041316563</v>
      </c>
      <c r="X179" s="1051">
        <f>'[1]Bud men fixes'!$K$76</f>
        <v>239.60045160947578</v>
      </c>
      <c r="Y179" s="1052">
        <f>'[1]Bud men fixes'!$K$9</f>
        <v>71880.135482842728</v>
      </c>
      <c r="Z179" s="1031">
        <f>'[1]Bud men fixes'!$K$8</f>
        <v>46362.687386433558</v>
      </c>
      <c r="AA179" s="1051">
        <f>'[1]Bud men fixes'!$L$76</f>
        <v>245.72397242557832</v>
      </c>
      <c r="AB179" s="1052">
        <f>'[1]Bud men fixes'!$L$9</f>
        <v>73717.191727673504</v>
      </c>
      <c r="AC179" s="1031">
        <f>'[1]Bud men fixes'!$L$8</f>
        <v>47547.588664349409</v>
      </c>
      <c r="AD179" s="1051">
        <f>'[1]Bud men fixes'!$M$76</f>
        <v>249.37028999256785</v>
      </c>
      <c r="AE179" s="1052">
        <f>'[1]Bud men fixes'!$M$9</f>
        <v>74811.086997770355</v>
      </c>
      <c r="AF179" s="1031">
        <f>'[1]Bud men fixes'!$M$8</f>
        <v>48253.151113561878</v>
      </c>
      <c r="AG179" s="1051">
        <f>'[1]Bud men fixes'!$N$76</f>
        <v>221.75791575581431</v>
      </c>
      <c r="AH179" s="1052">
        <f>'[1]Bud men fixes'!$N$9</f>
        <v>66527.374726744296</v>
      </c>
      <c r="AI179" s="1031">
        <f>'[1]Bud men fixes'!$N$8</f>
        <v>42910.15669875007</v>
      </c>
      <c r="AJ179" s="1051">
        <f>'[1]Bud men fixes'!$O$76</f>
        <v>48.84821272845128</v>
      </c>
      <c r="AK179" s="1052">
        <f>'[1]Bud men fixes'!$O$9</f>
        <v>14654.463818535383</v>
      </c>
      <c r="AL179" s="1031">
        <f>'[1]Bud men fixes'!$O$8</f>
        <v>9452.1291629553234</v>
      </c>
      <c r="AM179" s="1051">
        <f>'[1]Bud men fixes'!$P$76</f>
        <v>76.320982874481771</v>
      </c>
      <c r="AN179" s="1052">
        <f>'[1]Bud men fixes'!$P$9</f>
        <v>22896.29486234453</v>
      </c>
      <c r="AO179" s="1031">
        <f>'[1]Bud men fixes'!$P$8</f>
        <v>14768.110186212221</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 profit / ventes</v>
      </c>
      <c r="B180" s="700" t="s">
        <v>165</v>
      </c>
      <c r="C180" s="700"/>
      <c r="D180" s="707"/>
      <c r="E180" s="756">
        <f>IF(E179=0,0,E179/D179)</f>
        <v>0.64499999999999991</v>
      </c>
      <c r="F180" s="700"/>
      <c r="G180" s="707"/>
      <c r="H180" s="756">
        <f>IF(H179=0,0,H179/G179)</f>
        <v>0.64500000000000002</v>
      </c>
      <c r="I180" s="700"/>
      <c r="J180" s="707"/>
      <c r="K180" s="756">
        <f>IF(K179=0,0,K179/J179)</f>
        <v>0.64500000000000002</v>
      </c>
      <c r="L180" s="700"/>
      <c r="M180" s="707"/>
      <c r="N180" s="756">
        <f>IF(N179=0,0,N179/M179)</f>
        <v>0.64500000000000002</v>
      </c>
      <c r="O180" s="700"/>
      <c r="P180" s="707"/>
      <c r="Q180" s="756">
        <f>IF(Q179=0,0,Q179/P179)</f>
        <v>0.64500000000000002</v>
      </c>
      <c r="R180" s="700"/>
      <c r="S180" s="707"/>
      <c r="T180" s="756">
        <f>IF(T179=0,0,T179/S179)</f>
        <v>0.64500000000000002</v>
      </c>
      <c r="U180" s="700"/>
      <c r="V180" s="707"/>
      <c r="W180" s="756">
        <f>IF(W179=0,0,W179/V179)</f>
        <v>0.64500000000000002</v>
      </c>
      <c r="X180" s="700"/>
      <c r="Y180" s="707"/>
      <c r="Z180" s="756">
        <f>IF(Z179=0,0,Z179/Y179)</f>
        <v>0.64500000000000002</v>
      </c>
      <c r="AA180" s="700"/>
      <c r="AB180" s="707"/>
      <c r="AC180" s="756">
        <f>IF(AC179=0,0,AC179/AB179)</f>
        <v>0.64500000000000002</v>
      </c>
      <c r="AD180" s="700"/>
      <c r="AE180" s="707"/>
      <c r="AF180" s="756">
        <f>IF(AF179=0,0,AF179/AE179)</f>
        <v>0.64500000000000002</v>
      </c>
      <c r="AG180" s="700"/>
      <c r="AH180" s="707"/>
      <c r="AI180" s="756">
        <f>IF(AI179=0,0,AI179/AH179)</f>
        <v>0.64500000000000002</v>
      </c>
      <c r="AJ180" s="700"/>
      <c r="AK180" s="707"/>
      <c r="AL180" s="756">
        <f>IF(AL179=0,0,AL179/AK179)</f>
        <v>0.64500000000000013</v>
      </c>
      <c r="AM180" s="700"/>
      <c r="AN180" s="707"/>
      <c r="AO180" s="756">
        <f>IF(AO179=0,0,AO179/AN179)</f>
        <v>0.64500000000000002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v>
      </c>
      <c r="B181" s="726"/>
      <c r="C181" s="726"/>
      <c r="D181" s="758">
        <f>IFERROR(D179/C179,0)</f>
        <v>300.00000000000006</v>
      </c>
      <c r="E181" s="759"/>
      <c r="F181" s="726"/>
      <c r="G181" s="758">
        <f>IFERROR(G179/F179,0)</f>
        <v>300</v>
      </c>
      <c r="H181" s="759"/>
      <c r="I181" s="726"/>
      <c r="J181" s="758">
        <f>IFERROR(J179/I179,0)</f>
        <v>300</v>
      </c>
      <c r="K181" s="759"/>
      <c r="L181" s="726"/>
      <c r="M181" s="758">
        <f>IFERROR(M179/L179,0)</f>
        <v>300</v>
      </c>
      <c r="N181" s="759"/>
      <c r="O181" s="726"/>
      <c r="P181" s="758">
        <f>IFERROR(P179/O179,0)</f>
        <v>300</v>
      </c>
      <c r="Q181" s="759"/>
      <c r="R181" s="726"/>
      <c r="S181" s="758">
        <f>IFERROR(S179/R179,0)</f>
        <v>300</v>
      </c>
      <c r="T181" s="759"/>
      <c r="U181" s="726"/>
      <c r="V181" s="758">
        <f>IFERROR(V179/U179,0)</f>
        <v>300</v>
      </c>
      <c r="W181" s="759"/>
      <c r="X181" s="726"/>
      <c r="Y181" s="758">
        <f>IFERROR(Y179/X179,0)</f>
        <v>300</v>
      </c>
      <c r="Z181" s="759"/>
      <c r="AA181" s="726"/>
      <c r="AB181" s="758">
        <f>IFERROR(AB179/AA179,0)</f>
        <v>300</v>
      </c>
      <c r="AC181" s="759"/>
      <c r="AD181" s="726"/>
      <c r="AE181" s="758">
        <f>IFERROR(AE179/AD179,0)</f>
        <v>300</v>
      </c>
      <c r="AF181" s="759"/>
      <c r="AG181" s="726"/>
      <c r="AH181" s="758">
        <f>IFERROR(AH179/AG179,0)</f>
        <v>300</v>
      </c>
      <c r="AI181" s="759"/>
      <c r="AJ181" s="726"/>
      <c r="AK181" s="758">
        <f>IFERROR(AK179/AJ179,0)</f>
        <v>300</v>
      </c>
      <c r="AL181" s="759"/>
      <c r="AM181" s="726"/>
      <c r="AN181" s="758">
        <f>IFERROR(AN179/AM179,0)</f>
        <v>300</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ServiceM/O Interne</v>
      </c>
      <c r="B182" s="700" t="s">
        <v>167</v>
      </c>
      <c r="C182" s="753">
        <f>+SUM(F182,I182,L182,O182,R182,U182,X182,AA182,AD182,AG182,AJ182,AM182)</f>
        <v>3408.9</v>
      </c>
      <c r="D182" s="720">
        <f>+SUM(G182,J182,M182,P182,S182,V182,Y182,AB182,AE182,AH182,AK182,AN182)</f>
        <v>1063576.8</v>
      </c>
      <c r="E182" s="708">
        <f>+SUM(H182,K182,N182,Q182,T182,W182,Z182,AC182,AF182,AI182,AL182,AO182)</f>
        <v>797682.60000000009</v>
      </c>
      <c r="F182" s="754">
        <f>'[1]Bud men fixes'!$E$79</f>
        <v>225.12917185982698</v>
      </c>
      <c r="G182" s="755">
        <f>'[1]Bud men fixes'!$E$12</f>
        <v>70240.301620266022</v>
      </c>
      <c r="H182" s="721">
        <f>'[1]Bud men fixes'!$E$11</f>
        <v>52680.226215199516</v>
      </c>
      <c r="I182" s="754">
        <f>'[1]Bud men fixes'!$F$79</f>
        <v>234.50207116487226</v>
      </c>
      <c r="J182" s="755">
        <f>'[1]Bud men fixes'!$F$12</f>
        <v>73164.646203440148</v>
      </c>
      <c r="K182" s="721">
        <f>'[1]Bud men fixes'!$F$11</f>
        <v>54873.484652580111</v>
      </c>
      <c r="L182" s="754">
        <f>'[1]Bud men fixes'!$G$79</f>
        <v>246.95173245070447</v>
      </c>
      <c r="M182" s="755">
        <f>'[1]Bud men fixes'!$G$12</f>
        <v>77048.9405246198</v>
      </c>
      <c r="N182" s="721">
        <f>'[1]Bud men fixes'!$G$11</f>
        <v>57786.70539346485</v>
      </c>
      <c r="O182" s="754">
        <f>'[1]Bud men fixes'!$H$79</f>
        <v>235.354709308867</v>
      </c>
      <c r="P182" s="755">
        <f>'[1]Bud men fixes'!$H$12</f>
        <v>73430.6693043665</v>
      </c>
      <c r="Q182" s="721">
        <f>'[1]Bud men fixes'!$H$11</f>
        <v>55073.001978274871</v>
      </c>
      <c r="R182" s="754">
        <f>'[1]Bud men fixes'!$I$79</f>
        <v>316.85679749651365</v>
      </c>
      <c r="S182" s="755">
        <f>'[1]Bud men fixes'!$I$12</f>
        <v>98859.320818912252</v>
      </c>
      <c r="T182" s="721">
        <f>'[1]Bud men fixes'!$I$11</f>
        <v>74144.490614184193</v>
      </c>
      <c r="U182" s="754">
        <f>'[1]Bud men fixes'!$J$79</f>
        <v>288.54858822359927</v>
      </c>
      <c r="V182" s="755">
        <f>'[1]Bud men fixes'!$J$12</f>
        <v>90027.159525762982</v>
      </c>
      <c r="W182" s="721">
        <f>'[1]Bud men fixes'!$J$11</f>
        <v>67520.369644322229</v>
      </c>
      <c r="X182" s="754">
        <f>'[1]Bud men fixes'!$K$79</f>
        <v>337.35093163487613</v>
      </c>
      <c r="Y182" s="755">
        <f>'[1]Bud men fixes'!$K$12</f>
        <v>105253.49067008134</v>
      </c>
      <c r="Z182" s="721">
        <f>'[1]Bud men fixes'!$K$11</f>
        <v>78940.118002561008</v>
      </c>
      <c r="AA182" s="754">
        <f>'[1]Bud men fixes'!$L$79</f>
        <v>348.77416058485875</v>
      </c>
      <c r="AB182" s="755">
        <f>'[1]Bud men fixes'!$L$12</f>
        <v>108817.53810247593</v>
      </c>
      <c r="AC182" s="721">
        <f>'[1]Bud men fixes'!$L$11</f>
        <v>81613.153576856945</v>
      </c>
      <c r="AD182" s="754">
        <f>'[1]Bud men fixes'!$M$79</f>
        <v>403.10952583575823</v>
      </c>
      <c r="AE182" s="755">
        <f>'[1]Bud men fixes'!$M$12</f>
        <v>125770.17206075658</v>
      </c>
      <c r="AF182" s="721">
        <f>'[1]Bud men fixes'!$M$11</f>
        <v>94327.629045567432</v>
      </c>
      <c r="AG182" s="754">
        <f>'[1]Bud men fixes'!$N$79</f>
        <v>257.63172776879776</v>
      </c>
      <c r="AH182" s="755">
        <f>'[1]Bud men fixes'!$N$12</f>
        <v>80381.099063864909</v>
      </c>
      <c r="AI182" s="721">
        <f>'[1]Bud men fixes'!$N$11</f>
        <v>60285.824297898682</v>
      </c>
      <c r="AJ182" s="754">
        <f>'[1]Bud men fixes'!$O$79</f>
        <v>279.4093097419875</v>
      </c>
      <c r="AK182" s="755">
        <f>'[1]Bud men fixes'!$O$12</f>
        <v>87175.704639500094</v>
      </c>
      <c r="AL182" s="721">
        <f>'[1]Bud men fixes'!$O$11</f>
        <v>65381.778479625071</v>
      </c>
      <c r="AM182" s="754">
        <f>'[1]Bud men fixes'!$P$79</f>
        <v>235.28127392933806</v>
      </c>
      <c r="AN182" s="755">
        <f>'[1]Bud men fixes'!$P$12</f>
        <v>73407.757465953473</v>
      </c>
      <c r="AO182" s="721">
        <f>'[1]Bud men fixes'!$P$11</f>
        <v>55055.818099465105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 profit / ventes</v>
      </c>
      <c r="B183" s="700" t="s">
        <v>165</v>
      </c>
      <c r="C183" s="753"/>
      <c r="D183" s="760"/>
      <c r="E183" s="756">
        <f>IF(E182=0,0,E182/D182)</f>
        <v>0.75</v>
      </c>
      <c r="F183" s="753"/>
      <c r="G183" s="760"/>
      <c r="H183" s="756">
        <f>IF(H182=0,0,H182/G182)</f>
        <v>0.75</v>
      </c>
      <c r="I183" s="753"/>
      <c r="J183" s="760"/>
      <c r="K183" s="756">
        <f>IF(K182=0,0,K182/J182)</f>
        <v>0.75</v>
      </c>
      <c r="L183" s="753"/>
      <c r="M183" s="760"/>
      <c r="N183" s="756">
        <f>IF(N182=0,0,N182/M182)</f>
        <v>0.75</v>
      </c>
      <c r="O183" s="753"/>
      <c r="P183" s="760"/>
      <c r="Q183" s="756">
        <f>IF(Q182=0,0,Q182/P182)</f>
        <v>0.75</v>
      </c>
      <c r="R183" s="753"/>
      <c r="S183" s="760"/>
      <c r="T183" s="756">
        <f>IF(T182=0,0,T182/S182)</f>
        <v>0.75</v>
      </c>
      <c r="U183" s="753"/>
      <c r="V183" s="760"/>
      <c r="W183" s="756">
        <f>IF(W182=0,0,W182/V182)</f>
        <v>0.74999999999999989</v>
      </c>
      <c r="X183" s="753"/>
      <c r="Y183" s="760"/>
      <c r="Z183" s="756">
        <f>IF(Z182=0,0,Z182/Y182)</f>
        <v>0.75</v>
      </c>
      <c r="AA183" s="753"/>
      <c r="AB183" s="760"/>
      <c r="AC183" s="756">
        <f>IF(AC182=0,0,AC182/AB182)</f>
        <v>0.75</v>
      </c>
      <c r="AD183" s="753"/>
      <c r="AE183" s="760"/>
      <c r="AF183" s="756">
        <f>IF(AF182=0,0,AF182/AE182)</f>
        <v>0.75</v>
      </c>
      <c r="AG183" s="753"/>
      <c r="AH183" s="760"/>
      <c r="AI183" s="756">
        <f>IF(AI182=0,0,AI182/AH182)</f>
        <v>0.75</v>
      </c>
      <c r="AJ183" s="753"/>
      <c r="AK183" s="760"/>
      <c r="AL183" s="756">
        <f>IF(AL182=0,0,AL182/AK182)</f>
        <v>0.75</v>
      </c>
      <c r="AM183" s="753"/>
      <c r="AN183" s="760"/>
      <c r="AO183" s="756">
        <f>IF(AO182=0,0,AO182/AN182)</f>
        <v>0.75</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v>
      </c>
      <c r="B184" s="700"/>
      <c r="C184" s="753"/>
      <c r="D184" s="761">
        <f>IFERROR(D182/C182,0)</f>
        <v>312</v>
      </c>
      <c r="E184" s="756"/>
      <c r="F184" s="753"/>
      <c r="G184" s="761">
        <f>IFERROR(G182/F182,0)</f>
        <v>312</v>
      </c>
      <c r="H184" s="756"/>
      <c r="I184" s="753"/>
      <c r="J184" s="761">
        <f>IFERROR(J182/I182,0)</f>
        <v>312</v>
      </c>
      <c r="K184" s="756"/>
      <c r="L184" s="753"/>
      <c r="M184" s="761">
        <f>IFERROR(M182/L182,0)</f>
        <v>312</v>
      </c>
      <c r="N184" s="756"/>
      <c r="O184" s="753"/>
      <c r="P184" s="761">
        <f>IFERROR(P182/O182,0)</f>
        <v>312</v>
      </c>
      <c r="Q184" s="756"/>
      <c r="R184" s="753"/>
      <c r="S184" s="761">
        <f>IFERROR(S182/R182,0)</f>
        <v>312</v>
      </c>
      <c r="T184" s="756"/>
      <c r="U184" s="753"/>
      <c r="V184" s="761">
        <f>IFERROR(V182/U182,0)</f>
        <v>312.00000000000006</v>
      </c>
      <c r="W184" s="756"/>
      <c r="X184" s="753"/>
      <c r="Y184" s="761">
        <f>IFERROR(Y182/X182,0)</f>
        <v>312</v>
      </c>
      <c r="Z184" s="756"/>
      <c r="AA184" s="753"/>
      <c r="AB184" s="761">
        <f>IFERROR(AB182/AA182,0)</f>
        <v>312</v>
      </c>
      <c r="AC184" s="756"/>
      <c r="AD184" s="753"/>
      <c r="AE184" s="761">
        <f>IFERROR(AE182/AD182,0)</f>
        <v>312</v>
      </c>
      <c r="AF184" s="756"/>
      <c r="AG184" s="753"/>
      <c r="AH184" s="761">
        <f>IFERROR(AH182/AG182,0)</f>
        <v>312.00000000000006</v>
      </c>
      <c r="AI184" s="756"/>
      <c r="AJ184" s="753"/>
      <c r="AK184" s="761">
        <f>IFERROR(AK182/AJ182,0)</f>
        <v>312</v>
      </c>
      <c r="AL184" s="756"/>
      <c r="AM184" s="753"/>
      <c r="AN184" s="761">
        <f>IFERROR(AN182/AM182,0)</f>
        <v>312</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ServiceM/O Esthétique</v>
      </c>
      <c r="B185" s="1011" t="s">
        <v>168</v>
      </c>
      <c r="C185" s="1049">
        <f>+SUM(F185,I185,L185,O185,R185,U185,X185,AA185,AD185,AG185,AJ185,AM185)</f>
        <v>0</v>
      </c>
      <c r="D185" s="1050">
        <f>+SUM(G185,J185,M185,P185,S185,V185,Y185,AB185,AE185,AH185,AK185,AN185)</f>
        <v>130000</v>
      </c>
      <c r="E185" s="1030">
        <f>+SUM(H185,K185,N185,Q185,T185,W185,Z185,AC185,AF185,AI185,AL185,AO185)</f>
        <v>101400</v>
      </c>
      <c r="F185" s="1051">
        <f>'[1]Bud men fixes'!$E$82</f>
        <v>0</v>
      </c>
      <c r="G185" s="1052">
        <f>'[1]Bud men fixes'!$E$15</f>
        <v>3758.5296184751242</v>
      </c>
      <c r="H185" s="1031">
        <f>'[1]Bud men fixes'!$E$14</f>
        <v>2931.6531024105971</v>
      </c>
      <c r="I185" s="1051">
        <f>'[1]Bud men fixes'!$F$82</f>
        <v>0</v>
      </c>
      <c r="J185" s="1052">
        <f>'[1]Bud men fixes'!$F$15</f>
        <v>3634.3077156852428</v>
      </c>
      <c r="K185" s="1031">
        <f>'[1]Bud men fixes'!$F$14</f>
        <v>2834.7600182344895</v>
      </c>
      <c r="L185" s="1051">
        <f>'[1]Bud men fixes'!$G$82</f>
        <v>0</v>
      </c>
      <c r="M185" s="1052">
        <f>'[1]Bud men fixes'!$G$15</f>
        <v>7920.1031537553536</v>
      </c>
      <c r="N185" s="1031">
        <f>'[1]Bud men fixes'!$G$14</f>
        <v>6177.6804599291763</v>
      </c>
      <c r="O185" s="1051">
        <f>'[1]Bud men fixes'!$H$82</f>
        <v>0</v>
      </c>
      <c r="P185" s="1052">
        <f>'[1]Bud men fixes'!$H$15</f>
        <v>24165.030879901624</v>
      </c>
      <c r="Q185" s="1031">
        <f>'[1]Bud men fixes'!$H$14</f>
        <v>18848.724086323266</v>
      </c>
      <c r="R185" s="1051">
        <f>'[1]Bud men fixes'!$I$82</f>
        <v>0</v>
      </c>
      <c r="S185" s="1052">
        <f>'[1]Bud men fixes'!$I$15</f>
        <v>23052.760398972528</v>
      </c>
      <c r="T185" s="1031">
        <f>'[1]Bud men fixes'!$I$14</f>
        <v>17981.153111198571</v>
      </c>
      <c r="U185" s="1051">
        <f>'[1]Bud men fixes'!$J$82</f>
        <v>0</v>
      </c>
      <c r="V185" s="1052">
        <f>'[1]Bud men fixes'!$J$15</f>
        <v>9021.8073013155936</v>
      </c>
      <c r="W185" s="1031">
        <f>'[1]Bud men fixes'!$J$14</f>
        <v>7037.0096950261632</v>
      </c>
      <c r="X185" s="1051">
        <f>'[1]Bud men fixes'!$K$82</f>
        <v>0</v>
      </c>
      <c r="Y185" s="1052">
        <f>'[1]Bud men fixes'!$K$15</f>
        <v>7950.0089622500545</v>
      </c>
      <c r="Z185" s="1031">
        <f>'[1]Bud men fixes'!$K$14</f>
        <v>6201.0069905550426</v>
      </c>
      <c r="AA185" s="1051">
        <f>'[1]Bud men fixes'!$L$82</f>
        <v>0</v>
      </c>
      <c r="AB185" s="1052">
        <f>'[1]Bud men fixes'!$L$15</f>
        <v>5087.5545456925329</v>
      </c>
      <c r="AC185" s="1031">
        <f>'[1]Bud men fixes'!$L$14</f>
        <v>3968.2925456401758</v>
      </c>
      <c r="AD185" s="1051">
        <f>'[1]Bud men fixes'!$M$82</f>
        <v>0</v>
      </c>
      <c r="AE185" s="1052">
        <f>'[1]Bud men fixes'!$M$15</f>
        <v>7825.1025615868257</v>
      </c>
      <c r="AF185" s="1031">
        <f>'[1]Bud men fixes'!$M$14</f>
        <v>6103.5799980377242</v>
      </c>
      <c r="AG185" s="1051">
        <f>'[1]Bud men fixes'!$N$82</f>
        <v>0</v>
      </c>
      <c r="AH185" s="1052">
        <f>'[1]Bud men fixes'!$N$15</f>
        <v>11646.519217073856</v>
      </c>
      <c r="AI185" s="1031">
        <f>'[1]Bud men fixes'!$N$14</f>
        <v>9084.2849893176081</v>
      </c>
      <c r="AJ185" s="1051">
        <f>'[1]Bud men fixes'!$O$82</f>
        <v>0</v>
      </c>
      <c r="AK185" s="1052">
        <f>'[1]Bud men fixes'!$O$15</f>
        <v>18745.610555416999</v>
      </c>
      <c r="AL185" s="1031">
        <f>'[1]Bud men fixes'!$O$14</f>
        <v>14621.57623322526</v>
      </c>
      <c r="AM185" s="1051">
        <f>'[1]Bud men fixes'!$P$82</f>
        <v>0</v>
      </c>
      <c r="AN185" s="1052">
        <f>'[1]Bud men fixes'!$P$15</f>
        <v>7192.6650898742737</v>
      </c>
      <c r="AO185" s="1031">
        <f>'[1]Bud men fixes'!$P$14</f>
        <v>5610.2787701019333</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 profit / ventes</v>
      </c>
      <c r="B186" s="700" t="s">
        <v>165</v>
      </c>
      <c r="C186" s="762"/>
      <c r="D186" s="763">
        <f>IF(C186&lt;=0,0,E186/C186)</f>
        <v>0</v>
      </c>
      <c r="E186" s="756">
        <f>IF(E185=0,0,E185/D185)</f>
        <v>0.78</v>
      </c>
      <c r="F186" s="762"/>
      <c r="G186" s="763">
        <f>IF(F186&lt;=0,0,H186/F186)</f>
        <v>0</v>
      </c>
      <c r="H186" s="756">
        <f>IF(H185=0,0,H185/G185)</f>
        <v>0.78</v>
      </c>
      <c r="I186" s="762"/>
      <c r="J186" s="763">
        <f>IF(I186&lt;=0,0,K186/I186)</f>
        <v>0</v>
      </c>
      <c r="K186" s="756">
        <f>IF(K185=0,0,K185/J185)</f>
        <v>0.78</v>
      </c>
      <c r="L186" s="762"/>
      <c r="M186" s="763">
        <f>IF(L186&lt;=0,0,N186/L186)</f>
        <v>0</v>
      </c>
      <c r="N186" s="756">
        <f>IF(N185=0,0,N185/M185)</f>
        <v>0.78</v>
      </c>
      <c r="O186" s="762"/>
      <c r="P186" s="763">
        <f>IF(O186&lt;=0,0,Q186/O186)</f>
        <v>0</v>
      </c>
      <c r="Q186" s="756">
        <f>IF(Q185=0,0,Q185/P185)</f>
        <v>0.77999999999999992</v>
      </c>
      <c r="R186" s="762"/>
      <c r="S186" s="763">
        <f>IF(R186&lt;=0,0,T186/R186)</f>
        <v>0</v>
      </c>
      <c r="T186" s="756">
        <f>IF(T185=0,0,T185/S185)</f>
        <v>0.77999999999999992</v>
      </c>
      <c r="U186" s="762"/>
      <c r="V186" s="763">
        <f>IF(U186&lt;=0,0,W186/U186)</f>
        <v>0</v>
      </c>
      <c r="W186" s="756">
        <f>IF(W185=0,0,W185/V185)</f>
        <v>0.78</v>
      </c>
      <c r="X186" s="762"/>
      <c r="Y186" s="763">
        <f>IF(X186&lt;=0,0,Z186/X186)</f>
        <v>0</v>
      </c>
      <c r="Z186" s="756">
        <f>IF(Z185=0,0,Z185/Y185)</f>
        <v>0.78</v>
      </c>
      <c r="AA186" s="762"/>
      <c r="AB186" s="763">
        <f>IF(AA186&lt;=0,0,AC186/AA186)</f>
        <v>0</v>
      </c>
      <c r="AC186" s="756">
        <f>IF(AC185=0,0,AC185/AB185)</f>
        <v>0.78</v>
      </c>
      <c r="AD186" s="762"/>
      <c r="AE186" s="763">
        <f>IF(AD186&lt;=0,0,AF186/AD186)</f>
        <v>0</v>
      </c>
      <c r="AF186" s="756">
        <f>IF(AF185=0,0,AF185/AE185)</f>
        <v>0.78</v>
      </c>
      <c r="AG186" s="762"/>
      <c r="AH186" s="763">
        <f>IF(AG186&lt;=0,0,AI186/AG186)</f>
        <v>0</v>
      </c>
      <c r="AI186" s="756">
        <f>IF(AI185=0,0,AI185/AH185)</f>
        <v>0.78</v>
      </c>
      <c r="AJ186" s="762"/>
      <c r="AK186" s="763">
        <f>IF(AJ186&lt;=0,0,AL186/AJ186)</f>
        <v>0</v>
      </c>
      <c r="AL186" s="756">
        <f>IF(AL185=0,0,AL185/AK185)</f>
        <v>0.78</v>
      </c>
      <c r="AM186" s="762"/>
      <c r="AN186" s="763">
        <f>IF(AM186&lt;=0,0,AO186/AM186)</f>
        <v>0</v>
      </c>
      <c r="AO186" s="756">
        <f>IF(AO185=0,0,AO185/AN185)</f>
        <v>0.78</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v>
      </c>
      <c r="B187" s="726"/>
      <c r="C187" s="764"/>
      <c r="D187" s="765">
        <f>IFERROR(D185/C185,0)</f>
        <v>0</v>
      </c>
      <c r="E187" s="759"/>
      <c r="F187" s="764"/>
      <c r="G187" s="765">
        <f>IFERROR(G185/F185,0)</f>
        <v>0</v>
      </c>
      <c r="H187" s="759"/>
      <c r="I187" s="764"/>
      <c r="J187" s="765">
        <f>IFERROR(J185/I185,0)</f>
        <v>0</v>
      </c>
      <c r="K187" s="759"/>
      <c r="L187" s="764"/>
      <c r="M187" s="765">
        <f>IFERROR(M185/L185,0)</f>
        <v>0</v>
      </c>
      <c r="N187" s="759"/>
      <c r="O187" s="764"/>
      <c r="P187" s="765">
        <f>IFERROR(P185/O185,0)</f>
        <v>0</v>
      </c>
      <c r="Q187" s="759"/>
      <c r="R187" s="764"/>
      <c r="S187" s="765">
        <f>IFERROR(S185/R185,0)</f>
        <v>0</v>
      </c>
      <c r="T187" s="759"/>
      <c r="U187" s="764"/>
      <c r="V187" s="765">
        <f>IFERROR(V185/U185,0)</f>
        <v>0</v>
      </c>
      <c r="W187" s="759"/>
      <c r="X187" s="764"/>
      <c r="Y187" s="765">
        <f>IFERROR(Y185/X185,0)</f>
        <v>0</v>
      </c>
      <c r="Z187" s="759"/>
      <c r="AA187" s="764"/>
      <c r="AB187" s="765">
        <f>IFERROR(AB185/AA185,0)</f>
        <v>0</v>
      </c>
      <c r="AC187" s="759"/>
      <c r="AD187" s="764"/>
      <c r="AE187" s="765">
        <f>IFERROR(AE185/AD185,0)</f>
        <v>0</v>
      </c>
      <c r="AF187" s="759"/>
      <c r="AG187" s="764"/>
      <c r="AH187" s="765">
        <f>IFERROR(AH185/AG185,0)</f>
        <v>0</v>
      </c>
      <c r="AI187" s="759"/>
      <c r="AJ187" s="764"/>
      <c r="AK187" s="765">
        <f>IFERROR(AK185/AJ185,0)</f>
        <v>0</v>
      </c>
      <c r="AL187" s="759"/>
      <c r="AM187" s="764"/>
      <c r="AN187" s="765">
        <f>IFERROR(AN185/AM185,0)</f>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ServiceAjustement M/O</v>
      </c>
      <c r="B188" s="700" t="s">
        <v>169</v>
      </c>
      <c r="C188" s="753"/>
      <c r="D188" s="720"/>
      <c r="E188" s="708">
        <f>+SUM(H188,K188,N188,Q188,T188,W188,Z188,AC188,AF188,AI188,AL188,AO188)</f>
        <v>-41107</v>
      </c>
      <c r="F188" s="754"/>
      <c r="G188" s="755"/>
      <c r="H188" s="721">
        <f>'[1]Bud men fixes'!$E$18</f>
        <v>-2914.1988288703378</v>
      </c>
      <c r="I188" s="754"/>
      <c r="J188" s="755"/>
      <c r="K188" s="721">
        <f>'[1]Bud men fixes'!$F$18</f>
        <v>-2741.0144654697733</v>
      </c>
      <c r="L188" s="754"/>
      <c r="M188" s="755"/>
      <c r="N188" s="721">
        <f>'[1]Bud men fixes'!$G$18</f>
        <v>-3337.9860131866349</v>
      </c>
      <c r="O188" s="754"/>
      <c r="P188" s="755"/>
      <c r="Q188" s="721">
        <f>'[1]Bud men fixes'!$H$18</f>
        <v>-3677.8787613518284</v>
      </c>
      <c r="R188" s="754"/>
      <c r="S188" s="755"/>
      <c r="T188" s="721">
        <f>'[1]Bud men fixes'!$I$18</f>
        <v>-3859.9215491022792</v>
      </c>
      <c r="U188" s="754"/>
      <c r="V188" s="755"/>
      <c r="W188" s="721">
        <f>'[1]Bud men fixes'!$J$18</f>
        <v>-3268.2815620368419</v>
      </c>
      <c r="X188" s="754"/>
      <c r="Y188" s="755"/>
      <c r="Z188" s="721">
        <f>'[1]Bud men fixes'!$K$18</f>
        <v>-3533.3669654766359</v>
      </c>
      <c r="AA188" s="754"/>
      <c r="AB188" s="755"/>
      <c r="AC188" s="721">
        <f>'[1]Bud men fixes'!$L$18</f>
        <v>-3565.4670895067106</v>
      </c>
      <c r="AD188" s="754"/>
      <c r="AE188" s="755"/>
      <c r="AF188" s="721">
        <f>'[1]Bud men fixes'!$M$18</f>
        <v>-3719.4969512977391</v>
      </c>
      <c r="AG188" s="754"/>
      <c r="AH188" s="755"/>
      <c r="AI188" s="721">
        <f>'[1]Bud men fixes'!$N$18</f>
        <v>-3792.6059522053906</v>
      </c>
      <c r="AJ188" s="754"/>
      <c r="AK188" s="755"/>
      <c r="AL188" s="721">
        <f>'[1]Bud men fixes'!$O$18</f>
        <v>-4075.5814621015152</v>
      </c>
      <c r="AM188" s="754"/>
      <c r="AN188" s="755"/>
      <c r="AO188" s="721">
        <f>'[1]Bud men fixes'!$P$18</f>
        <v>-2621.2003993943108</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ServiceSous-total M/O</v>
      </c>
      <c r="B189" s="1053" t="s">
        <v>170</v>
      </c>
      <c r="C189" s="766">
        <f t="shared" ref="C189:AO189" si="39">C176+C179+C182+C185+C188</f>
        <v>11588.900000000001</v>
      </c>
      <c r="D189" s="767">
        <f t="shared" si="39"/>
        <v>3937726.8</v>
      </c>
      <c r="E189" s="768">
        <f t="shared" si="39"/>
        <v>2916361.45</v>
      </c>
      <c r="F189" s="766">
        <f t="shared" si="39"/>
        <v>793.43121778645332</v>
      </c>
      <c r="G189" s="767">
        <f t="shared" si="39"/>
        <v>259227.56392053163</v>
      </c>
      <c r="H189" s="768">
        <f t="shared" si="39"/>
        <v>186819.90325887443</v>
      </c>
      <c r="I189" s="766">
        <f t="shared" si="39"/>
        <v>754.10594331663526</v>
      </c>
      <c r="J189" s="767">
        <f t="shared" si="39"/>
        <v>246866.19049108712</v>
      </c>
      <c r="K189" s="768">
        <f t="shared" si="39"/>
        <v>178761.55627113438</v>
      </c>
      <c r="L189" s="766">
        <f t="shared" si="39"/>
        <v>908.25069916356097</v>
      </c>
      <c r="M189" s="767">
        <f t="shared" si="39"/>
        <v>301877.81354574295</v>
      </c>
      <c r="N189" s="768">
        <f t="shared" si="39"/>
        <v>218940.52177904936</v>
      </c>
      <c r="O189" s="766">
        <f t="shared" si="39"/>
        <v>1034.2855285273361</v>
      </c>
      <c r="P189" s="767">
        <f t="shared" si="39"/>
        <v>370225.72204387566</v>
      </c>
      <c r="Q189" s="768">
        <f t="shared" si="39"/>
        <v>278843.28284019564</v>
      </c>
      <c r="R189" s="766">
        <f t="shared" si="39"/>
        <v>1087.7211614980608</v>
      </c>
      <c r="S189" s="767">
        <f t="shared" si="39"/>
        <v>384216.53480429767</v>
      </c>
      <c r="T189" s="768">
        <f t="shared" si="39"/>
        <v>288310.96825914981</v>
      </c>
      <c r="U189" s="766">
        <f t="shared" si="39"/>
        <v>917.53027875852456</v>
      </c>
      <c r="V189" s="767">
        <f t="shared" si="39"/>
        <v>308934.45902042219</v>
      </c>
      <c r="W189" s="768">
        <f t="shared" si="39"/>
        <v>227729.079364687</v>
      </c>
      <c r="X189" s="766">
        <f t="shared" si="39"/>
        <v>988.46897145844014</v>
      </c>
      <c r="Y189" s="767">
        <f t="shared" si="39"/>
        <v>329114.79099010502</v>
      </c>
      <c r="Z189" s="768">
        <f t="shared" si="39"/>
        <v>241322.96508764356</v>
      </c>
      <c r="AA189" s="766">
        <f t="shared" si="39"/>
        <v>1004.0311332790807</v>
      </c>
      <c r="AB189" s="767">
        <f t="shared" si="39"/>
        <v>330958.83446986723</v>
      </c>
      <c r="AC189" s="768">
        <f t="shared" si="39"/>
        <v>242369.43262133771</v>
      </c>
      <c r="AD189" s="766">
        <f t="shared" si="39"/>
        <v>1041.1452406953983</v>
      </c>
      <c r="AE189" s="767">
        <f t="shared" si="39"/>
        <v>344439.26032358909</v>
      </c>
      <c r="AF189" s="768">
        <f t="shared" si="39"/>
        <v>252022.75448550435</v>
      </c>
      <c r="AG189" s="766">
        <f t="shared" si="39"/>
        <v>1071.8199070177598</v>
      </c>
      <c r="AH189" s="767">
        <f t="shared" si="39"/>
        <v>365905.58523028478</v>
      </c>
      <c r="AI189" s="768">
        <f t="shared" si="39"/>
        <v>271672.57611294853</v>
      </c>
      <c r="AJ189" s="766">
        <f t="shared" si="39"/>
        <v>1214.4826789271272</v>
      </c>
      <c r="AK189" s="767">
        <f t="shared" si="39"/>
        <v>430754.58377329342</v>
      </c>
      <c r="AL189" s="768">
        <f t="shared" si="39"/>
        <v>329490.62175969902</v>
      </c>
      <c r="AM189" s="766">
        <f t="shared" si="39"/>
        <v>773.62723957162234</v>
      </c>
      <c r="AN189" s="767">
        <f t="shared" si="39"/>
        <v>265205.46138690319</v>
      </c>
      <c r="AO189" s="768">
        <f t="shared" si="39"/>
        <v>200077.78815977616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 protit / ventes</v>
      </c>
      <c r="B190" s="1054" t="s">
        <v>171</v>
      </c>
      <c r="C190" s="769"/>
      <c r="D190" s="770">
        <f>IFERROR(D189/C189,0)</f>
        <v>339.78434536496127</v>
      </c>
      <c r="E190" s="771">
        <f>IF(E189=0,0,E189/D189)</f>
        <v>0.74062056565224388</v>
      </c>
      <c r="F190" s="769"/>
      <c r="G190" s="770">
        <f>IFERROR(G189/F189,0)</f>
        <v>326.71712192486603</v>
      </c>
      <c r="H190" s="771">
        <f>IF(H189=0,0,H189/G189)</f>
        <v>0.72067916094040696</v>
      </c>
      <c r="I190" s="769"/>
      <c r="J190" s="770">
        <f>IFERROR(J189/I189,0)</f>
        <v>327.36274349641684</v>
      </c>
      <c r="K190" s="771">
        <f>IF(K189=0,0,K189/J189)</f>
        <v>0.72412328280161309</v>
      </c>
      <c r="L190" s="769"/>
      <c r="M190" s="770">
        <f>IFERROR(M189/L189,0)</f>
        <v>332.37278410438057</v>
      </c>
      <c r="N190" s="771">
        <f>IF(N189=0,0,N189/M189)</f>
        <v>0.72526204959369678</v>
      </c>
      <c r="O190" s="769"/>
      <c r="P190" s="770">
        <f>IFERROR(P189/O189,0)</f>
        <v>357.95311046362633</v>
      </c>
      <c r="Q190" s="771">
        <f>IF(Q189=0,0,Q189/P189)</f>
        <v>0.75317101497110395</v>
      </c>
      <c r="R190" s="769"/>
      <c r="S190" s="770">
        <f>IFERROR(S189/R189,0)</f>
        <v>353.23072530384218</v>
      </c>
      <c r="T190" s="771">
        <f>IF(T189=0,0,T189/S189)</f>
        <v>0.75038667559167449</v>
      </c>
      <c r="U190" s="769"/>
      <c r="V190" s="770">
        <f>IFERROR(V189/U189,0)</f>
        <v>336.70219519995538</v>
      </c>
      <c r="W190" s="771">
        <f>IF(W189=0,0,W189/V189)</f>
        <v>0.73714366499216877</v>
      </c>
      <c r="X190" s="769"/>
      <c r="Y190" s="770">
        <f>IFERROR(Y189/X189,0)</f>
        <v>332.95409415281028</v>
      </c>
      <c r="Z190" s="771">
        <f>IF(Z189=0,0,Z189/Y189)</f>
        <v>0.73324861627048254</v>
      </c>
      <c r="AA190" s="769"/>
      <c r="AB190" s="770">
        <f>IFERROR(AB189/AA189,0)</f>
        <v>329.63005179827809</v>
      </c>
      <c r="AC190" s="771">
        <f>IF(AC189=0,0,AC189/AB189)</f>
        <v>0.73232501259429195</v>
      </c>
      <c r="AD190" s="769"/>
      <c r="AE190" s="770">
        <f>IFERROR(AE189/AD189,0)</f>
        <v>330.82729177490387</v>
      </c>
      <c r="AF190" s="771">
        <f>IF(AF189=0,0,AF189/AE189)</f>
        <v>0.73168997706224737</v>
      </c>
      <c r="AG190" s="769"/>
      <c r="AH190" s="770">
        <f>IFERROR(AH189/AG189,0)</f>
        <v>341.3871890552802</v>
      </c>
      <c r="AI190" s="771">
        <f>IF(AI189=0,0,AI189/AH189)</f>
        <v>0.74246632759642039</v>
      </c>
      <c r="AJ190" s="769"/>
      <c r="AK190" s="770">
        <f>IFERROR(AK189/AJ189,0)</f>
        <v>354.68153745413775</v>
      </c>
      <c r="AL190" s="771">
        <f>IF(AL189=0,0,AL189/AK189)</f>
        <v>0.76491495197439452</v>
      </c>
      <c r="AM190" s="769"/>
      <c r="AN190" s="770">
        <f>IFERROR(AN189/AM189,0)</f>
        <v>342.8078121108486</v>
      </c>
      <c r="AO190" s="771">
        <f>IF(AO189=0,0,AO189/AN189)</f>
        <v>0.75442559558713795</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v>
      </c>
      <c r="B191" s="105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ServiceSous-traitement</v>
      </c>
      <c r="B192" s="1057" t="s">
        <v>172</v>
      </c>
      <c r="C192" s="753">
        <f>+SUM(F192,I192,L192,O192,R192,U192,X192,AA192,AD192,AG192,AJ192,AM192)</f>
        <v>0</v>
      </c>
      <c r="D192" s="1058">
        <f>+SUM(G192,J192,M192,P192,S192,V192,Y192,AB192,AE192,AH192,AK192,AN192)</f>
        <v>240000.00000000006</v>
      </c>
      <c r="E192" s="708">
        <f>+SUM(H192,K192,N192,Q192,T192,W192,Z192,AC192,AF192,AI192,AL192,AO192)</f>
        <v>48000.000000000007</v>
      </c>
      <c r="F192" s="754">
        <f>'[1]Bud men fixes'!$E$86</f>
        <v>0</v>
      </c>
      <c r="G192" s="1058">
        <f>'[1]Bud men fixes'!$E$21</f>
        <v>10024.803331868648</v>
      </c>
      <c r="H192" s="721">
        <f>'[1]Bud men fixes'!$E$20</f>
        <v>2004.9606663737297</v>
      </c>
      <c r="I192" s="754">
        <f>'[1]Bud men fixes'!$F$86</f>
        <v>0</v>
      </c>
      <c r="J192" s="1059">
        <f>'[1]Bud men fixes'!$F$21</f>
        <v>21755.610381411672</v>
      </c>
      <c r="K192" s="721">
        <f>'[1]Bud men fixes'!$F$20</f>
        <v>4351.122076282335</v>
      </c>
      <c r="L192" s="754">
        <f>'[1]Bud men fixes'!$G$86</f>
        <v>0</v>
      </c>
      <c r="M192" s="1059">
        <f>'[1]Bud men fixes'!$G$21</f>
        <v>20247.880139630204</v>
      </c>
      <c r="N192" s="721">
        <f>'[1]Bud men fixes'!$G$20</f>
        <v>4049.5760279260412</v>
      </c>
      <c r="O192" s="754">
        <f>'[1]Bud men fixes'!$H$86</f>
        <v>0</v>
      </c>
      <c r="P192" s="1059">
        <f>'[1]Bud men fixes'!$H$21</f>
        <v>20880.830944074769</v>
      </c>
      <c r="Q192" s="721">
        <f>'[1]Bud men fixes'!$H$20</f>
        <v>4176.1661888149538</v>
      </c>
      <c r="R192" s="754">
        <f>'[1]Bud men fixes'!$I$86</f>
        <v>0</v>
      </c>
      <c r="S192" s="1059">
        <f>'[1]Bud men fixes'!$I$21</f>
        <v>29550.033253398495</v>
      </c>
      <c r="T192" s="721">
        <f>'[1]Bud men fixes'!$I$20</f>
        <v>5910.0066506796993</v>
      </c>
      <c r="U192" s="754">
        <f>'[1]Bud men fixes'!$J$86</f>
        <v>0</v>
      </c>
      <c r="V192" s="1059">
        <f>'[1]Bud men fixes'!$J$21</f>
        <v>20089.31740003399</v>
      </c>
      <c r="W192" s="721">
        <f>'[1]Bud men fixes'!$J$20</f>
        <v>4017.863480006798</v>
      </c>
      <c r="X192" s="754">
        <f>'[1]Bud men fixes'!$K$86</f>
        <v>0</v>
      </c>
      <c r="Y192" s="1059">
        <f>'[1]Bud men fixes'!$K$21</f>
        <v>25482.445610109997</v>
      </c>
      <c r="Z192" s="721">
        <f>'[1]Bud men fixes'!$K$20</f>
        <v>5096.4891220219997</v>
      </c>
      <c r="AA192" s="754">
        <f>'[1]Bud men fixes'!$L$86</f>
        <v>0</v>
      </c>
      <c r="AB192" s="1059">
        <f>'[1]Bud men fixes'!$L$21</f>
        <v>19762.362308724096</v>
      </c>
      <c r="AC192" s="721">
        <f>'[1]Bud men fixes'!$L$20</f>
        <v>3952.4724617448192</v>
      </c>
      <c r="AD192" s="754">
        <f>'[1]Bud men fixes'!$M$86</f>
        <v>0</v>
      </c>
      <c r="AE192" s="1059">
        <f>'[1]Bud men fixes'!$M$21</f>
        <v>23928.38057187057</v>
      </c>
      <c r="AF192" s="721">
        <f>'[1]Bud men fixes'!$M$20</f>
        <v>4785.6761143741141</v>
      </c>
      <c r="AG192" s="754">
        <f>'[1]Bud men fixes'!$N$86</f>
        <v>0</v>
      </c>
      <c r="AH192" s="1059">
        <f>'[1]Bud men fixes'!$N$21</f>
        <v>13970.860206411597</v>
      </c>
      <c r="AI192" s="721">
        <f>'[1]Bud men fixes'!$N$20</f>
        <v>2794.1720412823197</v>
      </c>
      <c r="AJ192" s="754">
        <f>'[1]Bud men fixes'!$O$86</f>
        <v>0</v>
      </c>
      <c r="AK192" s="1059">
        <f>'[1]Bud men fixes'!$O$21</f>
        <v>17662.860276089392</v>
      </c>
      <c r="AL192" s="721">
        <f>'[1]Bud men fixes'!$O$20</f>
        <v>3532.5720552178786</v>
      </c>
      <c r="AM192" s="754">
        <f>'[1]Bud men fixes'!$P$86</f>
        <v>0</v>
      </c>
      <c r="AN192" s="1059">
        <f>'[1]Bud men fixes'!$P$21</f>
        <v>16644.615576376615</v>
      </c>
      <c r="AO192" s="721">
        <f>'[1]Bud men fixes'!$P$20</f>
        <v>3328.9231152753232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 profit / ventes</v>
      </c>
      <c r="B193" s="1057" t="s">
        <v>165</v>
      </c>
      <c r="C193" s="753"/>
      <c r="D193" s="760"/>
      <c r="E193" s="756">
        <f>IF(E192=0,0,E192/D192)</f>
        <v>0.19999999999999998</v>
      </c>
      <c r="F193" s="753"/>
      <c r="G193" s="760"/>
      <c r="H193" s="756">
        <f>IF(H192=0,0,H192/G192)</f>
        <v>0.2</v>
      </c>
      <c r="I193" s="753"/>
      <c r="J193" s="760"/>
      <c r="K193" s="756">
        <f>IF(K192=0,0,K192/J192)</f>
        <v>0.20000000000000004</v>
      </c>
      <c r="L193" s="753"/>
      <c r="M193" s="760"/>
      <c r="N193" s="756">
        <f>IF(N192=0,0,N192/M192)</f>
        <v>0.2</v>
      </c>
      <c r="O193" s="753"/>
      <c r="P193" s="760"/>
      <c r="Q193" s="756">
        <f>IF(Q192=0,0,Q192/P192)</f>
        <v>0.2</v>
      </c>
      <c r="R193" s="753"/>
      <c r="S193" s="760"/>
      <c r="T193" s="756">
        <f>IF(T192=0,0,T192/S192)</f>
        <v>0.2</v>
      </c>
      <c r="U193" s="753"/>
      <c r="V193" s="760"/>
      <c r="W193" s="756">
        <f>IF(W192=0,0,W192/V192)</f>
        <v>0.2</v>
      </c>
      <c r="X193" s="753"/>
      <c r="Y193" s="760"/>
      <c r="Z193" s="756">
        <f>IF(Z192=0,0,Z192/Y192)</f>
        <v>0.2</v>
      </c>
      <c r="AA193" s="753"/>
      <c r="AB193" s="760"/>
      <c r="AC193" s="756">
        <f>IF(AC192=0,0,AC192/AB192)</f>
        <v>0.2</v>
      </c>
      <c r="AD193" s="753"/>
      <c r="AE193" s="760"/>
      <c r="AF193" s="756">
        <f>IF(AF192=0,0,AF192/AE192)</f>
        <v>0.2</v>
      </c>
      <c r="AG193" s="753"/>
      <c r="AH193" s="760"/>
      <c r="AI193" s="756">
        <f>IF(AI192=0,0,AI192/AH192)</f>
        <v>0.20000000000000004</v>
      </c>
      <c r="AJ193" s="753"/>
      <c r="AK193" s="760"/>
      <c r="AL193" s="756">
        <f>IF(AL192=0,0,AL192/AK192)</f>
        <v>0.2</v>
      </c>
      <c r="AM193" s="753"/>
      <c r="AN193" s="760"/>
      <c r="AO193" s="756">
        <f>IF(AO192=0,0,AO192/AN192)</f>
        <v>0.2</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v>
      </c>
      <c r="B194" s="1057"/>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ServiceM.O. Recond. MCPA</v>
      </c>
      <c r="B195" s="1060" t="s">
        <v>173</v>
      </c>
      <c r="C195" s="1049">
        <f>+SUM(F195,I195,L195,O195,R195,U195,X195,AA195,AD195,AG195,AJ195,AM195)</f>
        <v>0</v>
      </c>
      <c r="D195" s="1061">
        <f>+SUM(G195,J195,M195,P195,S195,V195,Y195,AB195,AE195,AH195,AK195,AN195)</f>
        <v>119999.99999999999</v>
      </c>
      <c r="E195" s="1030">
        <f>+SUM(H195,K195,N195,Q195,T195,W195,Z195,AC195,AF195,AI195,AL195,AO195)</f>
        <v>84000</v>
      </c>
      <c r="F195" s="1049">
        <f>'[1]Bud men fixes'!$E$86</f>
        <v>0</v>
      </c>
      <c r="G195" s="1061">
        <f>'[1]Bud men fixes'!$E$25</f>
        <v>3469.4119555154989</v>
      </c>
      <c r="H195" s="1030">
        <f>'[1]Bud men fixes'!$E$24</f>
        <v>2428.5883688608492</v>
      </c>
      <c r="I195" s="1049">
        <f>'[1]Bud men fixes'!$E$86</f>
        <v>0</v>
      </c>
      <c r="J195" s="1061">
        <f>'[1]Bud men fixes'!$F$25</f>
        <v>3354.7455837094549</v>
      </c>
      <c r="K195" s="1030">
        <f>'[1]Bud men fixes'!$F$24</f>
        <v>2348.3219085966184</v>
      </c>
      <c r="L195" s="1049">
        <f>'[1]Bud men fixes'!$E$86</f>
        <v>0</v>
      </c>
      <c r="M195" s="1061">
        <f>'[1]Bud men fixes'!$G$25</f>
        <v>7310.8644496203269</v>
      </c>
      <c r="N195" s="1030">
        <f>'[1]Bud men fixes'!$G$24</f>
        <v>5117.6051147342287</v>
      </c>
      <c r="O195" s="1049">
        <f>'[1]Bud men fixes'!$E$86</f>
        <v>0</v>
      </c>
      <c r="P195" s="1061">
        <f>'[1]Bud men fixes'!$H$25</f>
        <v>22306.18235067842</v>
      </c>
      <c r="Q195" s="1030">
        <f>'[1]Bud men fixes'!$H$24</f>
        <v>15614.327645474894</v>
      </c>
      <c r="R195" s="1049">
        <f>'[1]Bud men fixes'!$E$86</f>
        <v>0</v>
      </c>
      <c r="S195" s="1061">
        <f>'[1]Bud men fixes'!$I$25</f>
        <v>21279.471137513105</v>
      </c>
      <c r="T195" s="1030">
        <f>'[1]Bud men fixes'!$I$24</f>
        <v>14895.629796259173</v>
      </c>
      <c r="U195" s="1049">
        <f>'[1]Bud men fixes'!$E$86</f>
        <v>0</v>
      </c>
      <c r="V195" s="1061">
        <f>'[1]Bud men fixes'!$J$25</f>
        <v>8327.8221242913169</v>
      </c>
      <c r="W195" s="1030">
        <f>'[1]Bud men fixes'!$J$24</f>
        <v>5829.4754870039214</v>
      </c>
      <c r="X195" s="1049">
        <f>'[1]Bud men fixes'!$E$86</f>
        <v>0</v>
      </c>
      <c r="Y195" s="1061">
        <f>'[1]Bud men fixes'!$K$25</f>
        <v>7338.4698113077429</v>
      </c>
      <c r="Z195" s="1030">
        <f>'[1]Bud men fixes'!$K$24</f>
        <v>5136.9288679154197</v>
      </c>
      <c r="AA195" s="1049">
        <f>'[1]Bud men fixes'!$E$86</f>
        <v>0</v>
      </c>
      <c r="AB195" s="1061">
        <f>'[1]Bud men fixes'!$L$25</f>
        <v>4696.2041960238766</v>
      </c>
      <c r="AC195" s="1030">
        <f>'[1]Bud men fixes'!$L$24</f>
        <v>3287.3429372167134</v>
      </c>
      <c r="AD195" s="1049">
        <f>'[1]Bud men fixes'!$E$86</f>
        <v>0</v>
      </c>
      <c r="AE195" s="1061">
        <f>'[1]Bud men fixes'!$M$25</f>
        <v>7223.171595310916</v>
      </c>
      <c r="AF195" s="1030">
        <f>'[1]Bud men fixes'!$M$24</f>
        <v>5056.2201167176408</v>
      </c>
      <c r="AG195" s="1049">
        <f>'[1]Bud men fixes'!$E$86</f>
        <v>0</v>
      </c>
      <c r="AH195" s="1061">
        <f>'[1]Bud men fixes'!$N$25</f>
        <v>10750.63312345279</v>
      </c>
      <c r="AI195" s="1030">
        <f>'[1]Bud men fixes'!$N$24</f>
        <v>7525.4431864169519</v>
      </c>
      <c r="AJ195" s="1049">
        <f>'[1]Bud men fixes'!$E$86</f>
        <v>0</v>
      </c>
      <c r="AK195" s="1061">
        <f>'[1]Bud men fixes'!$O$25</f>
        <v>17303.640512692615</v>
      </c>
      <c r="AL195" s="1030">
        <f>'[1]Bud men fixes'!$O$24</f>
        <v>12112.548358884829</v>
      </c>
      <c r="AM195" s="1049">
        <f>'[1]Bud men fixes'!$E$86</f>
        <v>0</v>
      </c>
      <c r="AN195" s="1061">
        <f>'[1]Bud men fixes'!$P$25</f>
        <v>6639.3831598839452</v>
      </c>
      <c r="AO195" s="1030">
        <f>'[1]Bud men fixes'!$P$24</f>
        <v>4647.5682119187613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 profit / ventes</v>
      </c>
      <c r="B196" s="734" t="s">
        <v>165</v>
      </c>
      <c r="C196" s="757"/>
      <c r="D196" s="773"/>
      <c r="E196" s="759">
        <f>IF(E195=0,0,E195/D195)</f>
        <v>0.70000000000000007</v>
      </c>
      <c r="F196" s="757"/>
      <c r="G196" s="773"/>
      <c r="H196" s="759">
        <f>IF(H195=0,0,H195/G195)</f>
        <v>0.7</v>
      </c>
      <c r="I196" s="757"/>
      <c r="J196" s="773"/>
      <c r="K196" s="759">
        <f>IF(K195=0,0,K195/J195)</f>
        <v>0.7</v>
      </c>
      <c r="L196" s="757"/>
      <c r="M196" s="773"/>
      <c r="N196" s="759">
        <f>IF(N195=0,0,N195/M195)</f>
        <v>0.7</v>
      </c>
      <c r="O196" s="757"/>
      <c r="P196" s="773"/>
      <c r="Q196" s="759">
        <f>IF(Q195=0,0,Q195/P195)</f>
        <v>0.7</v>
      </c>
      <c r="R196" s="757"/>
      <c r="S196" s="773"/>
      <c r="T196" s="759">
        <f>IF(T195=0,0,T195/S195)</f>
        <v>0.7</v>
      </c>
      <c r="U196" s="757"/>
      <c r="V196" s="773"/>
      <c r="W196" s="759">
        <f>IF(W195=0,0,W195/V195)</f>
        <v>0.7</v>
      </c>
      <c r="X196" s="757"/>
      <c r="Y196" s="773"/>
      <c r="Z196" s="759">
        <f>IF(Z195=0,0,Z195/Y195)</f>
        <v>0.7</v>
      </c>
      <c r="AA196" s="757"/>
      <c r="AB196" s="773"/>
      <c r="AC196" s="759">
        <f>IF(AC195=0,0,AC195/AB195)</f>
        <v>0.7</v>
      </c>
      <c r="AD196" s="757"/>
      <c r="AE196" s="773"/>
      <c r="AF196" s="759">
        <f>IF(AF195=0,0,AF195/AE195)</f>
        <v>0.7</v>
      </c>
      <c r="AG196" s="757"/>
      <c r="AH196" s="773"/>
      <c r="AI196" s="759">
        <f>IF(AI195=0,0,AI195/AH195)</f>
        <v>0.7</v>
      </c>
      <c r="AJ196" s="757"/>
      <c r="AK196" s="773"/>
      <c r="AL196" s="759">
        <f>IF(AL195=0,0,AL195/AK195)</f>
        <v>0.7</v>
      </c>
      <c r="AM196" s="757"/>
      <c r="AN196" s="773"/>
      <c r="AO196" s="759">
        <f>IF(AO195=0,0,AO195/AN195)</f>
        <v>0.7</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v>
      </c>
      <c r="B197" s="105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64"/>
      <c r="X197" s="1062"/>
      <c r="Y197" s="1063"/>
      <c r="Z197" s="1064"/>
      <c r="AA197" s="1062"/>
      <c r="AB197" s="1063"/>
      <c r="AC197" s="1064"/>
      <c r="AD197" s="1062"/>
      <c r="AE197" s="1063"/>
      <c r="AF197" s="1064"/>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ServiceTotal Mécanique</v>
      </c>
      <c r="B198" s="1021" t="s">
        <v>174</v>
      </c>
      <c r="C198" s="709"/>
      <c r="D198" s="774">
        <f>D189+D192+D195</f>
        <v>4297726.8</v>
      </c>
      <c r="E198" s="711">
        <f>E189+E192+E195</f>
        <v>3048361.45</v>
      </c>
      <c r="F198" s="709"/>
      <c r="G198" s="774">
        <f>G189+G192+G195</f>
        <v>272721.77920791577</v>
      </c>
      <c r="H198" s="711">
        <f>H189+H192+H195</f>
        <v>191253.45229410901</v>
      </c>
      <c r="I198" s="709"/>
      <c r="J198" s="774">
        <f>J189+J192+J195</f>
        <v>271976.54645620822</v>
      </c>
      <c r="K198" s="711">
        <f>K189+K192+K195</f>
        <v>185461.00025601333</v>
      </c>
      <c r="L198" s="709"/>
      <c r="M198" s="774">
        <f>M189+M192+M195</f>
        <v>329436.55813499348</v>
      </c>
      <c r="N198" s="711">
        <f>N189+N192+N195</f>
        <v>228107.70292170963</v>
      </c>
      <c r="O198" s="709"/>
      <c r="P198" s="774">
        <f>P189+P192+P195</f>
        <v>413412.73533862887</v>
      </c>
      <c r="Q198" s="711">
        <f>Q189+Q192+Q195</f>
        <v>298633.77667448547</v>
      </c>
      <c r="R198" s="709"/>
      <c r="S198" s="774">
        <f>S189+S192+S195</f>
        <v>435046.03919520928</v>
      </c>
      <c r="T198" s="711">
        <f>T189+T192+T195</f>
        <v>309116.60470608866</v>
      </c>
      <c r="U198" s="709"/>
      <c r="V198" s="774">
        <f>V189+V192+V195</f>
        <v>337351.59854474751</v>
      </c>
      <c r="W198" s="711">
        <f>W189+W192+W195</f>
        <v>237576.41833169773</v>
      </c>
      <c r="X198" s="709"/>
      <c r="Y198" s="774">
        <f>Y189+Y192+Y195</f>
        <v>361935.70641152275</v>
      </c>
      <c r="Z198" s="711">
        <f>Z189+Z192+Z195</f>
        <v>251556.38307758098</v>
      </c>
      <c r="AA198" s="709"/>
      <c r="AB198" s="774">
        <f>AB189+AB192+AB195</f>
        <v>355417.40097461519</v>
      </c>
      <c r="AC198" s="711">
        <f>AC189+AC192+AC195</f>
        <v>249609.24802029924</v>
      </c>
      <c r="AD198" s="709"/>
      <c r="AE198" s="774">
        <f>AE189+AE192+AE195</f>
        <v>375590.81249077059</v>
      </c>
      <c r="AF198" s="711">
        <f>AF189+AF192+AF195</f>
        <v>261864.65071659611</v>
      </c>
      <c r="AG198" s="709"/>
      <c r="AH198" s="774">
        <f>AH189+AH192+AH195</f>
        <v>390627.07856014912</v>
      </c>
      <c r="AI198" s="711">
        <f>AI189+AI192+AI195</f>
        <v>281992.19134064781</v>
      </c>
      <c r="AJ198" s="709"/>
      <c r="AK198" s="774">
        <f>AK189+AK192+AK195</f>
        <v>465721.08456207544</v>
      </c>
      <c r="AL198" s="711">
        <f>AL189+AL192+AL195</f>
        <v>345135.7421738017</v>
      </c>
      <c r="AM198" s="709"/>
      <c r="AN198" s="774">
        <f>AN189+AN192+AN195</f>
        <v>288489.46012316376</v>
      </c>
      <c r="AO198" s="711">
        <f>AO189+AO192+AO195</f>
        <v>208054.27948697025</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12"/>
      <c r="C199" s="712"/>
      <c r="D199" s="713"/>
      <c r="E199" s="775">
        <f>IFERROR(E198/D198,0)</f>
        <v>0.70929623772269568</v>
      </c>
      <c r="F199" s="712"/>
      <c r="G199" s="713"/>
      <c r="H199" s="775">
        <f>IFERROR(H198/G198,0)</f>
        <v>0.70127678416289041</v>
      </c>
      <c r="I199" s="712"/>
      <c r="J199" s="713"/>
      <c r="K199" s="775">
        <f>IFERROR(K198/J198,0)</f>
        <v>0.6819007104565723</v>
      </c>
      <c r="L199" s="712"/>
      <c r="M199" s="713"/>
      <c r="N199" s="775">
        <f>IFERROR(N198/M198,0)</f>
        <v>0.69241769709188672</v>
      </c>
      <c r="O199" s="712"/>
      <c r="P199" s="713"/>
      <c r="Q199" s="775">
        <f>IFERROR(Q198/P198,0)</f>
        <v>0.72236230562629555</v>
      </c>
      <c r="R199" s="712"/>
      <c r="S199" s="713"/>
      <c r="T199" s="775">
        <f>IFERROR(T198/S198,0)</f>
        <v>0.71053768304136911</v>
      </c>
      <c r="U199" s="712"/>
      <c r="V199" s="713"/>
      <c r="W199" s="775">
        <f>IFERROR(W198/V198,0)</f>
        <v>0.70423978826999611</v>
      </c>
      <c r="X199" s="712"/>
      <c r="Y199" s="713"/>
      <c r="Z199" s="775">
        <f>IFERROR(Z198/Y198,0)</f>
        <v>0.69503057758982223</v>
      </c>
      <c r="AA199" s="712"/>
      <c r="AB199" s="713"/>
      <c r="AC199" s="775">
        <f>IFERROR(AC198/AB198,0)</f>
        <v>0.70229889514646182</v>
      </c>
      <c r="AD199" s="712"/>
      <c r="AE199" s="713"/>
      <c r="AF199" s="775">
        <f>IFERROR(AF198/AE198,0)</f>
        <v>0.69720728518360897</v>
      </c>
      <c r="AG199" s="712"/>
      <c r="AH199" s="713"/>
      <c r="AI199" s="775">
        <f>IFERROR(AI198/AH198,0)</f>
        <v>0.72189616854026262</v>
      </c>
      <c r="AJ199" s="712"/>
      <c r="AK199" s="713"/>
      <c r="AL199" s="775">
        <f>IFERROR(AL198/AK198,0)</f>
        <v>0.74107819812010023</v>
      </c>
      <c r="AM199" s="712"/>
      <c r="AN199" s="713"/>
      <c r="AO199" s="775">
        <f>IFERROR(AO198/AN198,0)</f>
        <v>0.72118502838248022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v>
      </c>
      <c r="B200" s="715"/>
      <c r="C200" s="715"/>
      <c r="D200" s="716"/>
      <c r="E200" s="776"/>
      <c r="F200" s="715"/>
      <c r="G200" s="716"/>
      <c r="H200" s="776"/>
      <c r="I200" s="715"/>
      <c r="J200" s="716"/>
      <c r="K200" s="776"/>
      <c r="L200" s="715"/>
      <c r="M200" s="716"/>
      <c r="N200" s="776"/>
      <c r="O200" s="715"/>
      <c r="P200" s="716"/>
      <c r="Q200" s="776"/>
      <c r="R200" s="715"/>
      <c r="S200" s="716"/>
      <c r="T200" s="776"/>
      <c r="U200" s="715"/>
      <c r="V200" s="716"/>
      <c r="W200" s="776"/>
      <c r="X200" s="715"/>
      <c r="Y200" s="716"/>
      <c r="Z200" s="776"/>
      <c r="AA200" s="715"/>
      <c r="AB200" s="716"/>
      <c r="AC200" s="776"/>
      <c r="AD200" s="715"/>
      <c r="AE200" s="716"/>
      <c r="AF200" s="776"/>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ServiceDEPENSES</v>
      </c>
      <c r="B201" s="102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cadres</v>
      </c>
      <c r="B202" s="1027" t="s">
        <v>120</v>
      </c>
      <c r="C202" s="700"/>
      <c r="D202" s="707"/>
      <c r="E202" s="708">
        <f t="shared" ref="E202:E213" si="40">+SUM(H202,K202,N202,Q202,T202,W202,Z202,AC202,AF202,AI202,AL202,AO202)</f>
        <v>92898.918750000012</v>
      </c>
      <c r="F202" s="700"/>
      <c r="G202" s="707"/>
      <c r="H202" s="721">
        <f>[1]Salaire!$E$46</f>
        <v>10052.764903846155</v>
      </c>
      <c r="I202" s="700"/>
      <c r="J202" s="707"/>
      <c r="K202" s="721">
        <f>[1]Salaire!$F$46</f>
        <v>7153.8461538461543</v>
      </c>
      <c r="L202" s="700"/>
      <c r="M202" s="707"/>
      <c r="N202" s="721">
        <f>[1]Salaire!$G$46</f>
        <v>7153.8461538461543</v>
      </c>
      <c r="O202" s="700"/>
      <c r="P202" s="707"/>
      <c r="Q202" s="721">
        <f>[1]Salaire!$H$46</f>
        <v>7153.8461538461543</v>
      </c>
      <c r="R202" s="700"/>
      <c r="S202" s="707"/>
      <c r="T202" s="721">
        <f>[1]Salaire!$I$46</f>
        <v>8192.3076923076933</v>
      </c>
      <c r="U202" s="700"/>
      <c r="V202" s="707"/>
      <c r="W202" s="721">
        <f>[1]Salaire!$J$46</f>
        <v>7153.8461538461543</v>
      </c>
      <c r="X202" s="700"/>
      <c r="Y202" s="707"/>
      <c r="Z202" s="721">
        <f>[1]Salaire!$K$46</f>
        <v>8192.3076923076933</v>
      </c>
      <c r="AA202" s="700"/>
      <c r="AB202" s="707"/>
      <c r="AC202" s="721">
        <f>[1]Salaire!$L$46</f>
        <v>7153.8461538461543</v>
      </c>
      <c r="AD202" s="700"/>
      <c r="AE202" s="707"/>
      <c r="AF202" s="721">
        <f>[1]Salaire!$M$46</f>
        <v>7153.8461538461543</v>
      </c>
      <c r="AG202" s="700"/>
      <c r="AH202" s="707"/>
      <c r="AI202" s="721">
        <f>[1]Salaire!$N$46</f>
        <v>8192.3076923076933</v>
      </c>
      <c r="AJ202" s="700"/>
      <c r="AK202" s="707"/>
      <c r="AL202" s="721">
        <f>[1]Salaire!$O$46</f>
        <v>7153.8461538461543</v>
      </c>
      <c r="AM202" s="700"/>
      <c r="AN202" s="707"/>
      <c r="AO202" s="721">
        <f>[1]Salaire!$P$46</f>
        <v>8192.3076923076933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commis</v>
      </c>
      <c r="B203" s="1028" t="s">
        <v>121</v>
      </c>
      <c r="C203" s="700"/>
      <c r="D203" s="707"/>
      <c r="E203" s="708">
        <f t="shared" si="40"/>
        <v>176104.97830735997</v>
      </c>
      <c r="F203" s="700"/>
      <c r="G203" s="707"/>
      <c r="H203" s="721">
        <f>[1]Salaire!$E$115</f>
        <v>11984.70794672</v>
      </c>
      <c r="I203" s="700"/>
      <c r="J203" s="707"/>
      <c r="K203" s="721">
        <f>[1]Salaire!$F$115</f>
        <v>13686.064196719999</v>
      </c>
      <c r="L203" s="700"/>
      <c r="M203" s="707"/>
      <c r="N203" s="721">
        <f>[1]Salaire!$G$115</f>
        <v>13686.064196719999</v>
      </c>
      <c r="O203" s="700"/>
      <c r="P203" s="707"/>
      <c r="Q203" s="721">
        <f>[1]Salaire!$H$115</f>
        <v>13686.064196719999</v>
      </c>
      <c r="R203" s="700"/>
      <c r="S203" s="707"/>
      <c r="T203" s="721">
        <f>[1]Salaire!$I$115</f>
        <v>17079.455245900001</v>
      </c>
      <c r="U203" s="700"/>
      <c r="V203" s="707"/>
      <c r="W203" s="721">
        <f>[1]Salaire!$J$115</f>
        <v>13686.064196719999</v>
      </c>
      <c r="X203" s="700"/>
      <c r="Y203" s="707"/>
      <c r="Z203" s="721">
        <f>[1]Salaire!$K$115</f>
        <v>17079.455245900001</v>
      </c>
      <c r="AA203" s="700"/>
      <c r="AB203" s="707"/>
      <c r="AC203" s="721">
        <f>[1]Salaire!$L$115</f>
        <v>13686.064196719999</v>
      </c>
      <c r="AD203" s="700"/>
      <c r="AE203" s="707"/>
      <c r="AF203" s="721">
        <f>[1]Salaire!$M$115</f>
        <v>13686.064196719999</v>
      </c>
      <c r="AG203" s="700"/>
      <c r="AH203" s="707"/>
      <c r="AI203" s="721">
        <f>[1]Salaire!$N$115</f>
        <v>17079.455245900001</v>
      </c>
      <c r="AJ203" s="700"/>
      <c r="AK203" s="707"/>
      <c r="AL203" s="721">
        <f>[1]Salaire!$O$115</f>
        <v>13686.064196719999</v>
      </c>
      <c r="AM203" s="700"/>
      <c r="AN203" s="707"/>
      <c r="AO203" s="721">
        <f>[1]Salaire!$P$115</f>
        <v>17079.455245900001</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autres</v>
      </c>
      <c r="B204" s="1027" t="s">
        <v>122</v>
      </c>
      <c r="C204" s="1011"/>
      <c r="D204" s="1029"/>
      <c r="E204" s="1030">
        <f t="shared" si="40"/>
        <v>319391.40014066669</v>
      </c>
      <c r="F204" s="1011"/>
      <c r="G204" s="1029"/>
      <c r="H204" s="1031">
        <f>[1]Salaire!$E$177</f>
        <v>20062.377097999997</v>
      </c>
      <c r="I204" s="1011"/>
      <c r="J204" s="1029"/>
      <c r="K204" s="1031">
        <f>[1]Salaire!$F$177</f>
        <v>19891.452097999998</v>
      </c>
      <c r="L204" s="1011"/>
      <c r="M204" s="1029"/>
      <c r="N204" s="1031">
        <f>[1]Salaire!$G$177</f>
        <v>35049.351564666664</v>
      </c>
      <c r="O204" s="1011"/>
      <c r="P204" s="1029"/>
      <c r="Q204" s="1031">
        <f>[1]Salaire!$H$177</f>
        <v>35049.351564666664</v>
      </c>
      <c r="R204" s="1011"/>
      <c r="S204" s="1029"/>
      <c r="T204" s="1031">
        <f>[1]Salaire!$I$177</f>
        <v>24864.315122499997</v>
      </c>
      <c r="U204" s="1011"/>
      <c r="V204" s="1029"/>
      <c r="W204" s="1031">
        <f>[1]Salaire!$J$177</f>
        <v>19891.452097999998</v>
      </c>
      <c r="X204" s="1011"/>
      <c r="Y204" s="1029"/>
      <c r="Z204" s="1031">
        <f>[1]Salaire!$K$177</f>
        <v>24864.315122499997</v>
      </c>
      <c r="AA204" s="1011"/>
      <c r="AB204" s="1029"/>
      <c r="AC204" s="1031">
        <f>[1]Salaire!$L$177</f>
        <v>19891.452097999998</v>
      </c>
      <c r="AD204" s="1011"/>
      <c r="AE204" s="1029"/>
      <c r="AF204" s="1031">
        <f>[1]Salaire!$M$177</f>
        <v>19891.452097999998</v>
      </c>
      <c r="AG204" s="1011"/>
      <c r="AH204" s="1029"/>
      <c r="AI204" s="1031">
        <f>[1]Salaire!$N$177</f>
        <v>40022.214589166659</v>
      </c>
      <c r="AJ204" s="1011"/>
      <c r="AK204" s="1029"/>
      <c r="AL204" s="1031">
        <f>[1]Salaire!$O$177</f>
        <v>35049.351564666664</v>
      </c>
      <c r="AM204" s="1011"/>
      <c r="AN204" s="1029"/>
      <c r="AO204" s="1031">
        <f>[1]Salaire!$P$177</f>
        <v>24864.315122499997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38"/>
        <v>ServiceSalaires spécialistes</v>
      </c>
      <c r="B205" s="1027" t="s">
        <v>123</v>
      </c>
      <c r="C205" s="700"/>
      <c r="D205" s="707"/>
      <c r="E205" s="708">
        <f t="shared" si="40"/>
        <v>443650.36281249998</v>
      </c>
      <c r="F205" s="700"/>
      <c r="G205" s="707"/>
      <c r="H205" s="721">
        <f>[1]Salaire!$E$206</f>
        <v>26582.196004975034</v>
      </c>
      <c r="I205" s="700"/>
      <c r="J205" s="707"/>
      <c r="K205" s="721">
        <f>[1]Salaire!$F$206</f>
        <v>26214.917022316586</v>
      </c>
      <c r="L205" s="700"/>
      <c r="M205" s="707"/>
      <c r="N205" s="721">
        <f>[1]Salaire!$G$206</f>
        <v>29097.697573702389</v>
      </c>
      <c r="O205" s="700"/>
      <c r="P205" s="707"/>
      <c r="Q205" s="721">
        <f>[1]Salaire!$H$206</f>
        <v>42074.212906812798</v>
      </c>
      <c r="R205" s="700"/>
      <c r="S205" s="707"/>
      <c r="T205" s="721">
        <f>[1]Salaire!$I$206</f>
        <v>45535.035739912259</v>
      </c>
      <c r="U205" s="700"/>
      <c r="V205" s="707"/>
      <c r="W205" s="721">
        <f>[1]Salaire!$J$206</f>
        <v>34250.336052268896</v>
      </c>
      <c r="X205" s="700"/>
      <c r="Y205" s="707"/>
      <c r="Z205" s="721">
        <f>[1]Salaire!$K$206</f>
        <v>38569.755532328607</v>
      </c>
      <c r="AA205" s="700"/>
      <c r="AB205" s="707"/>
      <c r="AC205" s="721">
        <f>[1]Salaire!$L$206</f>
        <v>33775.083626791886</v>
      </c>
      <c r="AD205" s="700"/>
      <c r="AE205" s="707"/>
      <c r="AF205" s="721">
        <f>[1]Salaire!$M$206</f>
        <v>33080.915935609577</v>
      </c>
      <c r="AG205" s="700"/>
      <c r="AH205" s="707"/>
      <c r="AI205" s="721">
        <f>[1]Salaire!$N$206</f>
        <v>44587.883258591624</v>
      </c>
      <c r="AJ205" s="700"/>
      <c r="AK205" s="707"/>
      <c r="AL205" s="721">
        <f>[1]Salaire!$O$206</f>
        <v>49632.426279108688</v>
      </c>
      <c r="AM205" s="700"/>
      <c r="AN205" s="707"/>
      <c r="AO205" s="721">
        <f>[1]Salaire!$P$206</f>
        <v>40249.902880081616</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00" t="s">
        <v>59</v>
      </c>
      <c r="C206" s="700"/>
      <c r="D206" s="707"/>
      <c r="E206" s="708">
        <f t="shared" si="40"/>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00" t="s">
        <v>59</v>
      </c>
      <c r="C207" s="700"/>
      <c r="D207" s="707"/>
      <c r="E207" s="708">
        <f t="shared" si="40"/>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38"/>
        <v>Service[...]</v>
      </c>
      <c r="B208" s="700" t="s">
        <v>59</v>
      </c>
      <c r="C208" s="700"/>
      <c r="D208" s="707"/>
      <c r="E208" s="708">
        <f t="shared" si="40"/>
        <v>0</v>
      </c>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721"/>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ServiceSalaires en absences</v>
      </c>
      <c r="B209" s="1028" t="s">
        <v>124</v>
      </c>
      <c r="C209" s="700"/>
      <c r="D209" s="707"/>
      <c r="E209" s="708">
        <f t="shared" si="40"/>
        <v>237395.66649206978</v>
      </c>
      <c r="F209" s="700"/>
      <c r="G209" s="707"/>
      <c r="H209" s="721">
        <f>'[1]DAS-VAC'!$F$45</f>
        <v>16347.02915127694</v>
      </c>
      <c r="I209" s="700"/>
      <c r="J209" s="707"/>
      <c r="K209" s="721">
        <f>'[1]DAS-VAC'!$G$45</f>
        <v>15661.626154361753</v>
      </c>
      <c r="L209" s="700"/>
      <c r="M209" s="707"/>
      <c r="N209" s="721">
        <f>'[1]DAS-VAC'!$H$45</f>
        <v>19392.749967965792</v>
      </c>
      <c r="O209" s="700"/>
      <c r="P209" s="707"/>
      <c r="Q209" s="721">
        <f>'[1]DAS-VAC'!$I$45</f>
        <v>21824.108692371785</v>
      </c>
      <c r="R209" s="700"/>
      <c r="S209" s="707"/>
      <c r="T209" s="721">
        <f>'[1]DAS-VAC'!$J$45</f>
        <v>22160.637532309549</v>
      </c>
      <c r="U209" s="700"/>
      <c r="V209" s="707"/>
      <c r="W209" s="721">
        <f>'[1]DAS-VAC'!$K$45</f>
        <v>18060.580821222648</v>
      </c>
      <c r="X209" s="700"/>
      <c r="Y209" s="707"/>
      <c r="Z209" s="721">
        <f>'[1]DAS-VAC'!$L$45</f>
        <v>20449.168665803896</v>
      </c>
      <c r="AA209" s="700"/>
      <c r="AB209" s="707"/>
      <c r="AC209" s="721">
        <f>'[1]DAS-VAC'!$M$45</f>
        <v>18844.726189813166</v>
      </c>
      <c r="AD209" s="700"/>
      <c r="AE209" s="707"/>
      <c r="AF209" s="721">
        <f>'[1]DAS-VAC'!$N$45</f>
        <v>19200.314459678488</v>
      </c>
      <c r="AG209" s="700"/>
      <c r="AH209" s="707"/>
      <c r="AI209" s="721">
        <f>'[1]DAS-VAC'!$O$45</f>
        <v>23583.722047089708</v>
      </c>
      <c r="AJ209" s="700"/>
      <c r="AK209" s="707"/>
      <c r="AL209" s="721">
        <f>'[1]DAS-VAC'!$P$45</f>
        <v>23803.518749052651</v>
      </c>
      <c r="AM209" s="700"/>
      <c r="AN209" s="707"/>
      <c r="AO209" s="721">
        <f>'[1]DAS-VAC'!$Q$45</f>
        <v>18067.484061123407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ServiceDéduction à la source</v>
      </c>
      <c r="B210" s="1027" t="s">
        <v>125</v>
      </c>
      <c r="C210" s="1011"/>
      <c r="D210" s="1029"/>
      <c r="E210" s="1030">
        <f t="shared" si="40"/>
        <v>288639.66498595272</v>
      </c>
      <c r="F210" s="1011"/>
      <c r="G210" s="1029"/>
      <c r="H210" s="1031">
        <f>'[1]DAS-VAC'!$F$53</f>
        <v>19875.683020935841</v>
      </c>
      <c r="I210" s="1011"/>
      <c r="J210" s="1029"/>
      <c r="K210" s="1031">
        <f>'[1]DAS-VAC'!$G$53</f>
        <v>19042.329597373762</v>
      </c>
      <c r="L210" s="1011"/>
      <c r="M210" s="1029"/>
      <c r="N210" s="1031">
        <f>'[1]DAS-VAC'!$H$53</f>
        <v>23578.85018131524</v>
      </c>
      <c r="O210" s="1011"/>
      <c r="P210" s="1029"/>
      <c r="Q210" s="1031">
        <f>'[1]DAS-VAC'!$I$53</f>
        <v>26535.039643588603</v>
      </c>
      <c r="R210" s="1011"/>
      <c r="S210" s="1029"/>
      <c r="T210" s="1031">
        <f>'[1]DAS-VAC'!$J$53</f>
        <v>26944.211272764034</v>
      </c>
      <c r="U210" s="1011"/>
      <c r="V210" s="1029"/>
      <c r="W210" s="1031">
        <f>'[1]DAS-VAC'!$K$53</f>
        <v>21959.120293645155</v>
      </c>
      <c r="X210" s="1011"/>
      <c r="Y210" s="1029"/>
      <c r="Z210" s="1031">
        <f>'[1]DAS-VAC'!$L$53</f>
        <v>24863.306395426767</v>
      </c>
      <c r="AA210" s="1011"/>
      <c r="AB210" s="1029"/>
      <c r="AC210" s="1031">
        <f>'[1]DAS-VAC'!$M$53</f>
        <v>22912.530521534951</v>
      </c>
      <c r="AD210" s="1011"/>
      <c r="AE210" s="1029"/>
      <c r="AF210" s="1031">
        <f>'[1]DAS-VAC'!$N$53</f>
        <v>23344.87573071041</v>
      </c>
      <c r="AG210" s="1011"/>
      <c r="AH210" s="1029"/>
      <c r="AI210" s="1031">
        <f>'[1]DAS-VAC'!$O$53</f>
        <v>28674.481431703785</v>
      </c>
      <c r="AJ210" s="1011"/>
      <c r="AK210" s="1029"/>
      <c r="AL210" s="1031">
        <f>'[1]DAS-VAC'!$P$53</f>
        <v>28941.723236733622</v>
      </c>
      <c r="AM210" s="1011"/>
      <c r="AN210" s="1029"/>
      <c r="AO210" s="1031">
        <f>'[1]DAS-VAC'!$Q$53</f>
        <v>21967.513660220535</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ServiceBénéfices marginaux</v>
      </c>
      <c r="B211" s="1032" t="s">
        <v>126</v>
      </c>
      <c r="C211" s="700"/>
      <c r="D211" s="707"/>
      <c r="E211" s="708">
        <f t="shared" si="40"/>
        <v>148712.17522102347</v>
      </c>
      <c r="F211" s="700"/>
      <c r="G211" s="707"/>
      <c r="H211" s="721">
        <f>'[1]DAS-VAC'!$F$61</f>
        <v>10240.297556438682</v>
      </c>
      <c r="I211" s="700"/>
      <c r="J211" s="707"/>
      <c r="K211" s="721">
        <f>'[1]DAS-VAC'!$G$61</f>
        <v>9810.9393795164815</v>
      </c>
      <c r="L211" s="700"/>
      <c r="M211" s="707"/>
      <c r="N211" s="721">
        <f>'[1]DAS-VAC'!$H$61</f>
        <v>12148.233680373285</v>
      </c>
      <c r="O211" s="700"/>
      <c r="P211" s="707"/>
      <c r="Q211" s="721">
        <f>'[1]DAS-VAC'!$I$61</f>
        <v>13671.313903327171</v>
      </c>
      <c r="R211" s="700"/>
      <c r="S211" s="707"/>
      <c r="T211" s="721">
        <f>'[1]DAS-VAC'!$J$61</f>
        <v>13882.126242706685</v>
      </c>
      <c r="U211" s="700"/>
      <c r="V211" s="707"/>
      <c r="W211" s="721">
        <f>'[1]DAS-VAC'!$K$61</f>
        <v>11313.72067303022</v>
      </c>
      <c r="X211" s="700"/>
      <c r="Y211" s="707"/>
      <c r="Z211" s="721">
        <f>'[1]DAS-VAC'!$L$61</f>
        <v>12810.007860252485</v>
      </c>
      <c r="AA211" s="700"/>
      <c r="AB211" s="707"/>
      <c r="AC211" s="721">
        <f>'[1]DAS-VAC'!$M$61</f>
        <v>11804.934203486484</v>
      </c>
      <c r="AD211" s="700"/>
      <c r="AE211" s="707"/>
      <c r="AF211" s="721">
        <f>'[1]DAS-VAC'!$N$61</f>
        <v>12027.685974300795</v>
      </c>
      <c r="AG211" s="700"/>
      <c r="AH211" s="707"/>
      <c r="AI211" s="721">
        <f>'[1]DAS-VAC'!$O$61</f>
        <v>14773.591520247384</v>
      </c>
      <c r="AJ211" s="700"/>
      <c r="AK211" s="707"/>
      <c r="AL211" s="721">
        <f>'[1]DAS-VAC'!$P$61</f>
        <v>14911.279145882321</v>
      </c>
      <c r="AM211" s="700"/>
      <c r="AN211" s="707"/>
      <c r="AO211" s="721">
        <f>'[1]DAS-VAC'!$Q$61</f>
        <v>11318.045081461447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38"/>
        <v>ServiceCsst</v>
      </c>
      <c r="B212" s="1027" t="s">
        <v>127</v>
      </c>
      <c r="C212" s="700"/>
      <c r="D212" s="707"/>
      <c r="E212" s="708">
        <f t="shared" si="40"/>
        <v>64839.34503307633</v>
      </c>
      <c r="F212" s="700"/>
      <c r="G212" s="707"/>
      <c r="H212" s="721">
        <f>'[1]DAS-VAC'!$F$69</f>
        <v>4464.8273452826879</v>
      </c>
      <c r="I212" s="700"/>
      <c r="J212" s="707"/>
      <c r="K212" s="721">
        <f>'[1]DAS-VAC'!$G$69</f>
        <v>4277.6247646274387</v>
      </c>
      <c r="L212" s="700"/>
      <c r="M212" s="707"/>
      <c r="N212" s="721">
        <f>'[1]DAS-VAC'!$H$69</f>
        <v>5296.6982291360309</v>
      </c>
      <c r="O212" s="700"/>
      <c r="P212" s="707"/>
      <c r="Q212" s="721">
        <f>'[1]DAS-VAC'!$I$69</f>
        <v>5960.7697750090338</v>
      </c>
      <c r="R212" s="700"/>
      <c r="S212" s="707"/>
      <c r="T212" s="721">
        <f>'[1]DAS-VAC'!$J$69</f>
        <v>6052.6851409832243</v>
      </c>
      <c r="U212" s="700"/>
      <c r="V212" s="707"/>
      <c r="W212" s="721">
        <f>'[1]DAS-VAC'!$K$69</f>
        <v>4932.8458630652158</v>
      </c>
      <c r="X212" s="700"/>
      <c r="Y212" s="707"/>
      <c r="Z212" s="721">
        <f>'[1]DAS-VAC'!$L$69</f>
        <v>5585.2354946248524</v>
      </c>
      <c r="AA212" s="700"/>
      <c r="AB212" s="707"/>
      <c r="AC212" s="721">
        <f>'[1]DAS-VAC'!$M$69</f>
        <v>5147.0177258520534</v>
      </c>
      <c r="AD212" s="700"/>
      <c r="AE212" s="707"/>
      <c r="AF212" s="721">
        <f>'[1]DAS-VAC'!$N$69</f>
        <v>5244.1387511016128</v>
      </c>
      <c r="AG212" s="700"/>
      <c r="AH212" s="707"/>
      <c r="AI212" s="721">
        <f>'[1]DAS-VAC'!$O$69</f>
        <v>6441.3690172667921</v>
      </c>
      <c r="AJ212" s="700"/>
      <c r="AK212" s="707"/>
      <c r="AL212" s="721">
        <f>'[1]DAS-VAC'!$P$69</f>
        <v>6501.4015966575525</v>
      </c>
      <c r="AM212" s="700"/>
      <c r="AN212" s="707"/>
      <c r="AO212" s="721">
        <f>'[1]DAS-VAC'!$Q$69</f>
        <v>4934.7313294698297</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38"/>
        <v>Service[...]</v>
      </c>
      <c r="B213" s="700" t="s">
        <v>59</v>
      </c>
      <c r="C213" s="726"/>
      <c r="D213" s="727"/>
      <c r="E213" s="724">
        <f t="shared" si="40"/>
        <v>0</v>
      </c>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ServiceTOTAL PERSONNEL</v>
      </c>
      <c r="B214" s="1023" t="s">
        <v>128</v>
      </c>
      <c r="C214" s="1024" t="s">
        <v>175</v>
      </c>
      <c r="D214" s="1025">
        <f>IFERROR(E214/E$198,0)</f>
        <v>0.58117534314792252</v>
      </c>
      <c r="E214" s="1026">
        <f>+SUM(E202:E213)</f>
        <v>1771632.5117426489</v>
      </c>
      <c r="F214" s="1024" t="s">
        <v>175</v>
      </c>
      <c r="G214" s="1025">
        <f>IFERROR(H214/H$198,0)</f>
        <v>0.6253998638599193</v>
      </c>
      <c r="H214" s="1026">
        <f>+SUM(H202:H213)</f>
        <v>119609.88302747534</v>
      </c>
      <c r="I214" s="1024" t="s">
        <v>175</v>
      </c>
      <c r="J214" s="1025">
        <f>IFERROR(K214/K$198,0)</f>
        <v>0.6240600406931619</v>
      </c>
      <c r="K214" s="1026">
        <f>+SUM(K202:K213)</f>
        <v>115738.79936676219</v>
      </c>
      <c r="L214" s="1024" t="s">
        <v>175</v>
      </c>
      <c r="M214" s="1025">
        <f>IFERROR(N214/N$198,0)</f>
        <v>0.6374335004269035</v>
      </c>
      <c r="N214" s="1026">
        <f>+SUM(N202:N213)</f>
        <v>145403.49154772557</v>
      </c>
      <c r="O214" s="1024" t="s">
        <v>175</v>
      </c>
      <c r="P214" s="1025">
        <f>IFERROR(Q214/Q$198,0)</f>
        <v>0.55571311686298264</v>
      </c>
      <c r="Q214" s="1026">
        <f>+SUM(Q202:Q213)</f>
        <v>165954.7068363422</v>
      </c>
      <c r="R214" s="1024" t="s">
        <v>175</v>
      </c>
      <c r="S214" s="1025">
        <f>IFERROR(T214/T$198,0)</f>
        <v>0.53284350139000858</v>
      </c>
      <c r="T214" s="1026">
        <f>+SUM(T202:T213)</f>
        <v>164710.77398938348</v>
      </c>
      <c r="U214" s="1024" t="s">
        <v>175</v>
      </c>
      <c r="V214" s="1025">
        <f>IFERROR(W214/W$198,0)</f>
        <v>0.5524452598176367</v>
      </c>
      <c r="W214" s="1026">
        <f>+SUM(W202:W213)</f>
        <v>131247.96615179829</v>
      </c>
      <c r="X214" s="1024" t="s">
        <v>175</v>
      </c>
      <c r="Y214" s="1025">
        <f>IFERROR(Z214/Z$198,0)</f>
        <v>0.60588226839841053</v>
      </c>
      <c r="Z214" s="1026">
        <f>+SUM(Z202:Z213)</f>
        <v>152413.5520091443</v>
      </c>
      <c r="AA214" s="1024" t="s">
        <v>175</v>
      </c>
      <c r="AB214" s="1025">
        <f>IFERROR(AC214/AC$198,0)</f>
        <v>0.53369679117502511</v>
      </c>
      <c r="AC214" s="1026">
        <f>+SUM(AC202:AC213)</f>
        <v>133215.65471604469</v>
      </c>
      <c r="AD214" s="1024" t="s">
        <v>175</v>
      </c>
      <c r="AE214" s="1025">
        <f>IFERROR(AF214/AF$198,0)</f>
        <v>0.51029909128356465</v>
      </c>
      <c r="AF214" s="1026">
        <f>+SUM(AF202:AF213)</f>
        <v>133629.29329996704</v>
      </c>
      <c r="AG214" s="1024" t="s">
        <v>175</v>
      </c>
      <c r="AH214" s="1025">
        <f>IFERROR(AI214/AI$198,0)</f>
        <v>0.65021312799679609</v>
      </c>
      <c r="AI214" s="1026">
        <f>+SUM(AI202:AI213)</f>
        <v>183355.02480227366</v>
      </c>
      <c r="AJ214" s="1024" t="s">
        <v>175</v>
      </c>
      <c r="AK214" s="1025">
        <f>IFERROR(AL214/AL$198,0)</f>
        <v>0.52060563125387771</v>
      </c>
      <c r="AL214" s="1026">
        <f>+SUM(AL202:AL213)</f>
        <v>179679.61092266763</v>
      </c>
      <c r="AM214" s="1024" t="s">
        <v>175</v>
      </c>
      <c r="AN214" s="1025">
        <f>IFERROR(AO214/AO$198,0)</f>
        <v>0.70497831351866147</v>
      </c>
      <c r="AO214" s="1026">
        <f>+SUM(AO202:AO213)</f>
        <v>146673.75507306453</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ServicePublicité 2</v>
      </c>
      <c r="B215" s="700" t="s">
        <v>129</v>
      </c>
      <c r="C215" s="700"/>
      <c r="D215" s="707"/>
      <c r="E215" s="708">
        <f t="shared" ref="E215:E232" si="41">+SUM(H215,K215,N215,Q215,T215,W215,Z215,AC215,AF215,AI215,AL215,AO215)</f>
        <v>96816.75</v>
      </c>
      <c r="F215" s="700"/>
      <c r="G215" s="707"/>
      <c r="H215" s="721">
        <f>[1]DEPA!$C$8</f>
        <v>15755.5</v>
      </c>
      <c r="I215" s="700"/>
      <c r="J215" s="707"/>
      <c r="K215" s="721">
        <f>[1]DEPA!$D$8</f>
        <v>4456.25</v>
      </c>
      <c r="L215" s="700"/>
      <c r="M215" s="707"/>
      <c r="N215" s="721">
        <f>[1]DEPA!$E$8</f>
        <v>5697.5</v>
      </c>
      <c r="O215" s="700"/>
      <c r="P215" s="707"/>
      <c r="Q215" s="721">
        <f>[1]DEPA!$F$8</f>
        <v>15300</v>
      </c>
      <c r="R215" s="700"/>
      <c r="S215" s="707"/>
      <c r="T215" s="721">
        <f>[1]DEPA!$G$8</f>
        <v>9905</v>
      </c>
      <c r="U215" s="700"/>
      <c r="V215" s="707"/>
      <c r="W215" s="721">
        <f>[1]DEPA!$H$8</f>
        <v>5715</v>
      </c>
      <c r="X215" s="700"/>
      <c r="Y215" s="707"/>
      <c r="Z215" s="721">
        <f>[1]DEPA!$I$8</f>
        <v>7330</v>
      </c>
      <c r="AA215" s="700"/>
      <c r="AB215" s="707"/>
      <c r="AC215" s="721">
        <f>[1]DEPA!$J$8</f>
        <v>3620</v>
      </c>
      <c r="AD215" s="700"/>
      <c r="AE215" s="707"/>
      <c r="AF215" s="721">
        <f>[1]DEPA!$K$8</f>
        <v>4312.5</v>
      </c>
      <c r="AG215" s="700"/>
      <c r="AH215" s="707"/>
      <c r="AI215" s="721">
        <f>[1]DEPA!$L$8</f>
        <v>7125</v>
      </c>
      <c r="AJ215" s="700"/>
      <c r="AK215" s="707"/>
      <c r="AL215" s="721">
        <f>[1]DEPA!$M$8</f>
        <v>11375</v>
      </c>
      <c r="AM215" s="700"/>
      <c r="AN215" s="707"/>
      <c r="AO215" s="721">
        <f>[1]DEPA!$N$8</f>
        <v>6225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ServiceService gratuit 2</v>
      </c>
      <c r="B216" s="700" t="s">
        <v>130</v>
      </c>
      <c r="C216" s="700"/>
      <c r="D216" s="707"/>
      <c r="E216" s="708">
        <f t="shared" si="41"/>
        <v>41066.128839884514</v>
      </c>
      <c r="F216" s="700"/>
      <c r="G216" s="707"/>
      <c r="H216" s="721">
        <f>[1]DEPA!$C$34</f>
        <v>3422.1774033237093</v>
      </c>
      <c r="I216" s="700"/>
      <c r="J216" s="707"/>
      <c r="K216" s="721">
        <f>[1]DEPA!$D$34</f>
        <v>3422.1774033237093</v>
      </c>
      <c r="L216" s="700"/>
      <c r="M216" s="707"/>
      <c r="N216" s="721">
        <f>[1]DEPA!$E$34</f>
        <v>3422.1774033237093</v>
      </c>
      <c r="O216" s="700"/>
      <c r="P216" s="707"/>
      <c r="Q216" s="721">
        <f>[1]DEPA!$F$34</f>
        <v>3422.1774033237093</v>
      </c>
      <c r="R216" s="700"/>
      <c r="S216" s="707"/>
      <c r="T216" s="721">
        <f>[1]DEPA!$G$34</f>
        <v>3422.1774033237093</v>
      </c>
      <c r="U216" s="700"/>
      <c r="V216" s="707"/>
      <c r="W216" s="721">
        <f>[1]DEPA!$H$34</f>
        <v>3422.1774033237093</v>
      </c>
      <c r="X216" s="700"/>
      <c r="Y216" s="707"/>
      <c r="Z216" s="721">
        <f>[1]DEPA!$I$34</f>
        <v>3422.1774033237093</v>
      </c>
      <c r="AA216" s="700"/>
      <c r="AB216" s="707"/>
      <c r="AC216" s="721">
        <f>[1]DEPA!$J$34</f>
        <v>3422.1774033237093</v>
      </c>
      <c r="AD216" s="700"/>
      <c r="AE216" s="707"/>
      <c r="AF216" s="721">
        <f>[1]DEPA!$K$34</f>
        <v>3422.1774033237093</v>
      </c>
      <c r="AG216" s="700"/>
      <c r="AH216" s="707"/>
      <c r="AI216" s="721">
        <f>[1]DEPA!$L$34</f>
        <v>3422.1774033237093</v>
      </c>
      <c r="AJ216" s="700"/>
      <c r="AK216" s="707"/>
      <c r="AL216" s="721">
        <f>[1]DEPA!$M$34</f>
        <v>3422.1774033237093</v>
      </c>
      <c r="AM216" s="700"/>
      <c r="AN216" s="707"/>
      <c r="AO216" s="721">
        <f>[1]DEPA!$N$34</f>
        <v>3422.1774033237093</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ServiceFrais véhicules de cie</v>
      </c>
      <c r="B217" s="726" t="s">
        <v>131</v>
      </c>
      <c r="C217" s="726"/>
      <c r="D217" s="727"/>
      <c r="E217" s="724">
        <f t="shared" si="41"/>
        <v>157004.8722666667</v>
      </c>
      <c r="F217" s="726"/>
      <c r="G217" s="727"/>
      <c r="H217" s="725">
        <f>[1]DEPA!$C$43</f>
        <v>11083.739355555555</v>
      </c>
      <c r="I217" s="726"/>
      <c r="J217" s="727"/>
      <c r="K217" s="725">
        <f>[1]DEPA!$D$43</f>
        <v>11083.739355555555</v>
      </c>
      <c r="L217" s="726"/>
      <c r="M217" s="727"/>
      <c r="N217" s="725">
        <f>[1]DEPA!$E$43</f>
        <v>14083.739355555555</v>
      </c>
      <c r="O217" s="726"/>
      <c r="P217" s="727"/>
      <c r="Q217" s="725">
        <f>[1]DEPA!$F$43</f>
        <v>16083.739355555555</v>
      </c>
      <c r="R217" s="726"/>
      <c r="S217" s="727"/>
      <c r="T217" s="725">
        <f>[1]DEPA!$G$43</f>
        <v>16083.739355555555</v>
      </c>
      <c r="U217" s="726"/>
      <c r="V217" s="727"/>
      <c r="W217" s="725">
        <f>[1]DEPA!$H$43</f>
        <v>11083.739355555555</v>
      </c>
      <c r="X217" s="726"/>
      <c r="Y217" s="727"/>
      <c r="Z217" s="725">
        <f>[1]DEPA!$I$43</f>
        <v>11083.739355555555</v>
      </c>
      <c r="AA217" s="726"/>
      <c r="AB217" s="727"/>
      <c r="AC217" s="725">
        <f>[1]DEPA!$J$43</f>
        <v>11083.739355555555</v>
      </c>
      <c r="AD217" s="726"/>
      <c r="AE217" s="727"/>
      <c r="AF217" s="725">
        <f>[1]DEPA!$K$43</f>
        <v>11083.739355555555</v>
      </c>
      <c r="AG217" s="726"/>
      <c r="AH217" s="727"/>
      <c r="AI217" s="725">
        <f>[1]DEPA!$L$43</f>
        <v>14083.739355555555</v>
      </c>
      <c r="AJ217" s="726"/>
      <c r="AK217" s="727"/>
      <c r="AL217" s="725">
        <f>[1]DEPA!$M$43</f>
        <v>19083.739355555554</v>
      </c>
      <c r="AM217" s="726"/>
      <c r="AN217" s="727"/>
      <c r="AO217" s="725">
        <f>[1]DEPA!$N$43</f>
        <v>11083.739355555555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ServiceInformatique</v>
      </c>
      <c r="B218" s="700" t="s">
        <v>132</v>
      </c>
      <c r="C218" s="700"/>
      <c r="D218" s="707"/>
      <c r="E218" s="708">
        <f t="shared" si="41"/>
        <v>68388</v>
      </c>
      <c r="F218" s="700"/>
      <c r="G218" s="707"/>
      <c r="H218" s="721">
        <f>[1]DEPA!$C$57</f>
        <v>8108</v>
      </c>
      <c r="I218" s="700"/>
      <c r="J218" s="707"/>
      <c r="K218" s="721">
        <f>[1]DEPA!$D$57</f>
        <v>5480</v>
      </c>
      <c r="L218" s="700"/>
      <c r="M218" s="707"/>
      <c r="N218" s="721">
        <f>[1]DEPA!$E$57</f>
        <v>5480</v>
      </c>
      <c r="O218" s="700"/>
      <c r="P218" s="707"/>
      <c r="Q218" s="721">
        <f>[1]DEPA!$F$57</f>
        <v>5480</v>
      </c>
      <c r="R218" s="700"/>
      <c r="S218" s="707"/>
      <c r="T218" s="721">
        <f>[1]DEPA!$G$57</f>
        <v>5480</v>
      </c>
      <c r="U218" s="700"/>
      <c r="V218" s="707"/>
      <c r="W218" s="721">
        <f>[1]DEPA!$H$57</f>
        <v>5480</v>
      </c>
      <c r="X218" s="700"/>
      <c r="Y218" s="707"/>
      <c r="Z218" s="721">
        <f>[1]DEPA!$I$57</f>
        <v>5480</v>
      </c>
      <c r="AA218" s="700"/>
      <c r="AB218" s="707"/>
      <c r="AC218" s="721">
        <f>[1]DEPA!$J$57</f>
        <v>5480</v>
      </c>
      <c r="AD218" s="700"/>
      <c r="AE218" s="707"/>
      <c r="AF218" s="721">
        <f>[1]DEPA!$K$57</f>
        <v>5480</v>
      </c>
      <c r="AG218" s="700"/>
      <c r="AH218" s="707"/>
      <c r="AI218" s="721">
        <f>[1]DEPA!$L$57</f>
        <v>5480</v>
      </c>
      <c r="AJ218" s="700"/>
      <c r="AK218" s="707"/>
      <c r="AL218" s="721">
        <f>[1]DEPA!$M$57</f>
        <v>5480</v>
      </c>
      <c r="AM218" s="700"/>
      <c r="AN218" s="707"/>
      <c r="AO218" s="721">
        <f>[1]DEPA!$N$57</f>
        <v>5480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ServiceFrais de déplacement</v>
      </c>
      <c r="B219" s="700" t="s">
        <v>133</v>
      </c>
      <c r="C219" s="700"/>
      <c r="D219" s="707"/>
      <c r="E219" s="708">
        <f t="shared" si="41"/>
        <v>15000</v>
      </c>
      <c r="F219" s="700"/>
      <c r="G219" s="707"/>
      <c r="H219" s="721">
        <f>[1]DEPA!$C$77</f>
        <v>1250</v>
      </c>
      <c r="I219" s="700"/>
      <c r="J219" s="707"/>
      <c r="K219" s="721">
        <f>[1]DEPA!$D$77</f>
        <v>1250</v>
      </c>
      <c r="L219" s="700"/>
      <c r="M219" s="707"/>
      <c r="N219" s="721">
        <f>[1]DEPA!$E$77</f>
        <v>1250</v>
      </c>
      <c r="O219" s="700"/>
      <c r="P219" s="707"/>
      <c r="Q219" s="721">
        <f>[1]DEPA!$F$77</f>
        <v>1250</v>
      </c>
      <c r="R219" s="700"/>
      <c r="S219" s="707"/>
      <c r="T219" s="721">
        <f>[1]DEPA!$G$77</f>
        <v>1250</v>
      </c>
      <c r="U219" s="700"/>
      <c r="V219" s="707"/>
      <c r="W219" s="721">
        <f>[1]DEPA!$H$77</f>
        <v>1250</v>
      </c>
      <c r="X219" s="700"/>
      <c r="Y219" s="707"/>
      <c r="Z219" s="721">
        <f>[1]DEPA!$I$77</f>
        <v>1250</v>
      </c>
      <c r="AA219" s="700"/>
      <c r="AB219" s="707"/>
      <c r="AC219" s="721">
        <f>[1]DEPA!$J$77</f>
        <v>1250</v>
      </c>
      <c r="AD219" s="700"/>
      <c r="AE219" s="707"/>
      <c r="AF219" s="721">
        <f>[1]DEPA!$K$77</f>
        <v>1250</v>
      </c>
      <c r="AG219" s="700"/>
      <c r="AH219" s="707"/>
      <c r="AI219" s="721">
        <f>[1]DEPA!$L$77</f>
        <v>1250</v>
      </c>
      <c r="AJ219" s="700"/>
      <c r="AK219" s="707"/>
      <c r="AL219" s="721">
        <f>[1]DEPA!$M$77</f>
        <v>1250</v>
      </c>
      <c r="AM219" s="700"/>
      <c r="AN219" s="707"/>
      <c r="AO219" s="721">
        <f>[1]DEPA!$N$77</f>
        <v>1250</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ServiceServices extérieurs</v>
      </c>
      <c r="B220" s="726" t="s">
        <v>134</v>
      </c>
      <c r="C220" s="726"/>
      <c r="D220" s="727"/>
      <c r="E220" s="724">
        <f t="shared" si="41"/>
        <v>197542.08</v>
      </c>
      <c r="F220" s="726"/>
      <c r="G220" s="727"/>
      <c r="H220" s="725">
        <f>[1]DEPA!$C$86</f>
        <v>16161.84</v>
      </c>
      <c r="I220" s="726"/>
      <c r="J220" s="727"/>
      <c r="K220" s="725">
        <f>[1]DEPA!$D$86</f>
        <v>15081.84</v>
      </c>
      <c r="L220" s="726"/>
      <c r="M220" s="727"/>
      <c r="N220" s="725">
        <f>[1]DEPA!$E$86</f>
        <v>14721.84</v>
      </c>
      <c r="O220" s="726"/>
      <c r="P220" s="727"/>
      <c r="Q220" s="725">
        <f>[1]DEPA!$F$86</f>
        <v>14721.84</v>
      </c>
      <c r="R220" s="726"/>
      <c r="S220" s="727"/>
      <c r="T220" s="725">
        <f>[1]DEPA!$G$86</f>
        <v>17721.84</v>
      </c>
      <c r="U220" s="726"/>
      <c r="V220" s="727"/>
      <c r="W220" s="725">
        <f>[1]DEPA!$H$86</f>
        <v>15681.84</v>
      </c>
      <c r="X220" s="726"/>
      <c r="Y220" s="727"/>
      <c r="Z220" s="725">
        <f>[1]DEPA!$I$86</f>
        <v>17721.84</v>
      </c>
      <c r="AA220" s="726"/>
      <c r="AB220" s="727"/>
      <c r="AC220" s="725">
        <f>[1]DEPA!$J$86</f>
        <v>14721.84</v>
      </c>
      <c r="AD220" s="726"/>
      <c r="AE220" s="727"/>
      <c r="AF220" s="725">
        <f>[1]DEPA!$K$86</f>
        <v>14721.84</v>
      </c>
      <c r="AG220" s="726"/>
      <c r="AH220" s="727"/>
      <c r="AI220" s="725">
        <f>[1]DEPA!$L$86</f>
        <v>18441.84</v>
      </c>
      <c r="AJ220" s="726"/>
      <c r="AK220" s="727"/>
      <c r="AL220" s="725">
        <f>[1]DEPA!$M$86</f>
        <v>16161.84</v>
      </c>
      <c r="AM220" s="726"/>
      <c r="AN220" s="727"/>
      <c r="AO220" s="725">
        <f>[1]DEPA!$N$86</f>
        <v>21681.84</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8"/>
        <v>ServiceFournitures d'atelier</v>
      </c>
      <c r="B221" s="700" t="s">
        <v>489</v>
      </c>
      <c r="C221" s="700"/>
      <c r="D221" s="707"/>
      <c r="E221" s="708"/>
      <c r="F221" s="700"/>
      <c r="G221" s="707"/>
      <c r="H221" s="721"/>
      <c r="I221" s="700"/>
      <c r="J221" s="707"/>
      <c r="K221" s="721"/>
      <c r="L221" s="700"/>
      <c r="M221" s="707"/>
      <c r="N221" s="721"/>
      <c r="O221" s="700"/>
      <c r="P221" s="707"/>
      <c r="Q221" s="721"/>
      <c r="R221" s="700"/>
      <c r="S221" s="707"/>
      <c r="T221" s="721"/>
      <c r="U221" s="700"/>
      <c r="V221" s="707"/>
      <c r="W221" s="721"/>
      <c r="X221" s="700"/>
      <c r="Y221" s="707"/>
      <c r="Z221" s="721"/>
      <c r="AA221" s="700"/>
      <c r="AB221" s="707"/>
      <c r="AC221" s="721"/>
      <c r="AD221" s="700"/>
      <c r="AE221" s="707"/>
      <c r="AF221" s="721"/>
      <c r="AG221" s="700"/>
      <c r="AH221" s="707"/>
      <c r="AI221" s="721"/>
      <c r="AJ221" s="700"/>
      <c r="AK221" s="707"/>
      <c r="AL221" s="721"/>
      <c r="AM221" s="700"/>
      <c r="AN221" s="707"/>
      <c r="AO221" s="721"/>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ref="A222:A237" si="42">+$C$172&amp;B222</f>
        <v>ServiceFournitures autres</v>
      </c>
      <c r="B222" s="700" t="s">
        <v>135</v>
      </c>
      <c r="C222" s="700"/>
      <c r="D222" s="707"/>
      <c r="E222" s="708">
        <f t="shared" si="41"/>
        <v>60000</v>
      </c>
      <c r="F222" s="700"/>
      <c r="G222" s="707"/>
      <c r="H222" s="721">
        <f>[1]DEPA!$C$115</f>
        <v>5000</v>
      </c>
      <c r="I222" s="700"/>
      <c r="J222" s="707"/>
      <c r="K222" s="721">
        <f>[1]DEPA!$D$115</f>
        <v>5000</v>
      </c>
      <c r="L222" s="700"/>
      <c r="M222" s="707"/>
      <c r="N222" s="721">
        <f>[1]DEPA!$E$115</f>
        <v>5000</v>
      </c>
      <c r="O222" s="700"/>
      <c r="P222" s="707"/>
      <c r="Q222" s="721">
        <f>[1]DEPA!$F$115</f>
        <v>5000</v>
      </c>
      <c r="R222" s="700"/>
      <c r="S222" s="707"/>
      <c r="T222" s="721">
        <f>[1]DEPA!$G$115</f>
        <v>5000</v>
      </c>
      <c r="U222" s="700"/>
      <c r="V222" s="707"/>
      <c r="W222" s="721">
        <f>[1]DEPA!$H$115</f>
        <v>5000</v>
      </c>
      <c r="X222" s="700"/>
      <c r="Y222" s="707"/>
      <c r="Z222" s="721">
        <f>[1]DEPA!$I$115</f>
        <v>5000</v>
      </c>
      <c r="AA222" s="700"/>
      <c r="AB222" s="707"/>
      <c r="AC222" s="721">
        <f>[1]DEPA!$J$115</f>
        <v>5000</v>
      </c>
      <c r="AD222" s="700"/>
      <c r="AE222" s="707"/>
      <c r="AF222" s="721">
        <f>[1]DEPA!$K$115</f>
        <v>5000</v>
      </c>
      <c r="AG222" s="700"/>
      <c r="AH222" s="707"/>
      <c r="AI222" s="721">
        <f>[1]DEPA!$L$115</f>
        <v>5000</v>
      </c>
      <c r="AJ222" s="700"/>
      <c r="AK222" s="707"/>
      <c r="AL222" s="721">
        <f>[1]DEPA!$M$115</f>
        <v>5000</v>
      </c>
      <c r="AM222" s="700"/>
      <c r="AN222" s="707"/>
      <c r="AO222" s="721">
        <f>[1]DEPA!$N$115</f>
        <v>5000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ServiceUniformes</v>
      </c>
      <c r="B223" s="700" t="s">
        <v>136</v>
      </c>
      <c r="C223" s="700"/>
      <c r="D223" s="707"/>
      <c r="E223" s="708">
        <f t="shared" si="41"/>
        <v>27000</v>
      </c>
      <c r="F223" s="700"/>
      <c r="G223" s="707"/>
      <c r="H223" s="721">
        <f>[1]DEPA!$C$124</f>
        <v>1000</v>
      </c>
      <c r="I223" s="700"/>
      <c r="J223" s="707"/>
      <c r="K223" s="721">
        <f>[1]DEPA!$D$124</f>
        <v>1000</v>
      </c>
      <c r="L223" s="700"/>
      <c r="M223" s="707"/>
      <c r="N223" s="721">
        <f>[1]DEPA!$E$124</f>
        <v>1000</v>
      </c>
      <c r="O223" s="700"/>
      <c r="P223" s="707"/>
      <c r="Q223" s="721">
        <f>[1]DEPA!$F$124</f>
        <v>16000</v>
      </c>
      <c r="R223" s="700"/>
      <c r="S223" s="707"/>
      <c r="T223" s="721">
        <f>[1]DEPA!$G$124</f>
        <v>1000</v>
      </c>
      <c r="U223" s="700"/>
      <c r="V223" s="707"/>
      <c r="W223" s="721">
        <f>[1]DEPA!$H$124</f>
        <v>1000</v>
      </c>
      <c r="X223" s="700"/>
      <c r="Y223" s="707"/>
      <c r="Z223" s="721">
        <f>[1]DEPA!$I$124</f>
        <v>1000</v>
      </c>
      <c r="AA223" s="700"/>
      <c r="AB223" s="707"/>
      <c r="AC223" s="721">
        <f>[1]DEPA!$J$124</f>
        <v>1000</v>
      </c>
      <c r="AD223" s="700"/>
      <c r="AE223" s="707"/>
      <c r="AF223" s="721">
        <f>[1]DEPA!$K$124</f>
        <v>1000</v>
      </c>
      <c r="AG223" s="700"/>
      <c r="AH223" s="707"/>
      <c r="AI223" s="721">
        <f>[1]DEPA!$L$124</f>
        <v>1000</v>
      </c>
      <c r="AJ223" s="700"/>
      <c r="AK223" s="707"/>
      <c r="AL223" s="721">
        <f>[1]DEPA!$M$124</f>
        <v>1000</v>
      </c>
      <c r="AM223" s="700"/>
      <c r="AN223" s="707"/>
      <c r="AO223" s="721">
        <f>[1]DEPA!$N$124</f>
        <v>1000</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ServicePapeterie</v>
      </c>
      <c r="B224" s="700" t="s">
        <v>137</v>
      </c>
      <c r="C224" s="700"/>
      <c r="D224" s="707"/>
      <c r="E224" s="708">
        <f t="shared" si="41"/>
        <v>9996</v>
      </c>
      <c r="F224" s="700"/>
      <c r="G224" s="707"/>
      <c r="H224" s="721">
        <f>[1]DEPA!$C$133</f>
        <v>833</v>
      </c>
      <c r="I224" s="700"/>
      <c r="J224" s="707"/>
      <c r="K224" s="721">
        <f>[1]DEPA!$D$133</f>
        <v>833</v>
      </c>
      <c r="L224" s="700"/>
      <c r="M224" s="707"/>
      <c r="N224" s="721">
        <f>[1]DEPA!$E$133</f>
        <v>833</v>
      </c>
      <c r="O224" s="700"/>
      <c r="P224" s="707"/>
      <c r="Q224" s="721">
        <f>[1]DEPA!$F$133</f>
        <v>833</v>
      </c>
      <c r="R224" s="700"/>
      <c r="S224" s="707"/>
      <c r="T224" s="721">
        <f>[1]DEPA!$G$133</f>
        <v>833</v>
      </c>
      <c r="U224" s="700"/>
      <c r="V224" s="707"/>
      <c r="W224" s="721">
        <f>[1]DEPA!$H$133</f>
        <v>833</v>
      </c>
      <c r="X224" s="700"/>
      <c r="Y224" s="707"/>
      <c r="Z224" s="721">
        <f>[1]DEPA!$I$133</f>
        <v>833</v>
      </c>
      <c r="AA224" s="700"/>
      <c r="AB224" s="707"/>
      <c r="AC224" s="721">
        <f>[1]DEPA!$J$133</f>
        <v>833</v>
      </c>
      <c r="AD224" s="700"/>
      <c r="AE224" s="707"/>
      <c r="AF224" s="721">
        <f>[1]DEPA!$K$133</f>
        <v>833</v>
      </c>
      <c r="AG224" s="700"/>
      <c r="AH224" s="707"/>
      <c r="AI224" s="721">
        <f>[1]DEPA!$L$133</f>
        <v>833</v>
      </c>
      <c r="AJ224" s="700"/>
      <c r="AK224" s="707"/>
      <c r="AL224" s="721">
        <f>[1]DEPA!$M$133</f>
        <v>833</v>
      </c>
      <c r="AM224" s="700"/>
      <c r="AN224" s="707"/>
      <c r="AO224" s="721">
        <f>[1]DEPA!$N$133</f>
        <v>833</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ServiceTéléphone</v>
      </c>
      <c r="B225" s="700" t="s">
        <v>138</v>
      </c>
      <c r="C225" s="700"/>
      <c r="D225" s="707"/>
      <c r="E225" s="708">
        <f t="shared" si="41"/>
        <v>2730</v>
      </c>
      <c r="F225" s="700"/>
      <c r="G225" s="707"/>
      <c r="H225" s="721">
        <f>[1]DEPA!$C$142</f>
        <v>227.5</v>
      </c>
      <c r="I225" s="700"/>
      <c r="J225" s="707"/>
      <c r="K225" s="721">
        <f>[1]DEPA!$D$142</f>
        <v>227.5</v>
      </c>
      <c r="L225" s="700"/>
      <c r="M225" s="707"/>
      <c r="N225" s="721">
        <f>[1]DEPA!$E$142</f>
        <v>227.5</v>
      </c>
      <c r="O225" s="700"/>
      <c r="P225" s="707"/>
      <c r="Q225" s="721">
        <f>[1]DEPA!$F$142</f>
        <v>227.5</v>
      </c>
      <c r="R225" s="700"/>
      <c r="S225" s="707"/>
      <c r="T225" s="721">
        <f>[1]DEPA!$G$142</f>
        <v>227.5</v>
      </c>
      <c r="U225" s="700"/>
      <c r="V225" s="707"/>
      <c r="W225" s="721">
        <f>[1]DEPA!$H$142</f>
        <v>227.5</v>
      </c>
      <c r="X225" s="700"/>
      <c r="Y225" s="707"/>
      <c r="Z225" s="721">
        <f>[1]DEPA!$I$142</f>
        <v>227.5</v>
      </c>
      <c r="AA225" s="700"/>
      <c r="AB225" s="707"/>
      <c r="AC225" s="721">
        <f>[1]DEPA!$J$142</f>
        <v>227.5</v>
      </c>
      <c r="AD225" s="700"/>
      <c r="AE225" s="707"/>
      <c r="AF225" s="721">
        <f>[1]DEPA!$K$142</f>
        <v>227.5</v>
      </c>
      <c r="AG225" s="700"/>
      <c r="AH225" s="707"/>
      <c r="AI225" s="721">
        <f>[1]DEPA!$L$142</f>
        <v>227.5</v>
      </c>
      <c r="AJ225" s="700"/>
      <c r="AK225" s="707"/>
      <c r="AL225" s="721">
        <f>[1]DEPA!$M$142</f>
        <v>227.5</v>
      </c>
      <c r="AM225" s="700"/>
      <c r="AN225" s="707"/>
      <c r="AO225" s="721">
        <f>[1]DEPA!$N$142</f>
        <v>227.5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ServiceFrais postaux</v>
      </c>
      <c r="B226" s="700" t="s">
        <v>139</v>
      </c>
      <c r="C226" s="700"/>
      <c r="D226" s="707"/>
      <c r="E226" s="708">
        <f t="shared" si="41"/>
        <v>2051.2800000000002</v>
      </c>
      <c r="F226" s="700"/>
      <c r="G226" s="707"/>
      <c r="H226" s="721">
        <f>[1]DEPA!$C$151</f>
        <v>170.93999999999997</v>
      </c>
      <c r="I226" s="700"/>
      <c r="J226" s="707"/>
      <c r="K226" s="721">
        <f>[1]DEPA!$D$151</f>
        <v>170.93999999999997</v>
      </c>
      <c r="L226" s="700"/>
      <c r="M226" s="707"/>
      <c r="N226" s="721">
        <f>[1]DEPA!$E$151</f>
        <v>170.93999999999997</v>
      </c>
      <c r="O226" s="700"/>
      <c r="P226" s="707"/>
      <c r="Q226" s="721">
        <f>[1]DEPA!$F$151</f>
        <v>170.93999999999997</v>
      </c>
      <c r="R226" s="700"/>
      <c r="S226" s="707"/>
      <c r="T226" s="721">
        <f>[1]DEPA!$G$151</f>
        <v>170.93999999999997</v>
      </c>
      <c r="U226" s="700"/>
      <c r="V226" s="707"/>
      <c r="W226" s="721">
        <f>[1]DEPA!$H$151</f>
        <v>170.93999999999997</v>
      </c>
      <c r="X226" s="700"/>
      <c r="Y226" s="707"/>
      <c r="Z226" s="721">
        <f>[1]DEPA!$I$151</f>
        <v>170.93999999999997</v>
      </c>
      <c r="AA226" s="700"/>
      <c r="AB226" s="707"/>
      <c r="AC226" s="721">
        <f>[1]DEPA!$J$151</f>
        <v>170.93999999999997</v>
      </c>
      <c r="AD226" s="700"/>
      <c r="AE226" s="707"/>
      <c r="AF226" s="721">
        <f>[1]DEPA!$K$151</f>
        <v>170.93999999999997</v>
      </c>
      <c r="AG226" s="700"/>
      <c r="AH226" s="707"/>
      <c r="AI226" s="721">
        <f>[1]DEPA!$L$151</f>
        <v>170.93999999999997</v>
      </c>
      <c r="AJ226" s="700"/>
      <c r="AK226" s="707"/>
      <c r="AL226" s="721">
        <f>[1]DEPA!$M$151</f>
        <v>170.93999999999997</v>
      </c>
      <c r="AM226" s="700"/>
      <c r="AN226" s="707"/>
      <c r="AO226" s="721">
        <f>[1]DEPA!$N$151</f>
        <v>170.93999999999997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ServiceDivers</v>
      </c>
      <c r="B227" s="700" t="s">
        <v>140</v>
      </c>
      <c r="C227" s="700"/>
      <c r="D227" s="707"/>
      <c r="E227" s="708">
        <f t="shared" si="41"/>
        <v>1080</v>
      </c>
      <c r="F227" s="700"/>
      <c r="G227" s="707"/>
      <c r="H227" s="721">
        <f>[1]DEPA!$C$160</f>
        <v>90</v>
      </c>
      <c r="I227" s="700"/>
      <c r="J227" s="707"/>
      <c r="K227" s="721">
        <f>[1]DEPA!$D$160</f>
        <v>90</v>
      </c>
      <c r="L227" s="700"/>
      <c r="M227" s="707"/>
      <c r="N227" s="721">
        <f>[1]DEPA!$E$160</f>
        <v>90</v>
      </c>
      <c r="O227" s="700"/>
      <c r="P227" s="707"/>
      <c r="Q227" s="721">
        <f>[1]DEPA!$F$160</f>
        <v>90</v>
      </c>
      <c r="R227" s="700"/>
      <c r="S227" s="707"/>
      <c r="T227" s="721">
        <f>[1]DEPA!$G$160</f>
        <v>90</v>
      </c>
      <c r="U227" s="700"/>
      <c r="V227" s="707"/>
      <c r="W227" s="721">
        <f>[1]DEPA!$H$160</f>
        <v>90</v>
      </c>
      <c r="X227" s="700"/>
      <c r="Y227" s="707"/>
      <c r="Z227" s="721">
        <f>[1]DEPA!$I$160</f>
        <v>90</v>
      </c>
      <c r="AA227" s="700"/>
      <c r="AB227" s="707"/>
      <c r="AC227" s="721">
        <f>[1]DEPA!$J$160</f>
        <v>90</v>
      </c>
      <c r="AD227" s="700"/>
      <c r="AE227" s="707"/>
      <c r="AF227" s="721">
        <f>[1]DEPA!$K$160</f>
        <v>90</v>
      </c>
      <c r="AG227" s="700"/>
      <c r="AH227" s="707"/>
      <c r="AI227" s="721">
        <f>[1]DEPA!$L$160</f>
        <v>90</v>
      </c>
      <c r="AJ227" s="700"/>
      <c r="AK227" s="707"/>
      <c r="AL227" s="721">
        <f>[1]DEPA!$M$160</f>
        <v>90</v>
      </c>
      <c r="AM227" s="700"/>
      <c r="AN227" s="707"/>
      <c r="AO227" s="721">
        <f>[1]DEPA!$N$160</f>
        <v>90</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ServiceFormation</v>
      </c>
      <c r="B228" s="700" t="s">
        <v>141</v>
      </c>
      <c r="C228" s="700"/>
      <c r="D228" s="707"/>
      <c r="E228" s="708">
        <f t="shared" si="41"/>
        <v>20000</v>
      </c>
      <c r="F228" s="700"/>
      <c r="G228" s="707"/>
      <c r="H228" s="721">
        <f>[1]DEPA!$C$171</f>
        <v>1666.6666666666667</v>
      </c>
      <c r="I228" s="700"/>
      <c r="J228" s="707"/>
      <c r="K228" s="721">
        <f>[1]DEPA!$D$171</f>
        <v>1666.6666666666667</v>
      </c>
      <c r="L228" s="700"/>
      <c r="M228" s="707"/>
      <c r="N228" s="721">
        <f>[1]DEPA!$E$171</f>
        <v>1666.6666666666667</v>
      </c>
      <c r="O228" s="700"/>
      <c r="P228" s="707"/>
      <c r="Q228" s="721">
        <f>[1]DEPA!$F$171</f>
        <v>1666.6666666666667</v>
      </c>
      <c r="R228" s="700"/>
      <c r="S228" s="707"/>
      <c r="T228" s="721">
        <f>[1]DEPA!$G$171</f>
        <v>1666.6666666666667</v>
      </c>
      <c r="U228" s="700"/>
      <c r="V228" s="707"/>
      <c r="W228" s="721">
        <f>[1]DEPA!$H$171</f>
        <v>1666.6666666666667</v>
      </c>
      <c r="X228" s="700"/>
      <c r="Y228" s="707"/>
      <c r="Z228" s="721">
        <f>[1]DEPA!$I$171</f>
        <v>1666.6666666666667</v>
      </c>
      <c r="AA228" s="700"/>
      <c r="AB228" s="707"/>
      <c r="AC228" s="721">
        <f>[1]DEPA!$J$171</f>
        <v>1666.6666666666667</v>
      </c>
      <c r="AD228" s="700"/>
      <c r="AE228" s="707"/>
      <c r="AF228" s="721">
        <f>[1]DEPA!$K$171</f>
        <v>1666.6666666666667</v>
      </c>
      <c r="AG228" s="700"/>
      <c r="AH228" s="707"/>
      <c r="AI228" s="721">
        <f>[1]DEPA!$L$171</f>
        <v>1666.6666666666667</v>
      </c>
      <c r="AJ228" s="700"/>
      <c r="AK228" s="707"/>
      <c r="AL228" s="721">
        <f>[1]DEPA!$M$171</f>
        <v>1666.6666666666667</v>
      </c>
      <c r="AM228" s="700"/>
      <c r="AN228" s="707"/>
      <c r="AO228" s="721">
        <f>[1]DEPA!$N$171</f>
        <v>1666.6666666666667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42"/>
        <v>ServiceFrais bancaires</v>
      </c>
      <c r="B229" s="700" t="s">
        <v>142</v>
      </c>
      <c r="C229" s="700"/>
      <c r="D229" s="707"/>
      <c r="E229" s="708">
        <f t="shared" si="41"/>
        <v>23110.220270988437</v>
      </c>
      <c r="F229" s="700"/>
      <c r="G229" s="707"/>
      <c r="H229" s="721">
        <f>[1]DEPA!$C$183</f>
        <v>1479.5694461102762</v>
      </c>
      <c r="I229" s="700"/>
      <c r="J229" s="707"/>
      <c r="K229" s="721">
        <f>[1]DEPA!$D$183</f>
        <v>1497.2397994669952</v>
      </c>
      <c r="L229" s="700"/>
      <c r="M229" s="707"/>
      <c r="N229" s="721">
        <f>[1]DEPA!$E$183</f>
        <v>2042.7904372481134</v>
      </c>
      <c r="O229" s="700"/>
      <c r="P229" s="707"/>
      <c r="Q229" s="721">
        <f>[1]DEPA!$F$183</f>
        <v>2169.212670925579</v>
      </c>
      <c r="R229" s="700"/>
      <c r="S229" s="707"/>
      <c r="T229" s="721">
        <f>[1]DEPA!$G$183</f>
        <v>2309.1937084524639</v>
      </c>
      <c r="U229" s="700"/>
      <c r="V229" s="707"/>
      <c r="W229" s="721">
        <f>[1]DEPA!$H$183</f>
        <v>2086.7881799403885</v>
      </c>
      <c r="X229" s="700"/>
      <c r="Y229" s="707"/>
      <c r="Z229" s="721">
        <f>[1]DEPA!$I$183</f>
        <v>1978.57656844853</v>
      </c>
      <c r="AA229" s="700"/>
      <c r="AB229" s="707"/>
      <c r="AC229" s="721">
        <f>[1]DEPA!$J$183</f>
        <v>1918.1529458842833</v>
      </c>
      <c r="AD229" s="700"/>
      <c r="AE229" s="707"/>
      <c r="AF229" s="721">
        <f>[1]DEPA!$K$183</f>
        <v>2000.4377143817417</v>
      </c>
      <c r="AG229" s="700"/>
      <c r="AH229" s="707"/>
      <c r="AI229" s="721">
        <f>[1]DEPA!$L$183</f>
        <v>2005.3731008001917</v>
      </c>
      <c r="AJ229" s="700"/>
      <c r="AK229" s="707"/>
      <c r="AL229" s="721">
        <f>[1]DEPA!$M$183</f>
        <v>2072.8139480285754</v>
      </c>
      <c r="AM229" s="700"/>
      <c r="AN229" s="707"/>
      <c r="AO229" s="721">
        <f>[1]DEPA!$N$183</f>
        <v>1550.0717513012958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00" t="s">
        <v>59</v>
      </c>
      <c r="C230" s="700"/>
      <c r="D230" s="707"/>
      <c r="E230" s="708">
        <f t="shared" si="41"/>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00" t="s">
        <v>59</v>
      </c>
      <c r="C231" s="700"/>
      <c r="D231" s="707"/>
      <c r="E231" s="708">
        <f t="shared" si="41"/>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42"/>
        <v>Service[...]</v>
      </c>
      <c r="B232" s="700" t="s">
        <v>59</v>
      </c>
      <c r="C232" s="700"/>
      <c r="D232" s="707"/>
      <c r="E232" s="708">
        <f t="shared" si="41"/>
        <v>0</v>
      </c>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ServiceTOTAL SEMI-FIXES</v>
      </c>
      <c r="B233" s="1023" t="s">
        <v>143</v>
      </c>
      <c r="C233" s="1024" t="s">
        <v>175</v>
      </c>
      <c r="D233" s="1025">
        <f>IFERROR(E233/E$198,0)</f>
        <v>0.23677813252019037</v>
      </c>
      <c r="E233" s="1026">
        <f>+SUM(E215:E232)</f>
        <v>721785.33137753967</v>
      </c>
      <c r="F233" s="1024" t="s">
        <v>175</v>
      </c>
      <c r="G233" s="1025">
        <f>IFERROR(H233/H$198,0)</f>
        <v>0.3463933961818309</v>
      </c>
      <c r="H233" s="1026">
        <f>+SUM(H215:H232)</f>
        <v>66248.932871656201</v>
      </c>
      <c r="I233" s="1024" t="s">
        <v>175</v>
      </c>
      <c r="J233" s="1025">
        <f>IFERROR(K233/K$198,0)</f>
        <v>0.27638885347460485</v>
      </c>
      <c r="K233" s="1026">
        <f>+SUM(K215:K232)</f>
        <v>51259.353225012921</v>
      </c>
      <c r="L233" s="1024" t="s">
        <v>175</v>
      </c>
      <c r="M233" s="1025">
        <f>IFERROR(N233/N$198,0)</f>
        <v>0.24412219819646536</v>
      </c>
      <c r="N233" s="1026">
        <f>+SUM(N215:N232)</f>
        <v>55686.153862794039</v>
      </c>
      <c r="O233" s="1024" t="s">
        <v>175</v>
      </c>
      <c r="P233" s="1025">
        <f>IFERROR(Q233/Q$198,0)</f>
        <v>0.2759737261277882</v>
      </c>
      <c r="Q233" s="1026">
        <f>+SUM(Q215:Q232)</f>
        <v>82415.076096471515</v>
      </c>
      <c r="R233" s="1024" t="s">
        <v>175</v>
      </c>
      <c r="S233" s="1025">
        <f>IFERROR(T233/T$198,0)</f>
        <v>0.21079442560503425</v>
      </c>
      <c r="T233" s="1026">
        <f>+SUM(T215:T232)</f>
        <v>65160.057133998387</v>
      </c>
      <c r="U233" s="1024" t="s">
        <v>175</v>
      </c>
      <c r="V233" s="1025">
        <f>IFERROR(W233/W$198,0)</f>
        <v>0.22606474153718892</v>
      </c>
      <c r="W233" s="1026">
        <f>+SUM(W215:W232)</f>
        <v>53707.651605486317</v>
      </c>
      <c r="X233" s="1024" t="s">
        <v>175</v>
      </c>
      <c r="Y233" s="1025">
        <f>IFERROR(Z233/Z$198,0)</f>
        <v>0.22760082369421317</v>
      </c>
      <c r="Z233" s="1026">
        <f>+SUM(Z215:Z232)</f>
        <v>57254.439993994456</v>
      </c>
      <c r="AA233" s="1024" t="s">
        <v>175</v>
      </c>
      <c r="AB233" s="1025">
        <f>IFERROR(AC233/AC$198,0)</f>
        <v>0.2022521872559972</v>
      </c>
      <c r="AC233" s="1026">
        <f>+SUM(AC215:AC232)</f>
        <v>50484.016371430211</v>
      </c>
      <c r="AD233" s="1024" t="s">
        <v>175</v>
      </c>
      <c r="AE233" s="1025">
        <f>IFERROR(AF233/AF$198,0)</f>
        <v>0.1957454012966518</v>
      </c>
      <c r="AF233" s="1026">
        <f>+SUM(AF215:AF232)</f>
        <v>51258.801139927666</v>
      </c>
      <c r="AG233" s="1024" t="s">
        <v>175</v>
      </c>
      <c r="AH233" s="1025">
        <f>IFERROR(AI233/AI$198,0)</f>
        <v>0.21559546112716291</v>
      </c>
      <c r="AI233" s="1026">
        <f>+SUM(AI215:AI232)</f>
        <v>60796.236526346118</v>
      </c>
      <c r="AJ233" s="1024" t="s">
        <v>175</v>
      </c>
      <c r="AK233" s="1025">
        <f>IFERROR(AL233/AL$198,0)</f>
        <v>0.19654202415064612</v>
      </c>
      <c r="AL233" s="1026">
        <f>+SUM(AL215:AL232)</f>
        <v>67833.677373574508</v>
      </c>
      <c r="AM233" s="1024" t="s">
        <v>175</v>
      </c>
      <c r="AN233" s="1025">
        <f>IFERROR(AO233/AO$198,0)</f>
        <v>0.28685271614701313</v>
      </c>
      <c r="AO233" s="1026">
        <f>+SUM(AO215:AO232)</f>
        <v>59680.935176847219</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v>
      </c>
      <c r="B234" s="726"/>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ServiceTOTAL DES DÉPENSES</v>
      </c>
      <c r="B235" s="1033" t="s">
        <v>144</v>
      </c>
      <c r="C235" s="1024" t="s">
        <v>119</v>
      </c>
      <c r="D235" s="1046">
        <f>IFERROR(E235/E$198,0)</f>
        <v>0.81795347566811283</v>
      </c>
      <c r="E235" s="1034">
        <f>E214+E233</f>
        <v>2493417.8431201885</v>
      </c>
      <c r="F235" s="1024" t="s">
        <v>119</v>
      </c>
      <c r="G235" s="1046">
        <f>IFERROR(H235/H$198,0)</f>
        <v>0.97179326004175015</v>
      </c>
      <c r="H235" s="1034">
        <f>H214+H233</f>
        <v>185858.81589913153</v>
      </c>
      <c r="I235" s="1024" t="s">
        <v>119</v>
      </c>
      <c r="J235" s="1046">
        <f>IFERROR(K235/K$198,0)</f>
        <v>0.90044889416776674</v>
      </c>
      <c r="K235" s="1034">
        <f>K214+K233</f>
        <v>166998.15259177511</v>
      </c>
      <c r="L235" s="1024" t="s">
        <v>119</v>
      </c>
      <c r="M235" s="1046">
        <f>IFERROR(N235/N$198,0)</f>
        <v>0.88155569862336891</v>
      </c>
      <c r="N235" s="1034">
        <f>N214+N233</f>
        <v>201089.64541051962</v>
      </c>
      <c r="O235" s="1024" t="s">
        <v>119</v>
      </c>
      <c r="P235" s="1046">
        <f>IFERROR(Q235/Q$198,0)</f>
        <v>0.83168684299077078</v>
      </c>
      <c r="Q235" s="1034">
        <f>Q214+Q233</f>
        <v>248369.78293281372</v>
      </c>
      <c r="R235" s="1024" t="s">
        <v>119</v>
      </c>
      <c r="S235" s="1046">
        <f>IFERROR(T235/T$198,0)</f>
        <v>0.74363792699504272</v>
      </c>
      <c r="T235" s="1034">
        <f>T214+T233</f>
        <v>229870.83112338185</v>
      </c>
      <c r="U235" s="1024" t="s">
        <v>119</v>
      </c>
      <c r="V235" s="1046">
        <f>IFERROR(W235/W$198,0)</f>
        <v>0.77851000135482562</v>
      </c>
      <c r="W235" s="1034">
        <f>W214+W233</f>
        <v>184955.61775728461</v>
      </c>
      <c r="X235" s="1024" t="s">
        <v>119</v>
      </c>
      <c r="Y235" s="1046">
        <f>IFERROR(Z235/Z$198,0)</f>
        <v>0.83348309209262372</v>
      </c>
      <c r="Z235" s="1034">
        <f>Z214+Z233</f>
        <v>209667.99200313876</v>
      </c>
      <c r="AA235" s="1024" t="s">
        <v>119</v>
      </c>
      <c r="AB235" s="1046">
        <f>IFERROR(AC235/AC$198,0)</f>
        <v>0.73594897843102236</v>
      </c>
      <c r="AC235" s="1034">
        <f>AC214+AC233</f>
        <v>183699.67108747491</v>
      </c>
      <c r="AD235" s="1024" t="s">
        <v>119</v>
      </c>
      <c r="AE235" s="1046">
        <f>IFERROR(AF235/AF$198,0)</f>
        <v>0.70604449258021651</v>
      </c>
      <c r="AF235" s="1034">
        <f>AF214+AF233</f>
        <v>184888.09443989472</v>
      </c>
      <c r="AG235" s="1024" t="s">
        <v>119</v>
      </c>
      <c r="AH235" s="1046">
        <f>IFERROR(AI235/AI$198,0)</f>
        <v>0.86580858912395908</v>
      </c>
      <c r="AI235" s="1034">
        <f>AI214+AI233</f>
        <v>244151.26132861979</v>
      </c>
      <c r="AJ235" s="1024" t="s">
        <v>119</v>
      </c>
      <c r="AK235" s="1046">
        <f>IFERROR(AL235/AL$198,0)</f>
        <v>0.71714765540452385</v>
      </c>
      <c r="AL235" s="1034">
        <f>AL214+AL233</f>
        <v>247513.28829624213</v>
      </c>
      <c r="AM235" s="1024" t="s">
        <v>119</v>
      </c>
      <c r="AN235" s="1046">
        <f>IFERROR(AO235/AO$198,0)</f>
        <v>0.9918310296656746</v>
      </c>
      <c r="AO235" s="1034">
        <f>AO214+AO233</f>
        <v>206354.69024991174</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v>
      </c>
      <c r="B236" s="700"/>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t="str">
        <f t="shared" si="42"/>
        <v>ServicePROFIT DÉPARTEMENTAL</v>
      </c>
      <c r="B237" s="1037" t="s">
        <v>151</v>
      </c>
      <c r="C237" s="1037"/>
      <c r="D237" s="1065">
        <f>E237/D198</f>
        <v>0.12912491479910071</v>
      </c>
      <c r="E237" s="1040">
        <f>E198-E235</f>
        <v>554943.60687981173</v>
      </c>
      <c r="F237" s="1037"/>
      <c r="G237" s="1048"/>
      <c r="H237" s="1040">
        <f>H198-H235</f>
        <v>5394.6363949774823</v>
      </c>
      <c r="I237" s="1037"/>
      <c r="J237" s="1048"/>
      <c r="K237" s="1040">
        <f>K198-K235</f>
        <v>18462.847664238216</v>
      </c>
      <c r="L237" s="1037"/>
      <c r="M237" s="1048"/>
      <c r="N237" s="1040">
        <f>N198-N235</f>
        <v>27018.057511190011</v>
      </c>
      <c r="O237" s="1037"/>
      <c r="P237" s="1048"/>
      <c r="Q237" s="1040">
        <f>Q198-Q235</f>
        <v>50263.993741671758</v>
      </c>
      <c r="R237" s="1037"/>
      <c r="S237" s="1048"/>
      <c r="T237" s="1040">
        <f>T198-T235</f>
        <v>79245.77358270681</v>
      </c>
      <c r="U237" s="1037"/>
      <c r="V237" s="1048"/>
      <c r="W237" s="1040">
        <f>W198-W235</f>
        <v>52620.800574413122</v>
      </c>
      <c r="X237" s="1037"/>
      <c r="Y237" s="1048"/>
      <c r="Z237" s="1040">
        <f>Z198-Z235</f>
        <v>41888.391074442217</v>
      </c>
      <c r="AA237" s="1037"/>
      <c r="AB237" s="1048"/>
      <c r="AC237" s="1040">
        <f>AC198-AC235</f>
        <v>65909.576932824333</v>
      </c>
      <c r="AD237" s="1037"/>
      <c r="AE237" s="1048"/>
      <c r="AF237" s="1040">
        <f>AF198-AF235</f>
        <v>76976.556276701391</v>
      </c>
      <c r="AG237" s="1037"/>
      <c r="AH237" s="1048"/>
      <c r="AI237" s="1040">
        <f>AI198-AI235</f>
        <v>37840.930012028024</v>
      </c>
      <c r="AJ237" s="1037"/>
      <c r="AK237" s="1048"/>
      <c r="AL237" s="1040">
        <f>AL198-AL235</f>
        <v>97622.453877559572</v>
      </c>
      <c r="AM237" s="1037"/>
      <c r="AN237" s="1048"/>
      <c r="AO237" s="1040">
        <f>AO198-AO235</f>
        <v>1699.5892370585061</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07"/>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739"/>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1042" t="str">
        <f>B4</f>
        <v>Budget 2025</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c r="A241" s="39"/>
      <c r="B241" s="1043"/>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9"/>
      <c r="B242" s="868" t="s">
        <v>3</v>
      </c>
      <c r="C242" s="1163">
        <v>2021</v>
      </c>
      <c r="D242" s="1164"/>
      <c r="E242" s="1165"/>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77" si="43">+$C$240&amp;B243</f>
        <v>Carrosserie</v>
      </c>
      <c r="B243" s="700"/>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v>
      </c>
      <c r="B244" s="700"/>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CarrosserieM/O Sous-traitement</v>
      </c>
      <c r="B245" s="700" t="s">
        <v>177</v>
      </c>
      <c r="C245" s="753">
        <f>+SUM(F245,I245,L245,O245,R245,U245,X245,AA245,AD245,AG245,AJ245,AM245)</f>
        <v>0</v>
      </c>
      <c r="D245" s="720">
        <f>+SUM(G245,J245,M245,P245,S245,V245,Y245,AB245,AE245,AH245,AK245,AN245)</f>
        <v>1080000</v>
      </c>
      <c r="E245" s="708">
        <f>+SUM(H245,K245,N245,Q245,T245,W245,Z245,AC245,AF245,AI245,AL245,AO245)</f>
        <v>172800</v>
      </c>
      <c r="F245" s="754"/>
      <c r="G245" s="755">
        <f>'[1]Bud men fixes'!$E$34</f>
        <v>43200</v>
      </c>
      <c r="H245" s="721">
        <f>'[1]Bud men fixes'!$E$33</f>
        <v>6912</v>
      </c>
      <c r="I245" s="754"/>
      <c r="J245" s="755">
        <f>'[1]Bud men fixes'!$F$34</f>
        <v>75600</v>
      </c>
      <c r="K245" s="721">
        <f>'[1]Bud men fixes'!$F$33</f>
        <v>12096</v>
      </c>
      <c r="L245" s="754"/>
      <c r="M245" s="755">
        <f>'[1]Bud men fixes'!$G$34</f>
        <v>108000</v>
      </c>
      <c r="N245" s="721">
        <f>'[1]Bud men fixes'!$G$33</f>
        <v>17280</v>
      </c>
      <c r="O245" s="754"/>
      <c r="P245" s="755">
        <f>'[1]Bud men fixes'!$H$34</f>
        <v>108000</v>
      </c>
      <c r="Q245" s="721">
        <f>'[1]Bud men fixes'!$H$33</f>
        <v>17280</v>
      </c>
      <c r="R245" s="754"/>
      <c r="S245" s="755">
        <f>'[1]Bud men fixes'!$I$34</f>
        <v>108000</v>
      </c>
      <c r="T245" s="721">
        <f>'[1]Bud men fixes'!$I$33</f>
        <v>17280</v>
      </c>
      <c r="U245" s="754"/>
      <c r="V245" s="755">
        <f>'[1]Bud men fixes'!$J$34</f>
        <v>118800</v>
      </c>
      <c r="W245" s="721">
        <f>'[1]Bud men fixes'!$J$33</f>
        <v>19008</v>
      </c>
      <c r="X245" s="754"/>
      <c r="Y245" s="755">
        <f>'[1]Bud men fixes'!$K$34</f>
        <v>86400</v>
      </c>
      <c r="Z245" s="721">
        <f>'[1]Bud men fixes'!$K$33</f>
        <v>13824</v>
      </c>
      <c r="AA245" s="754"/>
      <c r="AB245" s="755">
        <f>'[1]Bud men fixes'!$L$34</f>
        <v>97200</v>
      </c>
      <c r="AC245" s="721">
        <f>'[1]Bud men fixes'!$L$33</f>
        <v>15552</v>
      </c>
      <c r="AD245" s="754"/>
      <c r="AE245" s="755">
        <f>'[1]Bud men fixes'!$M$34</f>
        <v>97200</v>
      </c>
      <c r="AF245" s="721">
        <f>'[1]Bud men fixes'!$M$33</f>
        <v>15552</v>
      </c>
      <c r="AG245" s="754"/>
      <c r="AH245" s="755">
        <f>'[1]Bud men fixes'!$N$34</f>
        <v>97200</v>
      </c>
      <c r="AI245" s="721">
        <f>'[1]Bud men fixes'!$N$33</f>
        <v>15552</v>
      </c>
      <c r="AJ245" s="754"/>
      <c r="AK245" s="755">
        <f>'[1]Bud men fixes'!$O$34</f>
        <v>86400</v>
      </c>
      <c r="AL245" s="721">
        <f>'[1]Bud men fixes'!$O$33</f>
        <v>13824</v>
      </c>
      <c r="AM245" s="754"/>
      <c r="AN245" s="755">
        <f>'[1]Bud men fixes'!$P$34</f>
        <v>54000</v>
      </c>
      <c r="AO245" s="721">
        <f>'[1]Bud men fixes'!$P$33</f>
        <v>8640</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 profit / ventes</v>
      </c>
      <c r="B246" s="700" t="s">
        <v>165</v>
      </c>
      <c r="C246" s="753"/>
      <c r="D246" s="707"/>
      <c r="E246" s="756">
        <f>IFERROR(E245/D245,0)</f>
        <v>0.16</v>
      </c>
      <c r="F246" s="753"/>
      <c r="G246" s="707"/>
      <c r="H246" s="756">
        <f>IFERROR(H245/G245,0)</f>
        <v>0.16</v>
      </c>
      <c r="I246" s="753"/>
      <c r="J246" s="707"/>
      <c r="K246" s="756">
        <f>IFERROR(K245/J245,0)</f>
        <v>0.16</v>
      </c>
      <c r="L246" s="753"/>
      <c r="M246" s="707"/>
      <c r="N246" s="756">
        <f>IFERROR(N245/M245,0)</f>
        <v>0.16</v>
      </c>
      <c r="O246" s="753"/>
      <c r="P246" s="707"/>
      <c r="Q246" s="756">
        <f>IFERROR(Q245/P245,0)</f>
        <v>0.16</v>
      </c>
      <c r="R246" s="753"/>
      <c r="S246" s="707"/>
      <c r="T246" s="756">
        <f>IFERROR(T245/S245,0)</f>
        <v>0.16</v>
      </c>
      <c r="U246" s="753"/>
      <c r="V246" s="707"/>
      <c r="W246" s="756">
        <f>IFERROR(W245/V245,0)</f>
        <v>0.16</v>
      </c>
      <c r="X246" s="753"/>
      <c r="Y246" s="707"/>
      <c r="Z246" s="756">
        <f>IFERROR(Z245/Y245,0)</f>
        <v>0.16</v>
      </c>
      <c r="AA246" s="753"/>
      <c r="AB246" s="707"/>
      <c r="AC246" s="756">
        <f>IFERROR(AC245/AB245,0)</f>
        <v>0.16</v>
      </c>
      <c r="AD246" s="753"/>
      <c r="AE246" s="707"/>
      <c r="AF246" s="756">
        <f>IFERROR(AF245/AE245,0)</f>
        <v>0.16</v>
      </c>
      <c r="AG246" s="753"/>
      <c r="AH246" s="707"/>
      <c r="AI246" s="756">
        <f>IFERROR(AI245/AH245,0)</f>
        <v>0.16</v>
      </c>
      <c r="AJ246" s="753"/>
      <c r="AK246" s="707"/>
      <c r="AL246" s="756">
        <f>IFERROR(AL245/AK245,0)</f>
        <v>0.16</v>
      </c>
      <c r="AM246" s="753"/>
      <c r="AN246" s="707"/>
      <c r="AO246" s="756">
        <f>IFERROR(AO245/AN245,0)</f>
        <v>0.16</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v>
      </c>
      <c r="B247" s="700"/>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CarrosserieM/O Carrosserie</v>
      </c>
      <c r="B248" s="1011" t="s">
        <v>178</v>
      </c>
      <c r="C248" s="1049">
        <f>+SUM(F248,I248,L248,O248,R248,U248,X248,AA248,AD248,AG248,AJ248,AM248)</f>
        <v>0</v>
      </c>
      <c r="D248" s="1050">
        <f>+SUM(G248,J248,M248,P248,S248,V248,Y248,AB248,AE248,AH248,AK248,AN248)</f>
        <v>0</v>
      </c>
      <c r="E248" s="1030">
        <f>+SUM(H248,K248,N248,Q248,T248,W248,Z248,AC248,AF248,AI248,AL248,AO248)</f>
        <v>0</v>
      </c>
      <c r="F248" s="1051"/>
      <c r="G248" s="1052"/>
      <c r="H248" s="1031"/>
      <c r="I248" s="1051"/>
      <c r="J248" s="1052"/>
      <c r="K248" s="1031"/>
      <c r="L248" s="1051"/>
      <c r="M248" s="1052"/>
      <c r="N248" s="1031"/>
      <c r="O248" s="1051"/>
      <c r="P248" s="1052"/>
      <c r="Q248" s="1031"/>
      <c r="R248" s="1051"/>
      <c r="S248" s="1052"/>
      <c r="T248" s="1031"/>
      <c r="U248" s="1051"/>
      <c r="V248" s="1052"/>
      <c r="W248" s="1031"/>
      <c r="X248" s="1051"/>
      <c r="Y248" s="1052"/>
      <c r="Z248" s="1031"/>
      <c r="AA248" s="1051"/>
      <c r="AB248" s="1052"/>
      <c r="AC248" s="1031"/>
      <c r="AD248" s="1051"/>
      <c r="AE248" s="1052"/>
      <c r="AF248" s="1031"/>
      <c r="AG248" s="1051"/>
      <c r="AH248" s="1052"/>
      <c r="AI248" s="1031"/>
      <c r="AJ248" s="1051"/>
      <c r="AK248" s="1052"/>
      <c r="AL248" s="1031"/>
      <c r="AM248" s="1051"/>
      <c r="AN248" s="1052"/>
      <c r="AO248" s="1031"/>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 profit / ventes</v>
      </c>
      <c r="B249" s="700" t="s">
        <v>165</v>
      </c>
      <c r="C249" s="753"/>
      <c r="D249" s="707"/>
      <c r="E249" s="756">
        <f>IFERROR(E248/D248,0)</f>
        <v>0</v>
      </c>
      <c r="F249" s="753"/>
      <c r="G249" s="707"/>
      <c r="H249" s="756">
        <f>IFERROR(H248/G248,0)</f>
        <v>0</v>
      </c>
      <c r="I249" s="753"/>
      <c r="J249" s="707"/>
      <c r="K249" s="756">
        <f>IFERROR(K248/J248,0)</f>
        <v>0</v>
      </c>
      <c r="L249" s="753"/>
      <c r="M249" s="707"/>
      <c r="N249" s="756">
        <f>IFERROR(N248/M248,0)</f>
        <v>0</v>
      </c>
      <c r="O249" s="753"/>
      <c r="P249" s="707"/>
      <c r="Q249" s="756">
        <f>IFERROR(Q248/P248,0)</f>
        <v>0</v>
      </c>
      <c r="R249" s="753"/>
      <c r="S249" s="707"/>
      <c r="T249" s="756">
        <f>IFERROR(T248/S248,0)</f>
        <v>0</v>
      </c>
      <c r="U249" s="753"/>
      <c r="V249" s="707"/>
      <c r="W249" s="756">
        <f>IFERROR(W248/V248,0)</f>
        <v>0</v>
      </c>
      <c r="X249" s="753"/>
      <c r="Y249" s="707"/>
      <c r="Z249" s="756">
        <f>IFERROR(Z248/Y248,0)</f>
        <v>0</v>
      </c>
      <c r="AA249" s="753"/>
      <c r="AB249" s="707"/>
      <c r="AC249" s="756">
        <f>IFERROR(AC248/AB248,0)</f>
        <v>0</v>
      </c>
      <c r="AD249" s="753"/>
      <c r="AE249" s="707"/>
      <c r="AF249" s="756">
        <f>IFERROR(AF248/AE248,0)</f>
        <v>0</v>
      </c>
      <c r="AG249" s="753"/>
      <c r="AH249" s="707"/>
      <c r="AI249" s="756">
        <f>IFERROR(AI248/AH248,0)</f>
        <v>0</v>
      </c>
      <c r="AJ249" s="753"/>
      <c r="AK249" s="707"/>
      <c r="AL249" s="756">
        <f>IFERROR(AL248/AK248,0)</f>
        <v>0</v>
      </c>
      <c r="AM249" s="753"/>
      <c r="AN249" s="707"/>
      <c r="AO249" s="756">
        <f>IFERROR(AO248/AN248,0)</f>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v>
      </c>
      <c r="B250" s="726"/>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CarrosserieM/O Esthétique Carr.</v>
      </c>
      <c r="B251" s="1011" t="s">
        <v>179</v>
      </c>
      <c r="C251" s="1049">
        <f>+SUM(F251,I251,L251,O251,R251,U251,X251,AA251,AD251,AG251,AJ251,AM251)</f>
        <v>0</v>
      </c>
      <c r="D251" s="1050">
        <f>+SUM(G251,J251,M251,P251,S251,V251,Y251,AB251,AE251,AH251,AK251,AN251)</f>
        <v>0</v>
      </c>
      <c r="E251" s="1030">
        <f>+SUM(H251,K251,N251,Q251,T251,W251,Z251,AC251,AF251,AI251,AL251,AO251)</f>
        <v>0</v>
      </c>
      <c r="F251" s="1051"/>
      <c r="G251" s="1052"/>
      <c r="H251" s="1031"/>
      <c r="I251" s="1051"/>
      <c r="J251" s="1052"/>
      <c r="K251" s="1031"/>
      <c r="L251" s="1051"/>
      <c r="M251" s="1052"/>
      <c r="N251" s="1031"/>
      <c r="O251" s="1051"/>
      <c r="P251" s="1052"/>
      <c r="Q251" s="1031"/>
      <c r="R251" s="1051"/>
      <c r="S251" s="1052"/>
      <c r="T251" s="1031"/>
      <c r="U251" s="1051"/>
      <c r="V251" s="1052"/>
      <c r="W251" s="1031"/>
      <c r="X251" s="1051"/>
      <c r="Y251" s="1052"/>
      <c r="Z251" s="1031"/>
      <c r="AA251" s="1051"/>
      <c r="AB251" s="1052"/>
      <c r="AC251" s="1031"/>
      <c r="AD251" s="1051"/>
      <c r="AE251" s="1052"/>
      <c r="AF251" s="1031"/>
      <c r="AG251" s="1051"/>
      <c r="AH251" s="1052"/>
      <c r="AI251" s="1031"/>
      <c r="AJ251" s="1051"/>
      <c r="AK251" s="1052"/>
      <c r="AL251" s="1031"/>
      <c r="AM251" s="1051"/>
      <c r="AN251" s="1052"/>
      <c r="AO251" s="1031"/>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 profit / ventes</v>
      </c>
      <c r="B252" s="700" t="s">
        <v>165</v>
      </c>
      <c r="C252" s="700"/>
      <c r="D252" s="707"/>
      <c r="E252" s="756">
        <f>IFERROR(E251/D251,0)</f>
        <v>0</v>
      </c>
      <c r="F252" s="700"/>
      <c r="G252" s="707"/>
      <c r="H252" s="756">
        <f>IFERROR(H251/G251,0)</f>
        <v>0</v>
      </c>
      <c r="I252" s="700"/>
      <c r="J252" s="707"/>
      <c r="K252" s="756">
        <f>IFERROR(K251/J251,0)</f>
        <v>0</v>
      </c>
      <c r="L252" s="700"/>
      <c r="M252" s="707"/>
      <c r="N252" s="756">
        <f>IFERROR(N251/M251,0)</f>
        <v>0</v>
      </c>
      <c r="O252" s="700"/>
      <c r="P252" s="707"/>
      <c r="Q252" s="756">
        <f>IFERROR(Q251/P251,0)</f>
        <v>0</v>
      </c>
      <c r="R252" s="700"/>
      <c r="S252" s="707"/>
      <c r="T252" s="756">
        <f>IFERROR(T251/S251,0)</f>
        <v>0</v>
      </c>
      <c r="U252" s="700"/>
      <c r="V252" s="707"/>
      <c r="W252" s="756">
        <f>IFERROR(W251/V251,0)</f>
        <v>0</v>
      </c>
      <c r="X252" s="700"/>
      <c r="Y252" s="707"/>
      <c r="Z252" s="756">
        <f>IFERROR(Z251/Y251,0)</f>
        <v>0</v>
      </c>
      <c r="AA252" s="700"/>
      <c r="AB252" s="707"/>
      <c r="AC252" s="756">
        <f>IFERROR(AC251/AB251,0)</f>
        <v>0</v>
      </c>
      <c r="AD252" s="700"/>
      <c r="AE252" s="707"/>
      <c r="AF252" s="756">
        <f>IFERROR(AF251/AE251,0)</f>
        <v>0</v>
      </c>
      <c r="AG252" s="700"/>
      <c r="AH252" s="707"/>
      <c r="AI252" s="756">
        <f>IFERROR(AI251/AH251,0)</f>
        <v>0</v>
      </c>
      <c r="AJ252" s="700"/>
      <c r="AK252" s="707"/>
      <c r="AL252" s="756">
        <f>IFERROR(AL251/AK251,0)</f>
        <v>0</v>
      </c>
      <c r="AM252" s="700"/>
      <c r="AN252" s="707"/>
      <c r="AO252" s="756">
        <f>IFERROR(AO251/AN251,0)</f>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v>
      </c>
      <c r="B253" s="700"/>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CarrosserieTotal Mécanique</v>
      </c>
      <c r="B254" s="1021" t="s">
        <v>174</v>
      </c>
      <c r="C254" s="709"/>
      <c r="D254" s="774">
        <f>D248+D251+D245</f>
        <v>1080000</v>
      </c>
      <c r="E254" s="711">
        <f>E248+E251+E245</f>
        <v>172800</v>
      </c>
      <c r="F254" s="709"/>
      <c r="G254" s="774">
        <f>G248+G251+G245</f>
        <v>43200</v>
      </c>
      <c r="H254" s="711">
        <f>H248+H251+H245</f>
        <v>6912</v>
      </c>
      <c r="I254" s="709"/>
      <c r="J254" s="774">
        <f>J248+J251+J245</f>
        <v>75600</v>
      </c>
      <c r="K254" s="711">
        <f>K248+K251+K245</f>
        <v>12096</v>
      </c>
      <c r="L254" s="709"/>
      <c r="M254" s="774">
        <f>M248+M251+M245</f>
        <v>108000</v>
      </c>
      <c r="N254" s="711">
        <f>N248+N251+N245</f>
        <v>17280</v>
      </c>
      <c r="O254" s="709"/>
      <c r="P254" s="774">
        <f>P248+P251+P245</f>
        <v>108000</v>
      </c>
      <c r="Q254" s="711">
        <f>Q248+Q251+Q245</f>
        <v>17280</v>
      </c>
      <c r="R254" s="709"/>
      <c r="S254" s="774">
        <f>S248+S251+S245</f>
        <v>108000</v>
      </c>
      <c r="T254" s="711">
        <f>T248+T251+T245</f>
        <v>17280</v>
      </c>
      <c r="U254" s="709"/>
      <c r="V254" s="774">
        <f>V248+V251+V245</f>
        <v>118800</v>
      </c>
      <c r="W254" s="711">
        <f>W248+W251+W245</f>
        <v>19008</v>
      </c>
      <c r="X254" s="709"/>
      <c r="Y254" s="774">
        <f>Y248+Y251+Y245</f>
        <v>86400</v>
      </c>
      <c r="Z254" s="711">
        <f>Z248+Z251+Z245</f>
        <v>13824</v>
      </c>
      <c r="AA254" s="709"/>
      <c r="AB254" s="774">
        <f>AB248+AB251+AB245</f>
        <v>97200</v>
      </c>
      <c r="AC254" s="711">
        <f>AC248+AC251+AC245</f>
        <v>15552</v>
      </c>
      <c r="AD254" s="709"/>
      <c r="AE254" s="774">
        <f>AE248+AE251+AE245</f>
        <v>97200</v>
      </c>
      <c r="AF254" s="711">
        <f>AF248+AF251+AF245</f>
        <v>15552</v>
      </c>
      <c r="AG254" s="709"/>
      <c r="AH254" s="774">
        <f>AH248+AH251+AH245</f>
        <v>97200</v>
      </c>
      <c r="AI254" s="711">
        <f>AI248+AI251+AI245</f>
        <v>15552</v>
      </c>
      <c r="AJ254" s="709"/>
      <c r="AK254" s="774">
        <f>AK248+AK251+AK245</f>
        <v>86400</v>
      </c>
      <c r="AL254" s="711">
        <f>AL248+AL251+AL245</f>
        <v>13824</v>
      </c>
      <c r="AM254" s="709"/>
      <c r="AN254" s="774">
        <f>AN248+AN251+AN245</f>
        <v>54000</v>
      </c>
      <c r="AO254" s="711">
        <f>AO248+AO251+AO245</f>
        <v>8640</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12"/>
      <c r="C255" s="712"/>
      <c r="D255" s="713"/>
      <c r="E255" s="775">
        <f>IFERROR(E254/D254,0)</f>
        <v>0.16</v>
      </c>
      <c r="F255" s="712"/>
      <c r="G255" s="713"/>
      <c r="H255" s="775">
        <f>IFERROR(H254/G254,0)</f>
        <v>0.16</v>
      </c>
      <c r="I255" s="712"/>
      <c r="J255" s="713"/>
      <c r="K255" s="775">
        <f>IFERROR(K254/J254,0)</f>
        <v>0.16</v>
      </c>
      <c r="L255" s="712"/>
      <c r="M255" s="713"/>
      <c r="N255" s="775">
        <f>IFERROR(N254/M254,0)</f>
        <v>0.16</v>
      </c>
      <c r="O255" s="712"/>
      <c r="P255" s="713"/>
      <c r="Q255" s="775">
        <f>IFERROR(Q254/P254,0)</f>
        <v>0.16</v>
      </c>
      <c r="R255" s="712"/>
      <c r="S255" s="713"/>
      <c r="T255" s="775">
        <f>IFERROR(T254/S254,0)</f>
        <v>0.16</v>
      </c>
      <c r="U255" s="712"/>
      <c r="V255" s="713"/>
      <c r="W255" s="775">
        <f>IFERROR(W254/V254,0)</f>
        <v>0.16</v>
      </c>
      <c r="X255" s="712"/>
      <c r="Y255" s="713"/>
      <c r="Z255" s="775">
        <f>IFERROR(Z254/Y254,0)</f>
        <v>0.16</v>
      </c>
      <c r="AA255" s="712"/>
      <c r="AB255" s="713"/>
      <c r="AC255" s="775">
        <f>IFERROR(AC254/AB254,0)</f>
        <v>0.16</v>
      </c>
      <c r="AD255" s="712"/>
      <c r="AE255" s="713"/>
      <c r="AF255" s="775">
        <f>IFERROR(AF254/AE254,0)</f>
        <v>0.16</v>
      </c>
      <c r="AG255" s="712"/>
      <c r="AH255" s="713"/>
      <c r="AI255" s="775">
        <f>IFERROR(AI254/AH254,0)</f>
        <v>0.16</v>
      </c>
      <c r="AJ255" s="712"/>
      <c r="AK255" s="713"/>
      <c r="AL255" s="775">
        <f>IFERROR(AL254/AK254,0)</f>
        <v>0.16</v>
      </c>
      <c r="AM255" s="712"/>
      <c r="AN255" s="713"/>
      <c r="AO255" s="775">
        <f>IFERROR(AO254/AN254,0)</f>
        <v>0.16</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v>
      </c>
      <c r="B256" s="700"/>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CarrosserieDEPENSES</v>
      </c>
      <c r="B257" s="102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cadres</v>
      </c>
      <c r="B258" s="1027" t="s">
        <v>120</v>
      </c>
      <c r="C258" s="700"/>
      <c r="D258" s="707"/>
      <c r="E258" s="708">
        <f t="shared" ref="E258:E269" si="44">+SUM(H258,K258,N258,Q258,T258,W258,Z258,AC258,AF258,AI258,AL258,AO258)</f>
        <v>322.10208333333338</v>
      </c>
      <c r="F258" s="700"/>
      <c r="G258" s="707"/>
      <c r="H258" s="721">
        <f>[1]Salaire!$E$50</f>
        <v>322.10208333333338</v>
      </c>
      <c r="I258" s="700"/>
      <c r="J258" s="707"/>
      <c r="K258" s="721">
        <f>[1]Salaire!$F$50</f>
        <v>0</v>
      </c>
      <c r="L258" s="700"/>
      <c r="M258" s="707"/>
      <c r="N258" s="721">
        <f>[1]Salaire!$G$50</f>
        <v>0</v>
      </c>
      <c r="O258" s="700"/>
      <c r="P258" s="707"/>
      <c r="Q258" s="721">
        <f>[1]Salaire!$H$50</f>
        <v>0</v>
      </c>
      <c r="R258" s="700"/>
      <c r="S258" s="707"/>
      <c r="T258" s="721">
        <f>[1]Salaire!$I$50</f>
        <v>0</v>
      </c>
      <c r="U258" s="700"/>
      <c r="V258" s="707"/>
      <c r="W258" s="721">
        <f>[1]Salaire!$J$50</f>
        <v>0</v>
      </c>
      <c r="X258" s="700"/>
      <c r="Y258" s="707"/>
      <c r="Z258" s="721">
        <f>[1]Salaire!$K$50</f>
        <v>0</v>
      </c>
      <c r="AA258" s="700"/>
      <c r="AB258" s="707"/>
      <c r="AC258" s="721">
        <f>[1]Salaire!$L$50</f>
        <v>0</v>
      </c>
      <c r="AD258" s="700"/>
      <c r="AE258" s="707"/>
      <c r="AF258" s="721">
        <f>[1]Salaire!$M$50</f>
        <v>0</v>
      </c>
      <c r="AG258" s="700"/>
      <c r="AH258" s="707"/>
      <c r="AI258" s="721">
        <f>[1]Salaire!$N$50</f>
        <v>0</v>
      </c>
      <c r="AJ258" s="700"/>
      <c r="AK258" s="707"/>
      <c r="AL258" s="721">
        <f>[1]Salaire!$O$50</f>
        <v>0</v>
      </c>
      <c r="AM258" s="700"/>
      <c r="AN258" s="707"/>
      <c r="AO258" s="721">
        <f>[1]Salaire!$P$50</f>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commis</v>
      </c>
      <c r="B259" s="1028" t="s">
        <v>121</v>
      </c>
      <c r="C259" s="700"/>
      <c r="D259" s="707"/>
      <c r="E259" s="708">
        <f t="shared" si="44"/>
        <v>74260.777408373324</v>
      </c>
      <c r="F259" s="700"/>
      <c r="G259" s="707"/>
      <c r="H259" s="721">
        <f>[1]Salaire!$E$126</f>
        <v>5615.7540314133321</v>
      </c>
      <c r="I259" s="700"/>
      <c r="J259" s="707"/>
      <c r="K259" s="721">
        <f>[1]Salaire!$F$126</f>
        <v>5804.7936147466653</v>
      </c>
      <c r="L259" s="700"/>
      <c r="M259" s="707"/>
      <c r="N259" s="721">
        <f>[1]Salaire!$G$126</f>
        <v>5804.7936147466653</v>
      </c>
      <c r="O259" s="700"/>
      <c r="P259" s="707"/>
      <c r="Q259" s="721">
        <f>[1]Salaire!$H$126</f>
        <v>5804.7936147466653</v>
      </c>
      <c r="R259" s="700"/>
      <c r="S259" s="707"/>
      <c r="T259" s="721">
        <f>[1]Salaire!$I$126</f>
        <v>7002.8670184333323</v>
      </c>
      <c r="U259" s="700"/>
      <c r="V259" s="707"/>
      <c r="W259" s="721">
        <f>[1]Salaire!$J$126</f>
        <v>5804.7936147466653</v>
      </c>
      <c r="X259" s="700"/>
      <c r="Y259" s="707"/>
      <c r="Z259" s="721">
        <f>[1]Salaire!$K$126</f>
        <v>7002.8670184333323</v>
      </c>
      <c r="AA259" s="700"/>
      <c r="AB259" s="707"/>
      <c r="AC259" s="721">
        <f>[1]Salaire!$L$126</f>
        <v>5804.7936147466653</v>
      </c>
      <c r="AD259" s="700"/>
      <c r="AE259" s="707"/>
      <c r="AF259" s="721">
        <f>[1]Salaire!$M$126</f>
        <v>5804.7936147466653</v>
      </c>
      <c r="AG259" s="700"/>
      <c r="AH259" s="707"/>
      <c r="AI259" s="721">
        <f>[1]Salaire!$N$126</f>
        <v>7002.8670184333323</v>
      </c>
      <c r="AJ259" s="700"/>
      <c r="AK259" s="707"/>
      <c r="AL259" s="721">
        <f>[1]Salaire!$O$126</f>
        <v>5804.7936147466653</v>
      </c>
      <c r="AM259" s="700"/>
      <c r="AN259" s="707"/>
      <c r="AO259" s="721">
        <f>[1]Salaire!$P$126</f>
        <v>7002.8670184333323</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autres</v>
      </c>
      <c r="B260" s="1027" t="s">
        <v>122</v>
      </c>
      <c r="C260" s="1011"/>
      <c r="D260" s="1029"/>
      <c r="E260" s="1030">
        <f t="shared" si="44"/>
        <v>18.991666666666667</v>
      </c>
      <c r="F260" s="1011"/>
      <c r="G260" s="1029"/>
      <c r="H260" s="1031">
        <f>[1]Salaire!$E$181</f>
        <v>18.991666666666667</v>
      </c>
      <c r="I260" s="1011"/>
      <c r="J260" s="1029"/>
      <c r="K260" s="1031">
        <f>[1]Salaire!$F$181</f>
        <v>0</v>
      </c>
      <c r="L260" s="1011"/>
      <c r="M260" s="1029"/>
      <c r="N260" s="1031">
        <f>[1]Salaire!$G$181</f>
        <v>0</v>
      </c>
      <c r="O260" s="1011"/>
      <c r="P260" s="1029"/>
      <c r="Q260" s="1031">
        <f>[1]Salaire!$H$181</f>
        <v>0</v>
      </c>
      <c r="R260" s="1011"/>
      <c r="S260" s="1029"/>
      <c r="T260" s="1031">
        <f>[1]Salaire!$I$181</f>
        <v>0</v>
      </c>
      <c r="U260" s="1011"/>
      <c r="V260" s="1029"/>
      <c r="W260" s="1031">
        <f>[1]Salaire!$J$181</f>
        <v>0</v>
      </c>
      <c r="X260" s="1011"/>
      <c r="Y260" s="1029"/>
      <c r="Z260" s="1031">
        <f>[1]Salaire!$K$181</f>
        <v>0</v>
      </c>
      <c r="AA260" s="1011"/>
      <c r="AB260" s="1029"/>
      <c r="AC260" s="1031">
        <f>[1]Salaire!$L$181</f>
        <v>0</v>
      </c>
      <c r="AD260" s="1011"/>
      <c r="AE260" s="1029"/>
      <c r="AF260" s="1031">
        <f>[1]Salaire!$M$181</f>
        <v>0</v>
      </c>
      <c r="AG260" s="1011"/>
      <c r="AH260" s="1029"/>
      <c r="AI260" s="1031">
        <f>[1]Salaire!$N$181</f>
        <v>0</v>
      </c>
      <c r="AJ260" s="1011"/>
      <c r="AK260" s="1029"/>
      <c r="AL260" s="1031">
        <f>[1]Salaire!$O$181</f>
        <v>0</v>
      </c>
      <c r="AM260" s="1011"/>
      <c r="AN260" s="1029"/>
      <c r="AO260" s="1031">
        <f>[1]Salaire!$P$181</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43"/>
        <v>CarrosserieSalaires spécialistes</v>
      </c>
      <c r="B261" s="1027" t="s">
        <v>123</v>
      </c>
      <c r="C261" s="700"/>
      <c r="D261" s="707"/>
      <c r="E261" s="708">
        <f t="shared" si="44"/>
        <v>0</v>
      </c>
      <c r="F261" s="700"/>
      <c r="G261" s="707"/>
      <c r="H261" s="721">
        <f>[1]Salaire!$E$209</f>
        <v>0</v>
      </c>
      <c r="I261" s="700"/>
      <c r="J261" s="707"/>
      <c r="K261" s="721">
        <f>[1]Salaire!$F$209</f>
        <v>0</v>
      </c>
      <c r="L261" s="700"/>
      <c r="M261" s="707"/>
      <c r="N261" s="721">
        <f>[1]Salaire!$G$209</f>
        <v>0</v>
      </c>
      <c r="O261" s="700"/>
      <c r="P261" s="707"/>
      <c r="Q261" s="721">
        <f>[1]Salaire!$H209</f>
        <v>0</v>
      </c>
      <c r="R261" s="700"/>
      <c r="S261" s="707"/>
      <c r="T261" s="721">
        <f>[1]Salaire!$I$209</f>
        <v>0</v>
      </c>
      <c r="U261" s="700"/>
      <c r="V261" s="707"/>
      <c r="W261" s="721">
        <f>[1]Salaire!$J$209</f>
        <v>0</v>
      </c>
      <c r="X261" s="700"/>
      <c r="Y261" s="707"/>
      <c r="Z261" s="721">
        <f>[1]Salaire!$K$209</f>
        <v>0</v>
      </c>
      <c r="AA261" s="700"/>
      <c r="AB261" s="707"/>
      <c r="AC261" s="721">
        <f>[1]Salaire!$L$209</f>
        <v>0</v>
      </c>
      <c r="AD261" s="700"/>
      <c r="AE261" s="707"/>
      <c r="AF261" s="721">
        <f>[1]Salaire!$M$209</f>
        <v>0</v>
      </c>
      <c r="AG261" s="700"/>
      <c r="AH261" s="707"/>
      <c r="AI261" s="721">
        <f>[1]Salaire!$N$209</f>
        <v>0</v>
      </c>
      <c r="AJ261" s="700"/>
      <c r="AK261" s="707"/>
      <c r="AL261" s="721">
        <f>[1]Salaire!$O$209</f>
        <v>0</v>
      </c>
      <c r="AM261" s="700"/>
      <c r="AN261" s="707"/>
      <c r="AO261" s="721">
        <f>[1]Salaire!$P$209</f>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00" t="s">
        <v>59</v>
      </c>
      <c r="C262" s="700"/>
      <c r="D262" s="707"/>
      <c r="E262" s="708">
        <f t="shared" si="44"/>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00" t="s">
        <v>59</v>
      </c>
      <c r="C263" s="700"/>
      <c r="D263" s="707"/>
      <c r="E263" s="708">
        <f t="shared" si="44"/>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43"/>
        <v>Carrosserie[...]</v>
      </c>
      <c r="B264" s="700" t="s">
        <v>59</v>
      </c>
      <c r="C264" s="700"/>
      <c r="D264" s="707"/>
      <c r="E264" s="708">
        <f t="shared" si="44"/>
        <v>0</v>
      </c>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721"/>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CarrosserieSalaires en absences</v>
      </c>
      <c r="B265" s="1028" t="s">
        <v>124</v>
      </c>
      <c r="C265" s="700"/>
      <c r="D265" s="707"/>
      <c r="E265" s="708">
        <f t="shared" si="44"/>
        <v>8948.814249350371</v>
      </c>
      <c r="F265" s="700"/>
      <c r="G265" s="707"/>
      <c r="H265" s="721">
        <f>'[1]DAS-VAC'!$F$46</f>
        <v>713.1408287961824</v>
      </c>
      <c r="I265" s="700"/>
      <c r="J265" s="707"/>
      <c r="K265" s="721">
        <f>'[1]DAS-VAC'!$G$46</f>
        <v>695.88268087951576</v>
      </c>
      <c r="L265" s="700"/>
      <c r="M265" s="707"/>
      <c r="N265" s="721">
        <f>'[1]DAS-VAC'!$H$46</f>
        <v>695.88268087951576</v>
      </c>
      <c r="O265" s="700"/>
      <c r="P265" s="707"/>
      <c r="Q265" s="721">
        <f>'[1]DAS-VAC'!$I$46</f>
        <v>695.88268087951576</v>
      </c>
      <c r="R265" s="700"/>
      <c r="S265" s="707"/>
      <c r="T265" s="721">
        <f>'[1]DAS-VAC'!$J$46</f>
        <v>841.12366359939483</v>
      </c>
      <c r="U265" s="700"/>
      <c r="V265" s="707"/>
      <c r="W265" s="721">
        <f>'[1]DAS-VAC'!$K$46</f>
        <v>695.88268087951576</v>
      </c>
      <c r="X265" s="700"/>
      <c r="Y265" s="707"/>
      <c r="Z265" s="721">
        <f>'[1]DAS-VAC'!$L$46</f>
        <v>841.12366359939483</v>
      </c>
      <c r="AA265" s="700"/>
      <c r="AB265" s="707"/>
      <c r="AC265" s="721">
        <f>'[1]DAS-VAC'!$M$46</f>
        <v>695.88268087951576</v>
      </c>
      <c r="AD265" s="700"/>
      <c r="AE265" s="707"/>
      <c r="AF265" s="721">
        <f>'[1]DAS-VAC'!$N$46</f>
        <v>695.88268087951576</v>
      </c>
      <c r="AG265" s="700"/>
      <c r="AH265" s="707"/>
      <c r="AI265" s="721">
        <f>'[1]DAS-VAC'!$O$46</f>
        <v>841.12366359939483</v>
      </c>
      <c r="AJ265" s="700"/>
      <c r="AK265" s="707"/>
      <c r="AL265" s="721">
        <f>'[1]DAS-VAC'!$P$46</f>
        <v>695.88268087951576</v>
      </c>
      <c r="AM265" s="700"/>
      <c r="AN265" s="707"/>
      <c r="AO265" s="721">
        <f>'[1]DAS-VAC'!$Q$46</f>
        <v>841.12366359939483</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CarrosserieDéduction à la source</v>
      </c>
      <c r="B266" s="1027" t="s">
        <v>125</v>
      </c>
      <c r="C266" s="1011"/>
      <c r="D266" s="1029"/>
      <c r="E266" s="1030">
        <f t="shared" si="44"/>
        <v>10880.496620355521</v>
      </c>
      <c r="F266" s="1011"/>
      <c r="G266" s="1029"/>
      <c r="H266" s="1031">
        <f>'[1]DAS-VAC'!$F$54</f>
        <v>867.07871695042445</v>
      </c>
      <c r="I266" s="1011"/>
      <c r="J266" s="1029"/>
      <c r="K266" s="1031">
        <f>'[1]DAS-VAC'!$G$54</f>
        <v>846.09524195042445</v>
      </c>
      <c r="L266" s="1011"/>
      <c r="M266" s="1029"/>
      <c r="N266" s="1031">
        <f>'[1]DAS-VAC'!$H$54</f>
        <v>846.09524195042445</v>
      </c>
      <c r="O266" s="1011"/>
      <c r="P266" s="1029"/>
      <c r="Q266" s="1031">
        <f>'[1]DAS-VAC'!$I$54</f>
        <v>846.09524195042445</v>
      </c>
      <c r="R266" s="1011"/>
      <c r="S266" s="1029"/>
      <c r="T266" s="1031">
        <f>'[1]DAS-VAC'!$J$54</f>
        <v>1022.6878024380308</v>
      </c>
      <c r="U266" s="1011"/>
      <c r="V266" s="1029"/>
      <c r="W266" s="1031">
        <f>'[1]DAS-VAC'!$K$54</f>
        <v>846.09524195042445</v>
      </c>
      <c r="X266" s="1011"/>
      <c r="Y266" s="1029"/>
      <c r="Z266" s="1031">
        <f>'[1]DAS-VAC'!$L$54</f>
        <v>1022.6878024380308</v>
      </c>
      <c r="AA266" s="1011"/>
      <c r="AB266" s="1029"/>
      <c r="AC266" s="1031">
        <f>'[1]DAS-VAC'!$M$54</f>
        <v>846.09524195042445</v>
      </c>
      <c r="AD266" s="1011"/>
      <c r="AE266" s="1029"/>
      <c r="AF266" s="1031">
        <f>'[1]DAS-VAC'!$N$54</f>
        <v>846.09524195042445</v>
      </c>
      <c r="AG266" s="1011"/>
      <c r="AH266" s="1029"/>
      <c r="AI266" s="1031">
        <f>'[1]DAS-VAC'!$O$54</f>
        <v>1022.6878024380308</v>
      </c>
      <c r="AJ266" s="1011"/>
      <c r="AK266" s="1029"/>
      <c r="AL266" s="1031">
        <f>'[1]DAS-VAC'!$P$54</f>
        <v>846.09524195042445</v>
      </c>
      <c r="AM266" s="1011"/>
      <c r="AN266" s="1029"/>
      <c r="AO266" s="1031">
        <f>'[1]DAS-VAC'!$Q$54</f>
        <v>1022.6878024380308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CarrosserieBénéfices marginaux</v>
      </c>
      <c r="B267" s="1032" t="s">
        <v>126</v>
      </c>
      <c r="C267" s="700"/>
      <c r="D267" s="707"/>
      <c r="E267" s="708">
        <f t="shared" si="44"/>
        <v>5605.8210848353428</v>
      </c>
      <c r="F267" s="700"/>
      <c r="G267" s="707"/>
      <c r="H267" s="721">
        <f>'[1]DAS-VAC'!$F$62</f>
        <v>446.73403460271862</v>
      </c>
      <c r="I267" s="700"/>
      <c r="J267" s="707"/>
      <c r="K267" s="721">
        <f>'[1]DAS-VAC'!$G$62</f>
        <v>435.92298335271863</v>
      </c>
      <c r="L267" s="700"/>
      <c r="M267" s="707"/>
      <c r="N267" s="721">
        <f>'[1]DAS-VAC'!$H$62</f>
        <v>435.92298335271863</v>
      </c>
      <c r="O267" s="700"/>
      <c r="P267" s="707"/>
      <c r="Q267" s="721">
        <f>'[1]DAS-VAC'!$I$62</f>
        <v>435.92298335271863</v>
      </c>
      <c r="R267" s="700"/>
      <c r="S267" s="707"/>
      <c r="T267" s="721">
        <f>'[1]DAS-VAC'!$J$62</f>
        <v>526.90654169089839</v>
      </c>
      <c r="U267" s="700"/>
      <c r="V267" s="707"/>
      <c r="W267" s="721">
        <f>'[1]DAS-VAC'!$K$62</f>
        <v>435.92298335271863</v>
      </c>
      <c r="X267" s="700"/>
      <c r="Y267" s="707"/>
      <c r="Z267" s="721">
        <f>'[1]DAS-VAC'!$L$62</f>
        <v>526.90654169089839</v>
      </c>
      <c r="AA267" s="700"/>
      <c r="AB267" s="707"/>
      <c r="AC267" s="721">
        <f>'[1]DAS-VAC'!$M$62</f>
        <v>435.92298335271863</v>
      </c>
      <c r="AD267" s="700"/>
      <c r="AE267" s="707"/>
      <c r="AF267" s="721">
        <f>'[1]DAS-VAC'!$N$62</f>
        <v>435.92298335271863</v>
      </c>
      <c r="AG267" s="700"/>
      <c r="AH267" s="707"/>
      <c r="AI267" s="721">
        <f>'[1]DAS-VAC'!$O$62</f>
        <v>526.90654169089839</v>
      </c>
      <c r="AJ267" s="700"/>
      <c r="AK267" s="707"/>
      <c r="AL267" s="721">
        <f>'[1]DAS-VAC'!$P$62</f>
        <v>435.92298335271863</v>
      </c>
      <c r="AM267" s="700"/>
      <c r="AN267" s="707"/>
      <c r="AO267" s="721">
        <f>'[1]DAS-VAC'!$Q$62</f>
        <v>526.90654169089839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3"/>
        <v>CarrosserieCsst</v>
      </c>
      <c r="B268" s="1027" t="s">
        <v>127</v>
      </c>
      <c r="C268" s="700"/>
      <c r="D268" s="707"/>
      <c r="E268" s="708">
        <f t="shared" si="44"/>
        <v>2444.169530659573</v>
      </c>
      <c r="F268" s="700"/>
      <c r="G268" s="707"/>
      <c r="H268" s="721">
        <f>'[1]DAS-VAC'!$F$70</f>
        <v>194.77855235842867</v>
      </c>
      <c r="I268" s="700"/>
      <c r="J268" s="707"/>
      <c r="K268" s="721">
        <f>'[1]DAS-VAC'!$G$70</f>
        <v>190.06487319176199</v>
      </c>
      <c r="L268" s="700"/>
      <c r="M268" s="707"/>
      <c r="N268" s="721">
        <f>'[1]DAS-VAC'!$H$70</f>
        <v>190.06487319176199</v>
      </c>
      <c r="O268" s="700"/>
      <c r="P268" s="707"/>
      <c r="Q268" s="721">
        <f>'[1]DAS-VAC'!$I$70</f>
        <v>190.06487319176199</v>
      </c>
      <c r="R268" s="700"/>
      <c r="S268" s="707"/>
      <c r="T268" s="721">
        <f>'[1]DAS-VAC'!$J$70</f>
        <v>229.73421648970253</v>
      </c>
      <c r="U268" s="700"/>
      <c r="V268" s="707"/>
      <c r="W268" s="721">
        <f>'[1]DAS-VAC'!$K$70</f>
        <v>190.06487319176199</v>
      </c>
      <c r="X268" s="700"/>
      <c r="Y268" s="707"/>
      <c r="Z268" s="721">
        <f>'[1]DAS-VAC'!$L$70</f>
        <v>229.73421648970253</v>
      </c>
      <c r="AA268" s="700"/>
      <c r="AB268" s="707"/>
      <c r="AC268" s="721">
        <f>'[1]DAS-VAC'!$M$70</f>
        <v>190.06487319176199</v>
      </c>
      <c r="AD268" s="700"/>
      <c r="AE268" s="707"/>
      <c r="AF268" s="721">
        <f>'[1]DAS-VAC'!$N$70</f>
        <v>190.06487319176199</v>
      </c>
      <c r="AG268" s="700"/>
      <c r="AH268" s="707"/>
      <c r="AI268" s="721">
        <f>'[1]DAS-VAC'!$O$70</f>
        <v>229.73421648970253</v>
      </c>
      <c r="AJ268" s="700"/>
      <c r="AK268" s="707"/>
      <c r="AL268" s="721">
        <f>'[1]DAS-VAC'!$P$70</f>
        <v>190.06487319176199</v>
      </c>
      <c r="AM268" s="700"/>
      <c r="AN268" s="707"/>
      <c r="AO268" s="721">
        <f>'[1]DAS-VAC'!$Q$70</f>
        <v>229.73421648970253</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43"/>
        <v>Carrosserie[...]</v>
      </c>
      <c r="B269" s="700" t="s">
        <v>59</v>
      </c>
      <c r="C269" s="726"/>
      <c r="D269" s="727"/>
      <c r="E269" s="724">
        <f t="shared" si="4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CarrosserieTOTAL PERSONNEL</v>
      </c>
      <c r="B270" s="1023" t="s">
        <v>128</v>
      </c>
      <c r="C270" s="1024" t="s">
        <v>119</v>
      </c>
      <c r="D270" s="1025">
        <f>IFERROR(E270/E$254,0)</f>
        <v>0.59306234168735039</v>
      </c>
      <c r="E270" s="1026">
        <f>+SUM(E258:E269)</f>
        <v>102481.17264357414</v>
      </c>
      <c r="F270" s="1024" t="s">
        <v>119</v>
      </c>
      <c r="G270" s="1025">
        <f>IFERROR(H270/H$248,0)</f>
        <v>0</v>
      </c>
      <c r="H270" s="1026">
        <f>+SUM(H258:H269)</f>
        <v>8178.5799141210864</v>
      </c>
      <c r="I270" s="1024" t="s">
        <v>119</v>
      </c>
      <c r="J270" s="1025">
        <f>IFERROR(K270/K$248,0)</f>
        <v>0</v>
      </c>
      <c r="K270" s="1026">
        <f>+SUM(K258:K269)</f>
        <v>7972.7593941210862</v>
      </c>
      <c r="L270" s="1024" t="s">
        <v>119</v>
      </c>
      <c r="M270" s="1025">
        <f>IFERROR(N270/N$248,0)</f>
        <v>0</v>
      </c>
      <c r="N270" s="1026">
        <f>+SUM(N258:N269)</f>
        <v>7972.7593941210862</v>
      </c>
      <c r="O270" s="1024" t="s">
        <v>119</v>
      </c>
      <c r="P270" s="1025">
        <f>IFERROR(Q270/Q$248,0)</f>
        <v>0</v>
      </c>
      <c r="Q270" s="1026">
        <f>+SUM(Q258:Q269)</f>
        <v>7972.7593941210862</v>
      </c>
      <c r="R270" s="1024" t="s">
        <v>119</v>
      </c>
      <c r="S270" s="1025">
        <f>IFERROR(T270/T$248,0)</f>
        <v>0</v>
      </c>
      <c r="T270" s="1026">
        <f>+SUM(T258:T269)</f>
        <v>9623.3192426513579</v>
      </c>
      <c r="U270" s="1024" t="s">
        <v>119</v>
      </c>
      <c r="V270" s="1025">
        <f>IFERROR(W270/W$248,0)</f>
        <v>0</v>
      </c>
      <c r="W270" s="1026">
        <f>+SUM(W258:W269)</f>
        <v>7972.7593941210862</v>
      </c>
      <c r="X270" s="1024" t="s">
        <v>119</v>
      </c>
      <c r="Y270" s="1025">
        <f>IFERROR(Z270/Z$248,0)</f>
        <v>0</v>
      </c>
      <c r="Z270" s="1026">
        <f>+SUM(Z258:Z269)</f>
        <v>9623.3192426513579</v>
      </c>
      <c r="AA270" s="1024" t="s">
        <v>119</v>
      </c>
      <c r="AB270" s="1025">
        <f>IFERROR(AC270/AC$248,0)</f>
        <v>0</v>
      </c>
      <c r="AC270" s="1026">
        <f>+SUM(AC258:AC269)</f>
        <v>7972.7593941210862</v>
      </c>
      <c r="AD270" s="1024" t="s">
        <v>119</v>
      </c>
      <c r="AE270" s="1025">
        <f>IFERROR(AF270/AF$248,0)</f>
        <v>0</v>
      </c>
      <c r="AF270" s="1026">
        <f>+SUM(AF258:AF269)</f>
        <v>7972.7593941210862</v>
      </c>
      <c r="AG270" s="1024" t="s">
        <v>119</v>
      </c>
      <c r="AH270" s="1025">
        <f>IFERROR(AI270/AI$248,0)</f>
        <v>0</v>
      </c>
      <c r="AI270" s="1026">
        <f>+SUM(AI258:AI269)</f>
        <v>9623.3192426513579</v>
      </c>
      <c r="AJ270" s="1024" t="s">
        <v>119</v>
      </c>
      <c r="AK270" s="1025">
        <f>IFERROR(AL270/AL$248,0)</f>
        <v>0</v>
      </c>
      <c r="AL270" s="1026">
        <f>+SUM(AL258:AL269)</f>
        <v>7972.7593941210862</v>
      </c>
      <c r="AM270" s="1024" t="s">
        <v>119</v>
      </c>
      <c r="AN270" s="1025">
        <f>IFERROR(AO270/AO$248,0)</f>
        <v>0</v>
      </c>
      <c r="AO270" s="1026">
        <f>+SUM(AO258:AO269)</f>
        <v>9623.3192426513579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CarrosseriePublicité 2</v>
      </c>
      <c r="B271" s="1066" t="s">
        <v>129</v>
      </c>
      <c r="C271" s="700"/>
      <c r="D271" s="707"/>
      <c r="E271" s="708">
        <f t="shared" ref="E271:E288" si="45">+SUM(H271,K271,N271,Q271,T271,W271,Z271,AC271,AF271,AI271,AL271,AO271)</f>
        <v>0</v>
      </c>
      <c r="F271" s="700"/>
      <c r="G271" s="707"/>
      <c r="H271" s="721">
        <f>[1]DEPA!$C$9</f>
        <v>0</v>
      </c>
      <c r="I271" s="700"/>
      <c r="J271" s="707"/>
      <c r="K271" s="721">
        <f>[1]DEPA!$D$9</f>
        <v>0</v>
      </c>
      <c r="L271" s="700"/>
      <c r="M271" s="707"/>
      <c r="N271" s="721">
        <f>[1]DEPA!$E$9</f>
        <v>0</v>
      </c>
      <c r="O271" s="700"/>
      <c r="P271" s="707"/>
      <c r="Q271" s="721">
        <f>[1]DEPA!$F$9</f>
        <v>0</v>
      </c>
      <c r="R271" s="700"/>
      <c r="S271" s="707"/>
      <c r="T271" s="721">
        <f>[1]DEPA!$G$9</f>
        <v>0</v>
      </c>
      <c r="U271" s="700"/>
      <c r="V271" s="707"/>
      <c r="W271" s="721">
        <f>[1]DEPA!$H$9</f>
        <v>0</v>
      </c>
      <c r="X271" s="700"/>
      <c r="Y271" s="707"/>
      <c r="Z271" s="721">
        <f>[1]DEPA!$I$9</f>
        <v>0</v>
      </c>
      <c r="AA271" s="700"/>
      <c r="AB271" s="707"/>
      <c r="AC271" s="721">
        <f>[1]DEPA!$J$9</f>
        <v>0</v>
      </c>
      <c r="AD271" s="700"/>
      <c r="AE271" s="707"/>
      <c r="AF271" s="721">
        <f>[1]DEPA!$K$9</f>
        <v>0</v>
      </c>
      <c r="AG271" s="700"/>
      <c r="AH271" s="707"/>
      <c r="AI271" s="721">
        <f>[1]DEPA!$L$9</f>
        <v>0</v>
      </c>
      <c r="AJ271" s="700"/>
      <c r="AK271" s="707"/>
      <c r="AL271" s="721">
        <f>[1]DEPA!$M$9</f>
        <v>0</v>
      </c>
      <c r="AM271" s="700"/>
      <c r="AN271" s="707"/>
      <c r="AO271" s="721">
        <f>[1]DEPA!$N$9</f>
        <v>0</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CarrosserieService gratuit 2</v>
      </c>
      <c r="B272" s="1027" t="s">
        <v>130</v>
      </c>
      <c r="C272" s="700"/>
      <c r="D272" s="707"/>
      <c r="E272" s="708">
        <f t="shared" si="45"/>
        <v>6740.1357753668517</v>
      </c>
      <c r="F272" s="700"/>
      <c r="G272" s="707"/>
      <c r="H272" s="721">
        <f>[1]DEPA!$C$35</f>
        <v>561.67798128057109</v>
      </c>
      <c r="I272" s="700"/>
      <c r="J272" s="707"/>
      <c r="K272" s="721">
        <f>[1]DEPA!$D$35</f>
        <v>561.67798128057109</v>
      </c>
      <c r="L272" s="700"/>
      <c r="M272" s="707"/>
      <c r="N272" s="721">
        <f>[1]DEPA!$E$35</f>
        <v>561.67798128057109</v>
      </c>
      <c r="O272" s="700"/>
      <c r="P272" s="707"/>
      <c r="Q272" s="721">
        <f>[1]DEPA!$F$35</f>
        <v>561.67798128057109</v>
      </c>
      <c r="R272" s="700"/>
      <c r="S272" s="707"/>
      <c r="T272" s="721">
        <f>[1]DEPA!$G$35</f>
        <v>561.67798128057109</v>
      </c>
      <c r="U272" s="700"/>
      <c r="V272" s="707"/>
      <c r="W272" s="721">
        <f>[1]DEPA!$H$35</f>
        <v>561.67798128057109</v>
      </c>
      <c r="X272" s="700"/>
      <c r="Y272" s="707"/>
      <c r="Z272" s="721">
        <f>[1]DEPA!$I$35</f>
        <v>561.67798128057109</v>
      </c>
      <c r="AA272" s="700"/>
      <c r="AB272" s="707"/>
      <c r="AC272" s="721">
        <f>[1]DEPA!$J$35</f>
        <v>561.67798128057109</v>
      </c>
      <c r="AD272" s="700"/>
      <c r="AE272" s="707"/>
      <c r="AF272" s="721">
        <f>[1]DEPA!$K$35</f>
        <v>561.67798128057109</v>
      </c>
      <c r="AG272" s="700"/>
      <c r="AH272" s="707"/>
      <c r="AI272" s="721">
        <f>[1]DEPA!$L$35</f>
        <v>561.67798128057109</v>
      </c>
      <c r="AJ272" s="700"/>
      <c r="AK272" s="707"/>
      <c r="AL272" s="721">
        <f>[1]DEPA!$M$35</f>
        <v>561.67798128057109</v>
      </c>
      <c r="AM272" s="700"/>
      <c r="AN272" s="707"/>
      <c r="AO272" s="721">
        <f>[1]DEPA!$N$35</f>
        <v>561.67798128057109</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CarrosserieFrais véhicules de cie</v>
      </c>
      <c r="B273" s="1028" t="s">
        <v>131</v>
      </c>
      <c r="C273" s="726"/>
      <c r="D273" s="727"/>
      <c r="E273" s="724">
        <f t="shared" si="45"/>
        <v>1494.0432000000001</v>
      </c>
      <c r="F273" s="726"/>
      <c r="G273" s="727"/>
      <c r="H273" s="725">
        <f>[1]DEPA!$C$44</f>
        <v>124.50360000000001</v>
      </c>
      <c r="I273" s="726"/>
      <c r="J273" s="727"/>
      <c r="K273" s="725">
        <f>[1]DEPA!$D$44</f>
        <v>124.50360000000001</v>
      </c>
      <c r="L273" s="726"/>
      <c r="M273" s="727"/>
      <c r="N273" s="725">
        <f>[1]DEPA!$E$44</f>
        <v>124.50360000000001</v>
      </c>
      <c r="O273" s="726"/>
      <c r="P273" s="727"/>
      <c r="Q273" s="725">
        <f>[1]DEPA!$F$44</f>
        <v>124.50360000000001</v>
      </c>
      <c r="R273" s="726"/>
      <c r="S273" s="727"/>
      <c r="T273" s="725">
        <f>[1]DEPA!$G$44</f>
        <v>124.50360000000001</v>
      </c>
      <c r="U273" s="726"/>
      <c r="V273" s="727"/>
      <c r="W273" s="725">
        <f>[1]DEPA!$H$44</f>
        <v>124.50360000000001</v>
      </c>
      <c r="X273" s="726"/>
      <c r="Y273" s="727"/>
      <c r="Z273" s="725">
        <f>[1]DEPA!$I$44</f>
        <v>124.50360000000001</v>
      </c>
      <c r="AA273" s="726"/>
      <c r="AB273" s="727"/>
      <c r="AC273" s="725">
        <f>[1]DEPA!$J$44</f>
        <v>124.50360000000001</v>
      </c>
      <c r="AD273" s="726"/>
      <c r="AE273" s="727"/>
      <c r="AF273" s="725">
        <f>[1]DEPA!$K$44</f>
        <v>124.50360000000001</v>
      </c>
      <c r="AG273" s="726"/>
      <c r="AH273" s="727"/>
      <c r="AI273" s="725">
        <f>[1]DEPA!$L$44</f>
        <v>124.50360000000001</v>
      </c>
      <c r="AJ273" s="726"/>
      <c r="AK273" s="727"/>
      <c r="AL273" s="725">
        <f>[1]DEPA!$M$44</f>
        <v>124.50360000000001</v>
      </c>
      <c r="AM273" s="726"/>
      <c r="AN273" s="727"/>
      <c r="AO273" s="725">
        <f>[1]DEPA!$N$44</f>
        <v>124.50360000000001</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CarrosserieInformatique</v>
      </c>
      <c r="B274" s="1027" t="s">
        <v>132</v>
      </c>
      <c r="C274" s="700"/>
      <c r="D274" s="707"/>
      <c r="E274" s="708">
        <f t="shared" si="45"/>
        <v>21046.5</v>
      </c>
      <c r="F274" s="700"/>
      <c r="G274" s="707"/>
      <c r="H274" s="721">
        <f>[1]DEPA!$C$58</f>
        <v>2456.5</v>
      </c>
      <c r="I274" s="700"/>
      <c r="J274" s="707"/>
      <c r="K274" s="721">
        <f>[1]DEPA!$D$58</f>
        <v>1690</v>
      </c>
      <c r="L274" s="700"/>
      <c r="M274" s="707"/>
      <c r="N274" s="721">
        <f>[1]DEPA!$E$58</f>
        <v>1690</v>
      </c>
      <c r="O274" s="700"/>
      <c r="P274" s="707"/>
      <c r="Q274" s="721">
        <f>[1]DEPA!$F$58</f>
        <v>1690</v>
      </c>
      <c r="R274" s="700"/>
      <c r="S274" s="707"/>
      <c r="T274" s="721">
        <f>[1]DEPA!$G$58</f>
        <v>1690</v>
      </c>
      <c r="U274" s="700"/>
      <c r="V274" s="707"/>
      <c r="W274" s="721">
        <f>[1]DEPA!$H$58</f>
        <v>1690</v>
      </c>
      <c r="X274" s="700"/>
      <c r="Y274" s="707"/>
      <c r="Z274" s="721">
        <f>[1]DEPA!$I$58</f>
        <v>1690</v>
      </c>
      <c r="AA274" s="700"/>
      <c r="AB274" s="707"/>
      <c r="AC274" s="721">
        <f>[1]DEPA!$J$58</f>
        <v>1690</v>
      </c>
      <c r="AD274" s="700"/>
      <c r="AE274" s="707"/>
      <c r="AF274" s="721">
        <f>[1]DEPA!$K$58</f>
        <v>1690</v>
      </c>
      <c r="AG274" s="700"/>
      <c r="AH274" s="707"/>
      <c r="AI274" s="721">
        <f>[1]DEPA!$L$58</f>
        <v>1690</v>
      </c>
      <c r="AJ274" s="700"/>
      <c r="AK274" s="707"/>
      <c r="AL274" s="721">
        <f>[1]DEPA!$M$58</f>
        <v>1690</v>
      </c>
      <c r="AM274" s="700"/>
      <c r="AN274" s="707"/>
      <c r="AO274" s="721">
        <f>[1]DEPA!$N$58</f>
        <v>1690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CarrosserieFrais de déplacement</v>
      </c>
      <c r="B275" s="1027" t="s">
        <v>133</v>
      </c>
      <c r="C275" s="700"/>
      <c r="D275" s="707"/>
      <c r="E275" s="708">
        <f t="shared" si="45"/>
        <v>3000</v>
      </c>
      <c r="F275" s="700"/>
      <c r="G275" s="707"/>
      <c r="H275" s="721">
        <f>[1]DEPA!$C$78</f>
        <v>250</v>
      </c>
      <c r="I275" s="700"/>
      <c r="J275" s="707"/>
      <c r="K275" s="721">
        <f>[1]DEPA!$D$78</f>
        <v>250</v>
      </c>
      <c r="L275" s="700"/>
      <c r="M275" s="707"/>
      <c r="N275" s="721">
        <f>[1]DEPA!$E$78</f>
        <v>250</v>
      </c>
      <c r="O275" s="700"/>
      <c r="P275" s="707"/>
      <c r="Q275" s="721">
        <f>[1]DEPA!$F$78</f>
        <v>250</v>
      </c>
      <c r="R275" s="700"/>
      <c r="S275" s="707"/>
      <c r="T275" s="721">
        <f>[1]DEPA!$G$78</f>
        <v>250</v>
      </c>
      <c r="U275" s="700"/>
      <c r="V275" s="707"/>
      <c r="W275" s="721">
        <f>[1]DEPA!$H$78</f>
        <v>250</v>
      </c>
      <c r="X275" s="700"/>
      <c r="Y275" s="707"/>
      <c r="Z275" s="721">
        <f>[1]DEPA!$I$78</f>
        <v>250</v>
      </c>
      <c r="AA275" s="700"/>
      <c r="AB275" s="707"/>
      <c r="AC275" s="721">
        <f>[1]DEPA!$J$78</f>
        <v>250</v>
      </c>
      <c r="AD275" s="700"/>
      <c r="AE275" s="707"/>
      <c r="AF275" s="721">
        <f>[1]DEPA!$K$78</f>
        <v>250</v>
      </c>
      <c r="AG275" s="700"/>
      <c r="AH275" s="707"/>
      <c r="AI275" s="721">
        <f>[1]DEPA!$L$78</f>
        <v>250</v>
      </c>
      <c r="AJ275" s="700"/>
      <c r="AK275" s="707"/>
      <c r="AL275" s="721">
        <f>[1]DEPA!$M$78</f>
        <v>250</v>
      </c>
      <c r="AM275" s="700"/>
      <c r="AN275" s="707"/>
      <c r="AO275" s="721">
        <f>[1]DEPA!$N$78</f>
        <v>250</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CarrosserieServices extérieurs</v>
      </c>
      <c r="B276" s="1028" t="s">
        <v>134</v>
      </c>
      <c r="C276" s="726"/>
      <c r="D276" s="727"/>
      <c r="E276" s="724">
        <f t="shared" si="45"/>
        <v>12116.440000000002</v>
      </c>
      <c r="F276" s="726"/>
      <c r="G276" s="727"/>
      <c r="H276" s="725">
        <f>[1]DEPA!$C$87</f>
        <v>1213.8700000000001</v>
      </c>
      <c r="I276" s="726"/>
      <c r="J276" s="727"/>
      <c r="K276" s="725">
        <f>[1]DEPA!$D$87</f>
        <v>898.87000000000012</v>
      </c>
      <c r="L276" s="726"/>
      <c r="M276" s="727"/>
      <c r="N276" s="725">
        <f>[1]DEPA!$E$87</f>
        <v>793.87000000000012</v>
      </c>
      <c r="O276" s="726"/>
      <c r="P276" s="727"/>
      <c r="Q276" s="725">
        <f>[1]DEPA!$F$87</f>
        <v>793.87000000000012</v>
      </c>
      <c r="R276" s="726"/>
      <c r="S276" s="727"/>
      <c r="T276" s="725">
        <f>[1]DEPA!$G$87</f>
        <v>793.87000000000012</v>
      </c>
      <c r="U276" s="726"/>
      <c r="V276" s="727"/>
      <c r="W276" s="725">
        <f>[1]DEPA!$H$87</f>
        <v>1073.8700000000001</v>
      </c>
      <c r="X276" s="726"/>
      <c r="Y276" s="727"/>
      <c r="Z276" s="725">
        <f>[1]DEPA!$I$87</f>
        <v>793.87000000000012</v>
      </c>
      <c r="AA276" s="726"/>
      <c r="AB276" s="727"/>
      <c r="AC276" s="725">
        <f>[1]DEPA!$J$87</f>
        <v>793.87000000000012</v>
      </c>
      <c r="AD276" s="726"/>
      <c r="AE276" s="727"/>
      <c r="AF276" s="725">
        <f>[1]DEPA!$K$87</f>
        <v>793.87000000000012</v>
      </c>
      <c r="AG276" s="726"/>
      <c r="AH276" s="727"/>
      <c r="AI276" s="725">
        <f>[1]DEPA!$L$87</f>
        <v>1003.8700000000001</v>
      </c>
      <c r="AJ276" s="726"/>
      <c r="AK276" s="727"/>
      <c r="AL276" s="725">
        <f>[1]DEPA!$M$87</f>
        <v>1213.8700000000001</v>
      </c>
      <c r="AM276" s="726"/>
      <c r="AN276" s="727"/>
      <c r="AO276" s="725">
        <f>[1]DEPA!$N$87</f>
        <v>1948.8700000000001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43"/>
        <v>CarrosserieFournitures d'atelier</v>
      </c>
      <c r="B277" s="1027" t="s">
        <v>489</v>
      </c>
      <c r="C277" s="700"/>
      <c r="D277" s="707"/>
      <c r="E277" s="708"/>
      <c r="F277" s="700"/>
      <c r="G277" s="707"/>
      <c r="H277" s="721"/>
      <c r="I277" s="700"/>
      <c r="J277" s="707"/>
      <c r="K277" s="721"/>
      <c r="L277" s="700"/>
      <c r="M277" s="707"/>
      <c r="N277" s="721"/>
      <c r="O277" s="700"/>
      <c r="P277" s="707"/>
      <c r="Q277" s="721"/>
      <c r="R277" s="700"/>
      <c r="S277" s="707"/>
      <c r="T277" s="721"/>
      <c r="U277" s="700"/>
      <c r="V277" s="707"/>
      <c r="W277" s="721"/>
      <c r="X277" s="700"/>
      <c r="Y277" s="707"/>
      <c r="Z277" s="721"/>
      <c r="AA277" s="700"/>
      <c r="AB277" s="707"/>
      <c r="AC277" s="721"/>
      <c r="AD277" s="700"/>
      <c r="AE277" s="707"/>
      <c r="AF277" s="721"/>
      <c r="AG277" s="700"/>
      <c r="AH277" s="707"/>
      <c r="AI277" s="721"/>
      <c r="AJ277" s="700"/>
      <c r="AK277" s="707"/>
      <c r="AL277" s="721"/>
      <c r="AM277" s="700"/>
      <c r="AN277" s="707"/>
      <c r="AO277" s="721"/>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ref="A278:A293" si="46">+$C$240&amp;B278</f>
        <v>CarrosserieFournitures autres</v>
      </c>
      <c r="B278" s="1027" t="s">
        <v>135</v>
      </c>
      <c r="C278" s="700"/>
      <c r="D278" s="707"/>
      <c r="E278" s="708">
        <f t="shared" si="45"/>
        <v>0</v>
      </c>
      <c r="F278" s="700"/>
      <c r="G278" s="707"/>
      <c r="H278" s="721">
        <f>[1]DEPA!$C$116</f>
        <v>0</v>
      </c>
      <c r="I278" s="700"/>
      <c r="J278" s="707"/>
      <c r="K278" s="721">
        <f>[1]DEPA!$D$116</f>
        <v>0</v>
      </c>
      <c r="L278" s="700"/>
      <c r="M278" s="707"/>
      <c r="N278" s="721">
        <f>[1]DEPA!$E$116</f>
        <v>0</v>
      </c>
      <c r="O278" s="700"/>
      <c r="P278" s="707"/>
      <c r="Q278" s="721">
        <f>[1]DEPA!$F$116</f>
        <v>0</v>
      </c>
      <c r="R278" s="700"/>
      <c r="S278" s="707"/>
      <c r="T278" s="721">
        <f>[1]DEPA!$G$116</f>
        <v>0</v>
      </c>
      <c r="U278" s="700"/>
      <c r="V278" s="707"/>
      <c r="W278" s="721">
        <f>[1]DEPA!$H$116</f>
        <v>0</v>
      </c>
      <c r="X278" s="700"/>
      <c r="Y278" s="707"/>
      <c r="Z278" s="721">
        <f>[1]DEPA!$I$116</f>
        <v>0</v>
      </c>
      <c r="AA278" s="700"/>
      <c r="AB278" s="707"/>
      <c r="AC278" s="721">
        <f>[1]DEPA!$J$116</f>
        <v>0</v>
      </c>
      <c r="AD278" s="700"/>
      <c r="AE278" s="707"/>
      <c r="AF278" s="721">
        <f>[1]DEPA!$K$116</f>
        <v>0</v>
      </c>
      <c r="AG278" s="700"/>
      <c r="AH278" s="707"/>
      <c r="AI278" s="721">
        <f>[1]DEPA!$L$116</f>
        <v>0</v>
      </c>
      <c r="AJ278" s="700"/>
      <c r="AK278" s="707"/>
      <c r="AL278" s="721">
        <f>[1]DEPA!$M$116</f>
        <v>0</v>
      </c>
      <c r="AM278" s="700"/>
      <c r="AN278" s="707"/>
      <c r="AO278" s="721">
        <f>[1]DEPA!$N$116</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CarrosserieUniformes</v>
      </c>
      <c r="B279" s="1027" t="s">
        <v>136</v>
      </c>
      <c r="C279" s="700"/>
      <c r="D279" s="707"/>
      <c r="E279" s="708">
        <f t="shared" si="45"/>
        <v>0</v>
      </c>
      <c r="F279" s="700"/>
      <c r="G279" s="707"/>
      <c r="H279" s="721">
        <f>[1]DEPA!$C$125</f>
        <v>0</v>
      </c>
      <c r="I279" s="700"/>
      <c r="J279" s="707"/>
      <c r="K279" s="721">
        <f>[1]DEPA!$D$125</f>
        <v>0</v>
      </c>
      <c r="L279" s="700"/>
      <c r="M279" s="707"/>
      <c r="N279" s="721">
        <f>[1]DEPA!$E$125</f>
        <v>0</v>
      </c>
      <c r="O279" s="700"/>
      <c r="P279" s="707"/>
      <c r="Q279" s="721">
        <f>[1]DEPA!$F$125</f>
        <v>0</v>
      </c>
      <c r="R279" s="700"/>
      <c r="S279" s="707"/>
      <c r="T279" s="721">
        <f>[1]DEPA!$G$125</f>
        <v>0</v>
      </c>
      <c r="U279" s="700"/>
      <c r="V279" s="707"/>
      <c r="W279" s="721">
        <f>[1]DEPA!$H$125</f>
        <v>0</v>
      </c>
      <c r="X279" s="700"/>
      <c r="Y279" s="707"/>
      <c r="Z279" s="721">
        <f>[1]DEPA!$I$125</f>
        <v>0</v>
      </c>
      <c r="AA279" s="700"/>
      <c r="AB279" s="707"/>
      <c r="AC279" s="721">
        <f>[1]DEPA!$J$125</f>
        <v>0</v>
      </c>
      <c r="AD279" s="700"/>
      <c r="AE279" s="707"/>
      <c r="AF279" s="721">
        <f>[1]DEPA!$K$125</f>
        <v>0</v>
      </c>
      <c r="AG279" s="700"/>
      <c r="AH279" s="707"/>
      <c r="AI279" s="721">
        <f>[1]DEPA!$L$125</f>
        <v>0</v>
      </c>
      <c r="AJ279" s="700"/>
      <c r="AK279" s="707"/>
      <c r="AL279" s="721">
        <f>[1]DEPA!$M$125</f>
        <v>0</v>
      </c>
      <c r="AM279" s="700"/>
      <c r="AN279" s="707"/>
      <c r="AO279" s="721">
        <f>[1]DEPA!$N$125</f>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CarrosseriePapeterie</v>
      </c>
      <c r="B280" s="1027" t="s">
        <v>137</v>
      </c>
      <c r="C280" s="700"/>
      <c r="D280" s="707"/>
      <c r="E280" s="708">
        <f t="shared" si="45"/>
        <v>1428</v>
      </c>
      <c r="F280" s="700"/>
      <c r="G280" s="707"/>
      <c r="H280" s="721">
        <f>[1]DEPA!$C$134</f>
        <v>119</v>
      </c>
      <c r="I280" s="700"/>
      <c r="J280" s="707"/>
      <c r="K280" s="721">
        <f>[1]DEPA!$D$134</f>
        <v>119</v>
      </c>
      <c r="L280" s="700"/>
      <c r="M280" s="707"/>
      <c r="N280" s="721">
        <f>[1]DEPA!$E$134</f>
        <v>119</v>
      </c>
      <c r="O280" s="700"/>
      <c r="P280" s="707"/>
      <c r="Q280" s="721">
        <f>[1]DEPA!$F$134</f>
        <v>119</v>
      </c>
      <c r="R280" s="700"/>
      <c r="S280" s="707"/>
      <c r="T280" s="721">
        <f>[1]DEPA!$G$134</f>
        <v>119</v>
      </c>
      <c r="U280" s="700"/>
      <c r="V280" s="707"/>
      <c r="W280" s="721">
        <f>[1]DEPA!$H$134</f>
        <v>119</v>
      </c>
      <c r="X280" s="700"/>
      <c r="Y280" s="707"/>
      <c r="Z280" s="721">
        <f>[1]DEPA!$I$134</f>
        <v>119</v>
      </c>
      <c r="AA280" s="700"/>
      <c r="AB280" s="707"/>
      <c r="AC280" s="721">
        <f>[1]DEPA!$J$134</f>
        <v>119</v>
      </c>
      <c r="AD280" s="700"/>
      <c r="AE280" s="707"/>
      <c r="AF280" s="721">
        <f>[1]DEPA!$K$134</f>
        <v>119</v>
      </c>
      <c r="AG280" s="700"/>
      <c r="AH280" s="707"/>
      <c r="AI280" s="721">
        <f>[1]DEPA!$L$134</f>
        <v>119</v>
      </c>
      <c r="AJ280" s="700"/>
      <c r="AK280" s="707"/>
      <c r="AL280" s="721">
        <f>[1]DEPA!$M$134</f>
        <v>119</v>
      </c>
      <c r="AM280" s="700"/>
      <c r="AN280" s="707"/>
      <c r="AO280" s="721">
        <f>[1]DEPA!$N$134</f>
        <v>119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CarrosserieTéléphone</v>
      </c>
      <c r="B281" s="1027" t="s">
        <v>138</v>
      </c>
      <c r="C281" s="700"/>
      <c r="D281" s="707"/>
      <c r="E281" s="708">
        <f t="shared" si="45"/>
        <v>367.5</v>
      </c>
      <c r="F281" s="700"/>
      <c r="G281" s="707"/>
      <c r="H281" s="721">
        <f>[1]DEPA!$C$143</f>
        <v>30.625</v>
      </c>
      <c r="I281" s="700"/>
      <c r="J281" s="707"/>
      <c r="K281" s="721">
        <f>[1]DEPA!$D$143</f>
        <v>30.625</v>
      </c>
      <c r="L281" s="700"/>
      <c r="M281" s="707"/>
      <c r="N281" s="721">
        <f>[1]DEPA!$E$143</f>
        <v>30.625</v>
      </c>
      <c r="O281" s="700"/>
      <c r="P281" s="707"/>
      <c r="Q281" s="721">
        <f>[1]DEPA!$F$143</f>
        <v>30.625</v>
      </c>
      <c r="R281" s="700"/>
      <c r="S281" s="707"/>
      <c r="T281" s="721">
        <f>[1]DEPA!$G$143</f>
        <v>30.625</v>
      </c>
      <c r="U281" s="700"/>
      <c r="V281" s="707"/>
      <c r="W281" s="721">
        <f>[1]DEPA!$H$143</f>
        <v>30.625</v>
      </c>
      <c r="X281" s="700"/>
      <c r="Y281" s="707"/>
      <c r="Z281" s="721">
        <f>[1]DEPA!$I$143</f>
        <v>30.625</v>
      </c>
      <c r="AA281" s="700"/>
      <c r="AB281" s="707"/>
      <c r="AC281" s="721">
        <f>[1]DEPA!$J$143</f>
        <v>30.625</v>
      </c>
      <c r="AD281" s="700"/>
      <c r="AE281" s="707"/>
      <c r="AF281" s="721">
        <f>[1]DEPA!$K$143</f>
        <v>30.625</v>
      </c>
      <c r="AG281" s="700"/>
      <c r="AH281" s="707"/>
      <c r="AI281" s="721">
        <f>[1]DEPA!$L$143</f>
        <v>30.625</v>
      </c>
      <c r="AJ281" s="700"/>
      <c r="AK281" s="707"/>
      <c r="AL281" s="721">
        <f>[1]DEPA!$M$143</f>
        <v>30.625</v>
      </c>
      <c r="AM281" s="700"/>
      <c r="AN281" s="707"/>
      <c r="AO281" s="721">
        <f>[1]DEPA!$N$143</f>
        <v>30.625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CarrosserieFrais postaux</v>
      </c>
      <c r="B282" s="1027" t="s">
        <v>139</v>
      </c>
      <c r="C282" s="700"/>
      <c r="D282" s="707"/>
      <c r="E282" s="708">
        <f t="shared" si="45"/>
        <v>598.29000000000008</v>
      </c>
      <c r="F282" s="700"/>
      <c r="G282" s="707"/>
      <c r="H282" s="721">
        <f>[1]DEPA!$C$152</f>
        <v>49.857500000000009</v>
      </c>
      <c r="I282" s="700"/>
      <c r="J282" s="707"/>
      <c r="K282" s="721">
        <f>[1]DEPA!$D$152</f>
        <v>49.857500000000009</v>
      </c>
      <c r="L282" s="700"/>
      <c r="M282" s="707"/>
      <c r="N282" s="721">
        <f>[1]DEPA!$E$152</f>
        <v>49.857500000000009</v>
      </c>
      <c r="O282" s="700"/>
      <c r="P282" s="707"/>
      <c r="Q282" s="721">
        <f>[1]DEPA!$F$152</f>
        <v>49.857500000000009</v>
      </c>
      <c r="R282" s="700"/>
      <c r="S282" s="707"/>
      <c r="T282" s="721">
        <f>[1]DEPA!$G$152</f>
        <v>49.857500000000009</v>
      </c>
      <c r="U282" s="700"/>
      <c r="V282" s="707"/>
      <c r="W282" s="721">
        <f>[1]DEPA!$H$152</f>
        <v>49.857500000000009</v>
      </c>
      <c r="X282" s="700"/>
      <c r="Y282" s="707"/>
      <c r="Z282" s="721">
        <f>[1]DEPA!$I$152</f>
        <v>49.857500000000009</v>
      </c>
      <c r="AA282" s="700"/>
      <c r="AB282" s="707"/>
      <c r="AC282" s="721">
        <f>[1]DEPA!$J$152</f>
        <v>49.857500000000009</v>
      </c>
      <c r="AD282" s="700"/>
      <c r="AE282" s="707"/>
      <c r="AF282" s="721">
        <f>[1]DEPA!$K$152</f>
        <v>49.857500000000009</v>
      </c>
      <c r="AG282" s="700"/>
      <c r="AH282" s="707"/>
      <c r="AI282" s="721">
        <f>[1]DEPA!$L$152</f>
        <v>49.857500000000009</v>
      </c>
      <c r="AJ282" s="700"/>
      <c r="AK282" s="707"/>
      <c r="AL282" s="721">
        <f>[1]DEPA!$M$152</f>
        <v>49.857500000000009</v>
      </c>
      <c r="AM282" s="700"/>
      <c r="AN282" s="707"/>
      <c r="AO282" s="721">
        <f>[1]DEPA!$N$152</f>
        <v>49.857500000000009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CarrosserieDivers</v>
      </c>
      <c r="B283" s="1027" t="s">
        <v>140</v>
      </c>
      <c r="C283" s="700"/>
      <c r="D283" s="707"/>
      <c r="E283" s="708">
        <f t="shared" si="45"/>
        <v>315.00000000000006</v>
      </c>
      <c r="F283" s="700"/>
      <c r="G283" s="707"/>
      <c r="H283" s="721">
        <f>[1]DEPA!$C$161</f>
        <v>26.250000000000004</v>
      </c>
      <c r="I283" s="700"/>
      <c r="J283" s="707"/>
      <c r="K283" s="721">
        <f>[1]DEPA!$D$161</f>
        <v>26.250000000000004</v>
      </c>
      <c r="L283" s="700"/>
      <c r="M283" s="707"/>
      <c r="N283" s="721">
        <f>[1]DEPA!$E$161</f>
        <v>26.250000000000004</v>
      </c>
      <c r="O283" s="700"/>
      <c r="P283" s="707"/>
      <c r="Q283" s="721">
        <f>[1]DEPA!$F$161</f>
        <v>26.250000000000004</v>
      </c>
      <c r="R283" s="700"/>
      <c r="S283" s="707"/>
      <c r="T283" s="721">
        <f>[1]DEPA!$G$161</f>
        <v>26.250000000000004</v>
      </c>
      <c r="U283" s="700"/>
      <c r="V283" s="707"/>
      <c r="W283" s="721">
        <f>[1]DEPA!$H$161</f>
        <v>26.250000000000004</v>
      </c>
      <c r="X283" s="700"/>
      <c r="Y283" s="707"/>
      <c r="Z283" s="721">
        <f>[1]DEPA!$I$161</f>
        <v>26.250000000000004</v>
      </c>
      <c r="AA283" s="700"/>
      <c r="AB283" s="707"/>
      <c r="AC283" s="721">
        <f>[1]DEPA!$J$161</f>
        <v>26.250000000000004</v>
      </c>
      <c r="AD283" s="700"/>
      <c r="AE283" s="707"/>
      <c r="AF283" s="721">
        <f>[1]DEPA!$K$161</f>
        <v>26.250000000000004</v>
      </c>
      <c r="AG283" s="700"/>
      <c r="AH283" s="707"/>
      <c r="AI283" s="721">
        <f>[1]DEPA!$L$161</f>
        <v>26.250000000000004</v>
      </c>
      <c r="AJ283" s="700"/>
      <c r="AK283" s="707"/>
      <c r="AL283" s="721">
        <f>[1]DEPA!$M$161</f>
        <v>26.250000000000004</v>
      </c>
      <c r="AM283" s="700"/>
      <c r="AN283" s="707"/>
      <c r="AO283" s="721">
        <f>[1]DEPA!$N$161</f>
        <v>26.250000000000004</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CarrosserieFormation</v>
      </c>
      <c r="B284" s="1027" t="s">
        <v>141</v>
      </c>
      <c r="C284" s="700"/>
      <c r="D284" s="707"/>
      <c r="E284" s="708">
        <f t="shared" si="45"/>
        <v>2000.0000000000002</v>
      </c>
      <c r="F284" s="700"/>
      <c r="G284" s="707"/>
      <c r="H284" s="721">
        <f>[1]DEPA!$C$172</f>
        <v>166.66666666666666</v>
      </c>
      <c r="I284" s="700"/>
      <c r="J284" s="707"/>
      <c r="K284" s="721">
        <f>[1]DEPA!$D$172</f>
        <v>166.66666666666666</v>
      </c>
      <c r="L284" s="700"/>
      <c r="M284" s="707"/>
      <c r="N284" s="721">
        <f>[1]DEPA!$E$172</f>
        <v>166.66666666666666</v>
      </c>
      <c r="O284" s="700"/>
      <c r="P284" s="707"/>
      <c r="Q284" s="721">
        <f>[1]DEPA!$F$172</f>
        <v>166.66666666666666</v>
      </c>
      <c r="R284" s="700"/>
      <c r="S284" s="707"/>
      <c r="T284" s="721">
        <f>[1]DEPA!$G$172</f>
        <v>166.66666666666666</v>
      </c>
      <c r="U284" s="700"/>
      <c r="V284" s="707"/>
      <c r="W284" s="721">
        <f>[1]DEPA!$H$172</f>
        <v>166.66666666666666</v>
      </c>
      <c r="X284" s="700"/>
      <c r="Y284" s="707"/>
      <c r="Z284" s="721">
        <f>[1]DEPA!$I$172</f>
        <v>166.66666666666666</v>
      </c>
      <c r="AA284" s="700"/>
      <c r="AB284" s="707"/>
      <c r="AC284" s="721">
        <f>[1]DEPA!$J$172</f>
        <v>166.66666666666666</v>
      </c>
      <c r="AD284" s="700"/>
      <c r="AE284" s="707"/>
      <c r="AF284" s="721">
        <f>[1]DEPA!$K$172</f>
        <v>166.66666666666666</v>
      </c>
      <c r="AG284" s="700"/>
      <c r="AH284" s="707"/>
      <c r="AI284" s="721">
        <f>[1]DEPA!$L$172</f>
        <v>166.66666666666666</v>
      </c>
      <c r="AJ284" s="700"/>
      <c r="AK284" s="707"/>
      <c r="AL284" s="721">
        <f>[1]DEPA!$M$172</f>
        <v>166.66666666666666</v>
      </c>
      <c r="AM284" s="700"/>
      <c r="AN284" s="707"/>
      <c r="AO284" s="721">
        <f>[1]DEPA!$N$172</f>
        <v>166.66666666666666</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46"/>
        <v>CarrosserieFrais bancaires</v>
      </c>
      <c r="B285" s="1027" t="s">
        <v>142</v>
      </c>
      <c r="C285" s="700"/>
      <c r="D285" s="707"/>
      <c r="E285" s="708">
        <f t="shared" si="45"/>
        <v>2520.0904631579028</v>
      </c>
      <c r="F285" s="700"/>
      <c r="G285" s="707"/>
      <c r="H285" s="721">
        <f>[1]DEPA!$C$184</f>
        <v>161.34198666220036</v>
      </c>
      <c r="I285" s="700"/>
      <c r="J285" s="707"/>
      <c r="K285" s="721">
        <f>[1]DEPA!$D$184</f>
        <v>163.26887824751336</v>
      </c>
      <c r="L285" s="700"/>
      <c r="M285" s="707"/>
      <c r="N285" s="721">
        <f>[1]DEPA!$E$184</f>
        <v>222.75930903184553</v>
      </c>
      <c r="O285" s="700"/>
      <c r="P285" s="707"/>
      <c r="Q285" s="721">
        <f>[1]DEPA!$F$184</f>
        <v>236.5452211385186</v>
      </c>
      <c r="R285" s="700"/>
      <c r="S285" s="707"/>
      <c r="T285" s="721">
        <f>[1]DEPA!$G$184</f>
        <v>251.80967442186946</v>
      </c>
      <c r="U285" s="700"/>
      <c r="V285" s="707"/>
      <c r="W285" s="721">
        <f>[1]DEPA!$H$184</f>
        <v>227.5571123612439</v>
      </c>
      <c r="X285" s="700"/>
      <c r="Y285" s="707"/>
      <c r="Z285" s="721">
        <f>[1]DEPA!$I$184</f>
        <v>215.75700630747684</v>
      </c>
      <c r="AA285" s="700"/>
      <c r="AB285" s="707"/>
      <c r="AC285" s="721">
        <f>[1]DEPA!$J$184</f>
        <v>209.16801696907714</v>
      </c>
      <c r="AD285" s="700"/>
      <c r="AE285" s="707"/>
      <c r="AF285" s="721">
        <f>[1]DEPA!$K$184</f>
        <v>218.14088948703917</v>
      </c>
      <c r="AG285" s="700"/>
      <c r="AH285" s="707"/>
      <c r="AI285" s="721">
        <f>[1]DEPA!$L$184</f>
        <v>218.67907649258444</v>
      </c>
      <c r="AJ285" s="700"/>
      <c r="AK285" s="707"/>
      <c r="AL285" s="721">
        <f>[1]DEPA!$M$184</f>
        <v>226.03327017549344</v>
      </c>
      <c r="AM285" s="700"/>
      <c r="AN285" s="707"/>
      <c r="AO285" s="721">
        <f>[1]DEPA!$N$184</f>
        <v>169.03002186304082</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027" t="s">
        <v>59</v>
      </c>
      <c r="C286" s="700"/>
      <c r="D286" s="707"/>
      <c r="E286" s="708">
        <f t="shared" si="45"/>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027" t="s">
        <v>59</v>
      </c>
      <c r="C287" s="700"/>
      <c r="D287" s="707"/>
      <c r="E287" s="708">
        <f t="shared" si="45"/>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46"/>
        <v>Carrosserie[...]</v>
      </c>
      <c r="B288" s="1027" t="s">
        <v>59</v>
      </c>
      <c r="C288" s="700"/>
      <c r="D288" s="707"/>
      <c r="E288" s="708">
        <f t="shared" si="45"/>
        <v>0</v>
      </c>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CarrosserieTOTAL SEMI-FIXES</v>
      </c>
      <c r="B289" s="1067" t="s">
        <v>143</v>
      </c>
      <c r="C289" s="732" t="s">
        <v>119</v>
      </c>
      <c r="D289" s="1036">
        <f>IFERROR(E289/E$248,0)</f>
        <v>0</v>
      </c>
      <c r="E289" s="733">
        <f>+SUM(E271:E288)</f>
        <v>51625.999438524763</v>
      </c>
      <c r="F289" s="732" t="s">
        <v>119</v>
      </c>
      <c r="G289" s="1036">
        <f>IFERROR(H289/H$248,0)</f>
        <v>0</v>
      </c>
      <c r="H289" s="733">
        <f>+SUM(H271:H288)</f>
        <v>5160.2927346094393</v>
      </c>
      <c r="I289" s="732" t="s">
        <v>119</v>
      </c>
      <c r="J289" s="1036">
        <f>IFERROR(K289/K$248,0)</f>
        <v>0</v>
      </c>
      <c r="K289" s="733">
        <f>+SUM(K271:K288)</f>
        <v>4080.7196261947515</v>
      </c>
      <c r="L289" s="732" t="s">
        <v>119</v>
      </c>
      <c r="M289" s="1036">
        <f>IFERROR(N289/N$248,0)</f>
        <v>0</v>
      </c>
      <c r="N289" s="733">
        <f>+SUM(N271:N288)</f>
        <v>4035.2100569790837</v>
      </c>
      <c r="O289" s="732" t="s">
        <v>119</v>
      </c>
      <c r="P289" s="1036">
        <f>IFERROR(Q289/Q$248,0)</f>
        <v>0</v>
      </c>
      <c r="Q289" s="733">
        <f>+SUM(Q271:Q288)</f>
        <v>4048.9959690857568</v>
      </c>
      <c r="R289" s="732" t="s">
        <v>119</v>
      </c>
      <c r="S289" s="1036">
        <f>IFERROR(T289/T$248,0)</f>
        <v>0</v>
      </c>
      <c r="T289" s="733">
        <f>+SUM(T271:T288)</f>
        <v>4064.2604223691078</v>
      </c>
      <c r="U289" s="732" t="s">
        <v>119</v>
      </c>
      <c r="V289" s="1036">
        <f>IFERROR(W289/W$248,0)</f>
        <v>0</v>
      </c>
      <c r="W289" s="733">
        <f>+SUM(W271:W288)</f>
        <v>4320.0078603084821</v>
      </c>
      <c r="X289" s="732" t="s">
        <v>119</v>
      </c>
      <c r="Y289" s="1036">
        <f>IFERROR(Z289/Z$248,0)</f>
        <v>0</v>
      </c>
      <c r="Z289" s="733">
        <f>+SUM(Z271:Z288)</f>
        <v>4028.2077542547149</v>
      </c>
      <c r="AA289" s="732" t="s">
        <v>119</v>
      </c>
      <c r="AB289" s="1036">
        <f>IFERROR(AC289/AC$248,0)</f>
        <v>0</v>
      </c>
      <c r="AC289" s="733">
        <f>+SUM(AC271:AC288)</f>
        <v>4021.6187649163153</v>
      </c>
      <c r="AD289" s="732" t="s">
        <v>119</v>
      </c>
      <c r="AE289" s="1036">
        <f>IFERROR(AF289/AF$248,0)</f>
        <v>0</v>
      </c>
      <c r="AF289" s="733">
        <f>+SUM(AF271:AF288)</f>
        <v>4030.5916374342773</v>
      </c>
      <c r="AG289" s="732" t="s">
        <v>119</v>
      </c>
      <c r="AH289" s="1036">
        <f>IFERROR(AI289/AI$248,0)</f>
        <v>0</v>
      </c>
      <c r="AI289" s="733">
        <f>+SUM(AI271:AI288)</f>
        <v>4241.1298244398222</v>
      </c>
      <c r="AJ289" s="732" t="s">
        <v>119</v>
      </c>
      <c r="AK289" s="1036">
        <f>IFERROR(AL289/AL$248,0)</f>
        <v>0</v>
      </c>
      <c r="AL289" s="733">
        <f>+SUM(AL271:AL288)</f>
        <v>4458.4840181227319</v>
      </c>
      <c r="AM289" s="732" t="s">
        <v>119</v>
      </c>
      <c r="AN289" s="1036">
        <f>IFERROR(AO289/AO$248,0)</f>
        <v>0</v>
      </c>
      <c r="AO289" s="733">
        <f>+SUM(AO271:AO288)</f>
        <v>5136.4807698102795</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v>
      </c>
      <c r="B290" s="726"/>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CarrosserieTOTAL DES DÉPENSES</v>
      </c>
      <c r="B291" s="1033" t="s">
        <v>144</v>
      </c>
      <c r="C291" s="1024" t="s">
        <v>119</v>
      </c>
      <c r="D291" s="1046">
        <f>IFERROR(E291/E$248,0)</f>
        <v>0</v>
      </c>
      <c r="E291" s="1034">
        <f>E270+E289</f>
        <v>154107.1720820989</v>
      </c>
      <c r="F291" s="1024" t="s">
        <v>119</v>
      </c>
      <c r="G291" s="1046">
        <f>IFERROR(H291/H$248,0)</f>
        <v>0</v>
      </c>
      <c r="H291" s="1034">
        <f>H270+H289</f>
        <v>13338.872648730525</v>
      </c>
      <c r="I291" s="1024" t="s">
        <v>119</v>
      </c>
      <c r="J291" s="1046">
        <f>IFERROR(K291/K$248,0)</f>
        <v>0</v>
      </c>
      <c r="K291" s="1034">
        <f>K270+K289</f>
        <v>12053.479020315837</v>
      </c>
      <c r="L291" s="1024" t="s">
        <v>119</v>
      </c>
      <c r="M291" s="1046">
        <f>IFERROR(N291/N$248,0)</f>
        <v>0</v>
      </c>
      <c r="N291" s="1034">
        <f>N270+N289</f>
        <v>12007.969451100169</v>
      </c>
      <c r="O291" s="1024" t="s">
        <v>119</v>
      </c>
      <c r="P291" s="1046">
        <f>IFERROR(Q291/Q$248,0)</f>
        <v>0</v>
      </c>
      <c r="Q291" s="1034">
        <f>Q270+Q289</f>
        <v>12021.755363206843</v>
      </c>
      <c r="R291" s="1024" t="s">
        <v>119</v>
      </c>
      <c r="S291" s="1046">
        <f>IFERROR(T291/T$248,0)</f>
        <v>0</v>
      </c>
      <c r="T291" s="1034">
        <f>T270+T289</f>
        <v>13687.579665020465</v>
      </c>
      <c r="U291" s="1024" t="s">
        <v>119</v>
      </c>
      <c r="V291" s="1046">
        <f>IFERROR(W291/W$248,0)</f>
        <v>0</v>
      </c>
      <c r="W291" s="1034">
        <f>W270+W289</f>
        <v>12292.767254429567</v>
      </c>
      <c r="X291" s="1024" t="s">
        <v>119</v>
      </c>
      <c r="Y291" s="1046">
        <f>IFERROR(Z291/Z$248,0)</f>
        <v>0</v>
      </c>
      <c r="Z291" s="1034">
        <f>Z270+Z289</f>
        <v>13651.526996906072</v>
      </c>
      <c r="AA291" s="1024" t="s">
        <v>119</v>
      </c>
      <c r="AB291" s="1046">
        <f>IFERROR(AC291/AC$248,0)</f>
        <v>0</v>
      </c>
      <c r="AC291" s="1034">
        <f>AC270+AC289</f>
        <v>11994.378159037402</v>
      </c>
      <c r="AD291" s="1024" t="s">
        <v>119</v>
      </c>
      <c r="AE291" s="1046">
        <f>IFERROR(AF291/AF$248,0)</f>
        <v>0</v>
      </c>
      <c r="AF291" s="1034">
        <f>AF270+AF289</f>
        <v>12003.351031555363</v>
      </c>
      <c r="AG291" s="1024" t="s">
        <v>119</v>
      </c>
      <c r="AH291" s="1046">
        <f>IFERROR(AI291/AI$248,0)</f>
        <v>0</v>
      </c>
      <c r="AI291" s="1034">
        <f>AI270+AI289</f>
        <v>13864.44906709118</v>
      </c>
      <c r="AJ291" s="1024" t="s">
        <v>119</v>
      </c>
      <c r="AK291" s="1046">
        <f>IFERROR(AL291/AL$248,0)</f>
        <v>0</v>
      </c>
      <c r="AL291" s="1034">
        <f>AL270+AL289</f>
        <v>12431.243412243817</v>
      </c>
      <c r="AM291" s="1024" t="s">
        <v>119</v>
      </c>
      <c r="AN291" s="1046">
        <f>IFERROR(AO291/AO$248,0)</f>
        <v>0</v>
      </c>
      <c r="AO291" s="1034">
        <f>AO270+AO289</f>
        <v>14759.800012461637</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v>
      </c>
      <c r="B292" s="700"/>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t="str">
        <f t="shared" si="46"/>
        <v>CarrosseriePROFIT DÉPARTEMENTAL</v>
      </c>
      <c r="B293" s="1037" t="s">
        <v>151</v>
      </c>
      <c r="C293" s="1037"/>
      <c r="D293" s="1048"/>
      <c r="E293" s="1040">
        <f>E254-E291</f>
        <v>18692.827917901101</v>
      </c>
      <c r="F293" s="1037"/>
      <c r="G293" s="1048"/>
      <c r="H293" s="1040">
        <f>H254-H291</f>
        <v>-6426.8726487305248</v>
      </c>
      <c r="I293" s="1037"/>
      <c r="J293" s="1048"/>
      <c r="K293" s="1040">
        <f>K254-K291</f>
        <v>42.520979684162739</v>
      </c>
      <c r="L293" s="1037"/>
      <c r="M293" s="1048"/>
      <c r="N293" s="1040">
        <f>N254-N291</f>
        <v>5272.030548899831</v>
      </c>
      <c r="O293" s="1037"/>
      <c r="P293" s="1048"/>
      <c r="Q293" s="1040">
        <f>Q254-Q291</f>
        <v>5258.244636793157</v>
      </c>
      <c r="R293" s="1037"/>
      <c r="S293" s="1048"/>
      <c r="T293" s="1040">
        <f>T254-T291</f>
        <v>3592.4203349795353</v>
      </c>
      <c r="U293" s="1037"/>
      <c r="V293" s="1048"/>
      <c r="W293" s="1040">
        <f>W254-W291</f>
        <v>6715.2327455704326</v>
      </c>
      <c r="X293" s="1037"/>
      <c r="Y293" s="1048"/>
      <c r="Z293" s="1040">
        <f>Z254-Z291</f>
        <v>172.47300309392813</v>
      </c>
      <c r="AA293" s="1037"/>
      <c r="AB293" s="1048"/>
      <c r="AC293" s="1040">
        <f>AC254-AC291</f>
        <v>3557.6218409625981</v>
      </c>
      <c r="AD293" s="1037"/>
      <c r="AE293" s="1048"/>
      <c r="AF293" s="1040">
        <f>AF254-AF291</f>
        <v>3548.6489684446369</v>
      </c>
      <c r="AG293" s="1037"/>
      <c r="AH293" s="1048"/>
      <c r="AI293" s="1040">
        <f>AI254-AI291</f>
        <v>1687.55093290882</v>
      </c>
      <c r="AJ293" s="1037"/>
      <c r="AK293" s="1048"/>
      <c r="AL293" s="1040">
        <f>AL254-AL291</f>
        <v>1392.7565877561829</v>
      </c>
      <c r="AM293" s="1037"/>
      <c r="AN293" s="1048"/>
      <c r="AO293" s="1040">
        <f>AO254-AO291</f>
        <v>-6119.8000124616374</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707"/>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2" t="str">
        <f>B4</f>
        <v>Budget 2025</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1043"/>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c r="B297" s="868" t="s">
        <v>3</v>
      </c>
      <c r="C297" s="1163">
        <v>2022</v>
      </c>
      <c r="D297" s="1164"/>
      <c r="E297" s="1165"/>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41" si="47">+$C$295&amp;B298</f>
        <v>Pièces</v>
      </c>
      <c r="B298" s="700"/>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Clients</v>
      </c>
      <c r="B299" s="700" t="s">
        <v>182</v>
      </c>
      <c r="C299" s="753">
        <f t="shared" ref="C299:C307" si="48">+SUM(F299,I299,L299,O299,R299,U299,X299,AA299,AD299,AG299,AJ299,AM299)</f>
        <v>1190955.4873859996</v>
      </c>
      <c r="D299" s="751">
        <f>IF(C299&lt;=0,0,E299/C299)</f>
        <v>0.35000000000000003</v>
      </c>
      <c r="E299" s="708">
        <f t="shared" ref="E299:E307" si="49">+SUM(H299,K299,N299,Q299,T299,W299,Z299,AC299,AF299,AI299,AL299,AO299)</f>
        <v>416834.4205850999</v>
      </c>
      <c r="F299" s="754">
        <f>'[1]Bud men fixes'!$E$40</f>
        <v>74011.26653147045</v>
      </c>
      <c r="G299" s="751">
        <f t="shared" ref="G299:G308" si="50">IF(F299&lt;=0,0,H299/F299)</f>
        <v>0.35</v>
      </c>
      <c r="H299" s="721">
        <f>'[1]Bud men fixes'!$E$39</f>
        <v>25903.943286014655</v>
      </c>
      <c r="I299" s="754">
        <f>'[1]Bud men fixes'!$F$40</f>
        <v>66847.808400036345</v>
      </c>
      <c r="J299" s="751">
        <f t="shared" ref="J299:J308" si="51">IF(I299&lt;=0,0,K299/I299)</f>
        <v>0.35</v>
      </c>
      <c r="K299" s="721">
        <f>'[1]Bud men fixes'!$F$39</f>
        <v>23396.73294001272</v>
      </c>
      <c r="L299" s="754">
        <f>'[1]Bud men fixes'!$G$40</f>
        <v>84563.812897634314</v>
      </c>
      <c r="M299" s="751">
        <f t="shared" ref="M299:M308" si="52">IF(L299&lt;=0,0,N299/L299)</f>
        <v>0.35</v>
      </c>
      <c r="N299" s="721">
        <f>'[1]Bud men fixes'!$G$39</f>
        <v>29597.334514172009</v>
      </c>
      <c r="O299" s="754">
        <f>'[1]Bud men fixes'!$H$40</f>
        <v>87853.013702772441</v>
      </c>
      <c r="P299" s="751">
        <f t="shared" ref="P299:P308" si="53">IF(O299&lt;=0,0,Q299/O299)</f>
        <v>0.35</v>
      </c>
      <c r="Q299" s="721">
        <f>'[1]Bud men fixes'!$H$39</f>
        <v>30748.554795970351</v>
      </c>
      <c r="R299" s="754">
        <f>'[1]Bud men fixes'!$I$40</f>
        <v>130234.83516829726</v>
      </c>
      <c r="S299" s="751">
        <f t="shared" ref="S299:S308" si="54">IF(R299&lt;=0,0,T299/R299)</f>
        <v>0.35</v>
      </c>
      <c r="T299" s="721">
        <f>'[1]Bud men fixes'!$I$39</f>
        <v>45582.192308904036</v>
      </c>
      <c r="U299" s="754">
        <f>'[1]Bud men fixes'!$J$40</f>
        <v>95130.384553569646</v>
      </c>
      <c r="V299" s="751">
        <f t="shared" ref="V299:V308" si="55">IF(U299&lt;=0,0,W299/U299)</f>
        <v>0.35</v>
      </c>
      <c r="W299" s="721">
        <f>'[1]Bud men fixes'!$J$39</f>
        <v>33295.634593749375</v>
      </c>
      <c r="X299" s="754">
        <f>'[1]Bud men fixes'!$K$40</f>
        <v>96068.004417132979</v>
      </c>
      <c r="Y299" s="751">
        <f t="shared" ref="Y299:Y308" si="56">IF(X299&lt;=0,0,Z299/X299)</f>
        <v>0.35</v>
      </c>
      <c r="Z299" s="721">
        <f>'[1]Bud men fixes'!$K$39</f>
        <v>33623.801545996539</v>
      </c>
      <c r="AA299" s="754">
        <f>'[1]Bud men fixes'!$L$40</f>
        <v>95776.17686930018</v>
      </c>
      <c r="AB299" s="751">
        <f t="shared" ref="AB299:AB308" si="57">IF(AA299&lt;=0,0,AC299/AA299)</f>
        <v>0.35</v>
      </c>
      <c r="AC299" s="721">
        <f>'[1]Bud men fixes'!$L$39</f>
        <v>33521.661904255059</v>
      </c>
      <c r="AD299" s="754">
        <f>'[1]Bud men fixes'!$M$40</f>
        <v>95204.295954741217</v>
      </c>
      <c r="AE299" s="751">
        <f t="shared" ref="AE299:AE308" si="58">IF(AD299&lt;=0,0,AF299/AD299)</f>
        <v>0.35</v>
      </c>
      <c r="AF299" s="721">
        <f>'[1]Bud men fixes'!$M$39</f>
        <v>33321.503584159422</v>
      </c>
      <c r="AG299" s="754">
        <f>'[1]Bud men fixes'!$N$40</f>
        <v>125494.22101647407</v>
      </c>
      <c r="AH299" s="751">
        <f t="shared" ref="AH299:AH308" si="59">IF(AG299&lt;=0,0,AI299/AG299)</f>
        <v>0.35</v>
      </c>
      <c r="AI299" s="721">
        <f>'[1]Bud men fixes'!$N$39</f>
        <v>43922.977355765921</v>
      </c>
      <c r="AJ299" s="754">
        <f>'[1]Bud men fixes'!$O$40</f>
        <v>143887.75404804241</v>
      </c>
      <c r="AK299" s="751">
        <f t="shared" ref="AK299:AK308" si="60">IF(AJ299&lt;=0,0,AL299/AJ299)</f>
        <v>0.35</v>
      </c>
      <c r="AL299" s="721">
        <f>'[1]Bud men fixes'!$O$39</f>
        <v>50360.713916814842</v>
      </c>
      <c r="AM299" s="754">
        <f>'[1]Bud men fixes'!$P$40</f>
        <v>95883.913826528486</v>
      </c>
      <c r="AN299" s="751">
        <f t="shared" ref="AN299:AN308" si="61">IF(AM299&lt;=0,0,AO299/AM299)</f>
        <v>0.35</v>
      </c>
      <c r="AO299" s="721">
        <f>'[1]Bud men fixes'!$P$39</f>
        <v>33559.369839284969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PiècesPièces Ro Carrosserie</v>
      </c>
      <c r="B300" s="700" t="s">
        <v>183</v>
      </c>
      <c r="C300" s="753">
        <f t="shared" si="48"/>
        <v>600000</v>
      </c>
      <c r="D300" s="751">
        <f t="shared" ref="D300:D305" si="62">IF(C300&lt;=0,0,E300/C300)</f>
        <v>0.23400000000000001</v>
      </c>
      <c r="E300" s="708">
        <f t="shared" si="49"/>
        <v>140400</v>
      </c>
      <c r="F300" s="754">
        <f>'[1]Bud men fixes'!$E$43</f>
        <v>24000</v>
      </c>
      <c r="G300" s="751">
        <f t="shared" si="50"/>
        <v>0.23400000000000001</v>
      </c>
      <c r="H300" s="721">
        <f>'[1]Bud men fixes'!$E$42</f>
        <v>5616</v>
      </c>
      <c r="I300" s="754">
        <f>'[1]Bud men fixes'!$F$43</f>
        <v>42000.000000000007</v>
      </c>
      <c r="J300" s="751">
        <f t="shared" si="51"/>
        <v>0.23400000000000001</v>
      </c>
      <c r="K300" s="721">
        <f>'[1]Bud men fixes'!$F$42</f>
        <v>9828.0000000000018</v>
      </c>
      <c r="L300" s="754">
        <f>'[1]Bud men fixes'!$G$43</f>
        <v>60000</v>
      </c>
      <c r="M300" s="751">
        <f t="shared" si="52"/>
        <v>0.23400000000000001</v>
      </c>
      <c r="N300" s="721">
        <f>'[1]Bud men fixes'!$G$42</f>
        <v>14040</v>
      </c>
      <c r="O300" s="754">
        <f>'[1]Bud men fixes'!$H$43</f>
        <v>60000</v>
      </c>
      <c r="P300" s="751">
        <f t="shared" si="53"/>
        <v>0.23400000000000001</v>
      </c>
      <c r="Q300" s="721">
        <f>'[1]Bud men fixes'!$H$42</f>
        <v>14040</v>
      </c>
      <c r="R300" s="754">
        <f>'[1]Bud men fixes'!$I$43</f>
        <v>60000</v>
      </c>
      <c r="S300" s="751">
        <f t="shared" si="54"/>
        <v>0.23400000000000001</v>
      </c>
      <c r="T300" s="721">
        <f>'[1]Bud men fixes'!$I$42</f>
        <v>14040</v>
      </c>
      <c r="U300" s="754">
        <f>'[1]Bud men fixes'!$J$43</f>
        <v>66000</v>
      </c>
      <c r="V300" s="751">
        <f t="shared" si="55"/>
        <v>0.23400000000000001</v>
      </c>
      <c r="W300" s="721">
        <f>'[1]Bud men fixes'!$J$42</f>
        <v>15444</v>
      </c>
      <c r="X300" s="754">
        <f>'[1]Bud men fixes'!$K$43</f>
        <v>48000</v>
      </c>
      <c r="Y300" s="751">
        <f t="shared" si="56"/>
        <v>0.23400000000000001</v>
      </c>
      <c r="Z300" s="721">
        <f>'[1]Bud men fixes'!$K$42</f>
        <v>11232</v>
      </c>
      <c r="AA300" s="754">
        <f>'[1]Bud men fixes'!$L$43</f>
        <v>54000</v>
      </c>
      <c r="AB300" s="751">
        <f t="shared" si="57"/>
        <v>0.23400000000000001</v>
      </c>
      <c r="AC300" s="721">
        <f>'[1]Bud men fixes'!$L$42</f>
        <v>12636</v>
      </c>
      <c r="AD300" s="754">
        <f>'[1]Bud men fixes'!$M$43</f>
        <v>54000</v>
      </c>
      <c r="AE300" s="751">
        <f t="shared" si="58"/>
        <v>0.23400000000000001</v>
      </c>
      <c r="AF300" s="721">
        <f>'[1]Bud men fixes'!$M$42</f>
        <v>12636</v>
      </c>
      <c r="AG300" s="754">
        <f>'[1]Bud men fixes'!$N$43</f>
        <v>54000</v>
      </c>
      <c r="AH300" s="751">
        <f t="shared" si="59"/>
        <v>0.23400000000000001</v>
      </c>
      <c r="AI300" s="721">
        <f>'[1]Bud men fixes'!$N$42</f>
        <v>12636</v>
      </c>
      <c r="AJ300" s="754">
        <f>'[1]Bud men fixes'!$O$43</f>
        <v>48000</v>
      </c>
      <c r="AK300" s="751">
        <f t="shared" si="60"/>
        <v>0.23400000000000001</v>
      </c>
      <c r="AL300" s="721">
        <f>'[1]Bud men fixes'!$O$42</f>
        <v>11232</v>
      </c>
      <c r="AM300" s="754">
        <f>'[1]Bud men fixes'!$P$43</f>
        <v>30000</v>
      </c>
      <c r="AN300" s="751">
        <f t="shared" si="61"/>
        <v>0.23400000000000001</v>
      </c>
      <c r="AO300" s="721">
        <f>'[1]Bud men fixes'!$P$42</f>
        <v>7020</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PiècesP/A Garantie</v>
      </c>
      <c r="B301" s="700" t="s">
        <v>184</v>
      </c>
      <c r="C301" s="753">
        <f t="shared" si="48"/>
        <v>699999.99999999988</v>
      </c>
      <c r="D301" s="751">
        <f t="shared" si="62"/>
        <v>0.23299999999999998</v>
      </c>
      <c r="E301" s="708">
        <f t="shared" si="49"/>
        <v>163099.99999999997</v>
      </c>
      <c r="F301" s="754">
        <f>'[1]Bud men fixes'!$E$46</f>
        <v>68024.574376139877</v>
      </c>
      <c r="G301" s="751">
        <f t="shared" si="50"/>
        <v>0.23300000000000001</v>
      </c>
      <c r="H301" s="721">
        <f>'[1]Bud men fixes'!$E$45</f>
        <v>15849.725829640593</v>
      </c>
      <c r="I301" s="754">
        <f>'[1]Bud men fixes'!$F$46</f>
        <v>59281.819703000736</v>
      </c>
      <c r="J301" s="751">
        <f t="shared" si="51"/>
        <v>0.23300000000000001</v>
      </c>
      <c r="K301" s="721">
        <f>'[1]Bud men fixes'!$F$45</f>
        <v>13812.663990799172</v>
      </c>
      <c r="L301" s="754">
        <f>'[1]Bud men fixes'!$G$46</f>
        <v>99102.372013531742</v>
      </c>
      <c r="M301" s="751">
        <f t="shared" si="52"/>
        <v>0.23300000000000001</v>
      </c>
      <c r="N301" s="721">
        <f>'[1]Bud men fixes'!$G$45</f>
        <v>23090.852679152897</v>
      </c>
      <c r="O301" s="754">
        <f>'[1]Bud men fixes'!$H$46</f>
        <v>35970.34032981941</v>
      </c>
      <c r="P301" s="751">
        <f t="shared" si="53"/>
        <v>0.23300000000000004</v>
      </c>
      <c r="Q301" s="721">
        <f>'[1]Bud men fixes'!$H$45</f>
        <v>8381.0892968479238</v>
      </c>
      <c r="R301" s="754">
        <f>'[1]Bud men fixes'!$I$46</f>
        <v>62454.094134900406</v>
      </c>
      <c r="S301" s="751">
        <f t="shared" si="54"/>
        <v>0.23300000000000001</v>
      </c>
      <c r="T301" s="721">
        <f>'[1]Bud men fixes'!$I$45</f>
        <v>14551.803933431795</v>
      </c>
      <c r="U301" s="754">
        <f>'[1]Bud men fixes'!$J$46</f>
        <v>53728.038902494198</v>
      </c>
      <c r="V301" s="751">
        <f t="shared" si="55"/>
        <v>0.23300000000000001</v>
      </c>
      <c r="W301" s="721">
        <f>'[1]Bud men fixes'!$J$45</f>
        <v>12518.633064281148</v>
      </c>
      <c r="X301" s="754">
        <f>'[1]Bud men fixes'!$K$46</f>
        <v>69585.891939010864</v>
      </c>
      <c r="Y301" s="751">
        <f t="shared" si="56"/>
        <v>0.23300000000000001</v>
      </c>
      <c r="Z301" s="721">
        <f>'[1]Bud men fixes'!$K$45</f>
        <v>16213.512821789533</v>
      </c>
      <c r="AA301" s="754">
        <f>'[1]Bud men fixes'!$L$46</f>
        <v>74077.451332687619</v>
      </c>
      <c r="AB301" s="751">
        <f t="shared" si="57"/>
        <v>0.23300000000000001</v>
      </c>
      <c r="AC301" s="721">
        <f>'[1]Bud men fixes'!$L$45</f>
        <v>17260.046160516216</v>
      </c>
      <c r="AD301" s="754">
        <f>'[1]Bud men fixes'!$M$46</f>
        <v>71141.76688310894</v>
      </c>
      <c r="AE301" s="751">
        <f t="shared" si="58"/>
        <v>0.23300000000000001</v>
      </c>
      <c r="AF301" s="721">
        <f>'[1]Bud men fixes'!$M$45</f>
        <v>16576.031683764384</v>
      </c>
      <c r="AG301" s="754">
        <f>'[1]Bud men fixes'!$N$46</f>
        <v>69658.074032964229</v>
      </c>
      <c r="AH301" s="751">
        <f t="shared" si="59"/>
        <v>0.23300000000000001</v>
      </c>
      <c r="AI301" s="721">
        <f>'[1]Bud men fixes'!$N$45</f>
        <v>16230.331249680667</v>
      </c>
      <c r="AJ301" s="754">
        <f>'[1]Bud men fixes'!$O$46</f>
        <v>12978.714991618726</v>
      </c>
      <c r="AK301" s="751">
        <f t="shared" si="60"/>
        <v>0.23300000000000001</v>
      </c>
      <c r="AL301" s="721">
        <f>'[1]Bud men fixes'!$O$45</f>
        <v>3024.0405930471634</v>
      </c>
      <c r="AM301" s="754">
        <f>'[1]Bud men fixes'!$P$46</f>
        <v>23996.861360723124</v>
      </c>
      <c r="AN301" s="751">
        <f t="shared" si="61"/>
        <v>0.23300000000000001</v>
      </c>
      <c r="AO301" s="721">
        <f>'[1]Bud men fixes'!$P$45</f>
        <v>5591.2686970484883</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Internes</v>
      </c>
      <c r="B302" s="700" t="s">
        <v>185</v>
      </c>
      <c r="C302" s="753">
        <f t="shared" si="48"/>
        <v>847898.83640000003</v>
      </c>
      <c r="D302" s="751">
        <f t="shared" si="62"/>
        <v>0.28499999999999998</v>
      </c>
      <c r="E302" s="708">
        <f t="shared" si="49"/>
        <v>241651.168374</v>
      </c>
      <c r="F302" s="754">
        <f>'[1]Bud men fixes'!$E$49</f>
        <v>89507.055367521229</v>
      </c>
      <c r="G302" s="751">
        <f t="shared" si="50"/>
        <v>0.28499999999999998</v>
      </c>
      <c r="H302" s="721">
        <f>'[1]Bud men fixes'!$E$48</f>
        <v>25509.510779743548</v>
      </c>
      <c r="I302" s="754">
        <f>'[1]Bud men fixes'!$F$49</f>
        <v>70653.654628670047</v>
      </c>
      <c r="J302" s="751">
        <f t="shared" si="51"/>
        <v>0.28499999999999998</v>
      </c>
      <c r="K302" s="721">
        <f>'[1]Bud men fixes'!$F$48</f>
        <v>20136.29156917096</v>
      </c>
      <c r="L302" s="754">
        <f>'[1]Bud men fixes'!$G$49</f>
        <v>52781.755248144254</v>
      </c>
      <c r="M302" s="751">
        <f t="shared" si="52"/>
        <v>0.28499999999999998</v>
      </c>
      <c r="N302" s="721">
        <f>'[1]Bud men fixes'!$G$48</f>
        <v>15042.800245721111</v>
      </c>
      <c r="O302" s="754">
        <f>'[1]Bud men fixes'!$H$49</f>
        <v>57527.126877117953</v>
      </c>
      <c r="P302" s="751">
        <f t="shared" si="53"/>
        <v>0.28499999999999998</v>
      </c>
      <c r="Q302" s="721">
        <f>'[1]Bud men fixes'!$H$48</f>
        <v>16395.231159978615</v>
      </c>
      <c r="R302" s="754">
        <f>'[1]Bud men fixes'!$I$49</f>
        <v>63246.978569541316</v>
      </c>
      <c r="S302" s="751">
        <f t="shared" si="54"/>
        <v>0.28499999999999998</v>
      </c>
      <c r="T302" s="721">
        <f>'[1]Bud men fixes'!$I$48</f>
        <v>18025.388892319272</v>
      </c>
      <c r="U302" s="754">
        <f>'[1]Bud men fixes'!$J$49</f>
        <v>73710.71083941168</v>
      </c>
      <c r="V302" s="751">
        <f t="shared" si="55"/>
        <v>0.28499999999999998</v>
      </c>
      <c r="W302" s="721">
        <f>'[1]Bud men fixes'!$J$48</f>
        <v>21007.552589232328</v>
      </c>
      <c r="X302" s="754">
        <f>'[1]Bud men fixes'!$K$49</f>
        <v>81982.141147775255</v>
      </c>
      <c r="Y302" s="751">
        <f t="shared" si="56"/>
        <v>0.28499999999999998</v>
      </c>
      <c r="Z302" s="721">
        <f>'[1]Bud men fixes'!$K$48</f>
        <v>23364.910227115946</v>
      </c>
      <c r="AA302" s="754">
        <f>'[1]Bud men fixes'!$L$49</f>
        <v>78463.348562765474</v>
      </c>
      <c r="AB302" s="751">
        <f t="shared" si="57"/>
        <v>0.28499999999999998</v>
      </c>
      <c r="AC302" s="721">
        <f>'[1]Bud men fixes'!$L$48</f>
        <v>22362.054340388157</v>
      </c>
      <c r="AD302" s="754">
        <f>'[1]Bud men fixes'!$M$49</f>
        <v>91249.58274872406</v>
      </c>
      <c r="AE302" s="751">
        <f t="shared" si="58"/>
        <v>0.28499999999999998</v>
      </c>
      <c r="AF302" s="721">
        <f>'[1]Bud men fixes'!$M$48</f>
        <v>26006.131083386354</v>
      </c>
      <c r="AG302" s="754">
        <f>'[1]Bud men fixes'!$N$49</f>
        <v>53153.750349555434</v>
      </c>
      <c r="AH302" s="751">
        <f t="shared" si="59"/>
        <v>0.28499999999999998</v>
      </c>
      <c r="AI302" s="721">
        <f>'[1]Bud men fixes'!$N$48</f>
        <v>15148.818849623298</v>
      </c>
      <c r="AJ302" s="754">
        <f>'[1]Bud men fixes'!$O$49</f>
        <v>79066.078324308342</v>
      </c>
      <c r="AK302" s="751">
        <f t="shared" si="60"/>
        <v>0.28499999999999998</v>
      </c>
      <c r="AL302" s="721">
        <f>'[1]Bud men fixes'!$O$48</f>
        <v>22533.832322427876</v>
      </c>
      <c r="AM302" s="754">
        <f>'[1]Bud men fixes'!$P$49</f>
        <v>56556.653736465036</v>
      </c>
      <c r="AN302" s="751">
        <f t="shared" si="61"/>
        <v>0.28499999999999998</v>
      </c>
      <c r="AO302" s="721">
        <f>'[1]Bud men fixes'!$P$48</f>
        <v>16118.646314892534</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Détails</v>
      </c>
      <c r="B303" s="700" t="s">
        <v>186</v>
      </c>
      <c r="C303" s="753">
        <f t="shared" si="48"/>
        <v>240194.59590000004</v>
      </c>
      <c r="D303" s="751">
        <f t="shared" si="62"/>
        <v>0.28499999999999992</v>
      </c>
      <c r="E303" s="708">
        <f t="shared" si="49"/>
        <v>68455.459831499989</v>
      </c>
      <c r="F303" s="754">
        <f>'[1]Bud men fixes'!$E$52</f>
        <v>12391.363940930109</v>
      </c>
      <c r="G303" s="751">
        <f t="shared" si="50"/>
        <v>0.28499999999999998</v>
      </c>
      <c r="H303" s="721">
        <f>'[1]Bud men fixes'!$E$51</f>
        <v>3531.5387231650807</v>
      </c>
      <c r="I303" s="754">
        <f>'[1]Bud men fixes'!$F$52</f>
        <v>20512.474226859587</v>
      </c>
      <c r="J303" s="751">
        <f t="shared" si="51"/>
        <v>0.28499999999999998</v>
      </c>
      <c r="K303" s="721">
        <f>'[1]Bud men fixes'!$F$51</f>
        <v>5846.0551546549823</v>
      </c>
      <c r="L303" s="754">
        <f>'[1]Bud men fixes'!$G$52</f>
        <v>14520.602905241512</v>
      </c>
      <c r="M303" s="751">
        <f t="shared" si="52"/>
        <v>0.28499999999999992</v>
      </c>
      <c r="N303" s="721">
        <f>'[1]Bud men fixes'!$G$51</f>
        <v>4138.3718279938303</v>
      </c>
      <c r="O303" s="754">
        <f>'[1]Bud men fixes'!$H$52</f>
        <v>20488.566914240866</v>
      </c>
      <c r="P303" s="751">
        <f t="shared" si="53"/>
        <v>0.28499999999999998</v>
      </c>
      <c r="Q303" s="721">
        <f>'[1]Bud men fixes'!$H$51</f>
        <v>5839.2415705586463</v>
      </c>
      <c r="R303" s="754">
        <f>'[1]Bud men fixes'!$I$52</f>
        <v>24265.544880870733</v>
      </c>
      <c r="S303" s="751">
        <f t="shared" si="54"/>
        <v>0.28499999999999998</v>
      </c>
      <c r="T303" s="721">
        <f>'[1]Bud men fixes'!$I$51</f>
        <v>6915.6802910481583</v>
      </c>
      <c r="U303" s="754">
        <f>'[1]Bud men fixes'!$J$52</f>
        <v>19593.493089571763</v>
      </c>
      <c r="V303" s="751">
        <f t="shared" si="55"/>
        <v>0.28499999999999998</v>
      </c>
      <c r="W303" s="721">
        <f>'[1]Bud men fixes'!$J$51</f>
        <v>5584.1455305279515</v>
      </c>
      <c r="X303" s="754">
        <f>'[1]Bud men fixes'!$K$52</f>
        <v>16976.693761963077</v>
      </c>
      <c r="Y303" s="751">
        <f t="shared" si="56"/>
        <v>0.28499999999999998</v>
      </c>
      <c r="Z303" s="721">
        <f>'[1]Bud men fixes'!$K$51</f>
        <v>4838.3577221594769</v>
      </c>
      <c r="AA303" s="754">
        <f>'[1]Bud men fixes'!$L$52</f>
        <v>16018.10434355277</v>
      </c>
      <c r="AB303" s="751">
        <f t="shared" si="57"/>
        <v>0.28499999999999998</v>
      </c>
      <c r="AC303" s="721">
        <f>'[1]Bud men fixes'!$L$51</f>
        <v>4565.1597379125387</v>
      </c>
      <c r="AD303" s="754">
        <f>'[1]Bud men fixes'!$M$52</f>
        <v>27584.326314722384</v>
      </c>
      <c r="AE303" s="751">
        <f t="shared" si="58"/>
        <v>0.28499999999999998</v>
      </c>
      <c r="AF303" s="721">
        <f>'[1]Bud men fixes'!$M$51</f>
        <v>7861.532999695879</v>
      </c>
      <c r="AG303" s="754">
        <f>'[1]Bud men fixes'!$N$52</f>
        <v>22918.841755441816</v>
      </c>
      <c r="AH303" s="751">
        <f t="shared" si="59"/>
        <v>0.28499999999999998</v>
      </c>
      <c r="AI303" s="721">
        <f>'[1]Bud men fixes'!$N$51</f>
        <v>6531.8699003009169</v>
      </c>
      <c r="AJ303" s="754">
        <f>'[1]Bud men fixes'!$O$52</f>
        <v>30309.759953256169</v>
      </c>
      <c r="AK303" s="751">
        <f t="shared" si="60"/>
        <v>0.28499999999999998</v>
      </c>
      <c r="AL303" s="721">
        <f>'[1]Bud men fixes'!$O$51</f>
        <v>8638.2815866780074</v>
      </c>
      <c r="AM303" s="754">
        <f>'[1]Bud men fixes'!$P$52</f>
        <v>14614.823813349216</v>
      </c>
      <c r="AN303" s="751">
        <f t="shared" si="61"/>
        <v>0.28499999999999998</v>
      </c>
      <c r="AO303" s="721">
        <f>'[1]Bud men fixes'!$P$51</f>
        <v>4165.224786804526</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PiècesVentes de Gros</v>
      </c>
      <c r="B304" s="700" t="s">
        <v>187</v>
      </c>
      <c r="C304" s="753">
        <f t="shared" si="48"/>
        <v>1995000.0000000009</v>
      </c>
      <c r="D304" s="751">
        <f t="shared" si="62"/>
        <v>0.13499999999999995</v>
      </c>
      <c r="E304" s="708">
        <f t="shared" si="49"/>
        <v>269325.00000000006</v>
      </c>
      <c r="F304" s="754">
        <f>'[1]Bud men fixes'!$E$55</f>
        <v>168485.73491354403</v>
      </c>
      <c r="G304" s="751">
        <f t="shared" si="50"/>
        <v>0.13500000000000001</v>
      </c>
      <c r="H304" s="721">
        <f>'[1]Bud men fixes'!$E$54</f>
        <v>22745.574213328444</v>
      </c>
      <c r="I304" s="754">
        <f>'[1]Bud men fixes'!$F$55</f>
        <v>169290.82542283507</v>
      </c>
      <c r="J304" s="751">
        <f t="shared" si="51"/>
        <v>0.13500000000000001</v>
      </c>
      <c r="K304" s="721">
        <f>'[1]Bud men fixes'!$F$54</f>
        <v>22854.261432082734</v>
      </c>
      <c r="L304" s="754">
        <f>'[1]Bud men fixes'!$G$55</f>
        <v>186966.86885141459</v>
      </c>
      <c r="M304" s="751">
        <f t="shared" si="52"/>
        <v>0.13500000000000001</v>
      </c>
      <c r="N304" s="721">
        <f>'[1]Bud men fixes'!$G$54</f>
        <v>25240.52729494097</v>
      </c>
      <c r="O304" s="754">
        <f>'[1]Bud men fixes'!$H$55</f>
        <v>157937.65595679815</v>
      </c>
      <c r="P304" s="751">
        <f t="shared" si="53"/>
        <v>0.13500000000000001</v>
      </c>
      <c r="Q304" s="721">
        <f>'[1]Bud men fixes'!$H$54</f>
        <v>21321.583554167752</v>
      </c>
      <c r="R304" s="754">
        <f>'[1]Bud men fixes'!$I$55</f>
        <v>167213.33183495706</v>
      </c>
      <c r="S304" s="751">
        <f t="shared" si="54"/>
        <v>0.13500000000000001</v>
      </c>
      <c r="T304" s="721">
        <f>'[1]Bud men fixes'!$I$54</f>
        <v>22573.799797719206</v>
      </c>
      <c r="U304" s="754">
        <f>'[1]Bud men fixes'!$J$55</f>
        <v>139799.21392875223</v>
      </c>
      <c r="V304" s="751">
        <f t="shared" si="55"/>
        <v>0.13500000000000001</v>
      </c>
      <c r="W304" s="721">
        <f>'[1]Bud men fixes'!$J$54</f>
        <v>18872.893880381551</v>
      </c>
      <c r="X304" s="754">
        <f>'[1]Bud men fixes'!$K$55</f>
        <v>158824.7935810585</v>
      </c>
      <c r="Y304" s="751">
        <f t="shared" si="56"/>
        <v>0.13500000000000001</v>
      </c>
      <c r="Z304" s="721">
        <f>'[1]Bud men fixes'!$K$54</f>
        <v>21441.347133442898</v>
      </c>
      <c r="AA304" s="754">
        <f>'[1]Bud men fixes'!$L$55</f>
        <v>169896.08683666837</v>
      </c>
      <c r="AB304" s="751">
        <f t="shared" si="57"/>
        <v>0.13500000000000001</v>
      </c>
      <c r="AC304" s="721">
        <f>'[1]Bud men fixes'!$L$54</f>
        <v>22935.971722950231</v>
      </c>
      <c r="AD304" s="754">
        <f>'[1]Bud men fixes'!$M$55</f>
        <v>164507.41219210852</v>
      </c>
      <c r="AE304" s="751">
        <f t="shared" si="58"/>
        <v>0.13500000000000001</v>
      </c>
      <c r="AF304" s="721">
        <f>'[1]Bud men fixes'!$M$54</f>
        <v>22208.500645934651</v>
      </c>
      <c r="AG304" s="754">
        <f>'[1]Bud men fixes'!$N$55</f>
        <v>194290.23388437086</v>
      </c>
      <c r="AH304" s="751">
        <f t="shared" si="59"/>
        <v>0.13500000000000001</v>
      </c>
      <c r="AI304" s="721">
        <f>'[1]Bud men fixes'!$N$54</f>
        <v>26229.181574390066</v>
      </c>
      <c r="AJ304" s="754">
        <f>'[1]Bud men fixes'!$O$55</f>
        <v>164648.24810037587</v>
      </c>
      <c r="AK304" s="751">
        <f t="shared" si="60"/>
        <v>0.13500000000000001</v>
      </c>
      <c r="AL304" s="721">
        <f>'[1]Bud men fixes'!$O$54</f>
        <v>22227.513493550745</v>
      </c>
      <c r="AM304" s="754">
        <f>'[1]Bud men fixes'!$P$55</f>
        <v>153139.5944971171</v>
      </c>
      <c r="AN304" s="751">
        <f t="shared" si="61"/>
        <v>0.13500000000000001</v>
      </c>
      <c r="AO304" s="721">
        <f>'[1]Bud men fixes'!$P$54</f>
        <v>20673.84525711081</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v>
      </c>
      <c r="B305" s="700" t="s">
        <v>59</v>
      </c>
      <c r="C305" s="753">
        <f t="shared" si="48"/>
        <v>0</v>
      </c>
      <c r="D305" s="751">
        <f t="shared" si="62"/>
        <v>0</v>
      </c>
      <c r="E305" s="708">
        <f t="shared" si="49"/>
        <v>0</v>
      </c>
      <c r="F305" s="754"/>
      <c r="G305" s="751">
        <f t="shared" si="50"/>
        <v>0</v>
      </c>
      <c r="H305" s="721"/>
      <c r="I305" s="754"/>
      <c r="J305" s="751">
        <f t="shared" si="51"/>
        <v>0</v>
      </c>
      <c r="K305" s="721"/>
      <c r="L305" s="754"/>
      <c r="M305" s="751">
        <f t="shared" si="52"/>
        <v>0</v>
      </c>
      <c r="N305" s="721"/>
      <c r="O305" s="754"/>
      <c r="P305" s="751">
        <f t="shared" si="53"/>
        <v>0</v>
      </c>
      <c r="Q305" s="721"/>
      <c r="R305" s="754"/>
      <c r="S305" s="751">
        <f t="shared" si="54"/>
        <v>0</v>
      </c>
      <c r="T305" s="721"/>
      <c r="U305" s="754"/>
      <c r="V305" s="751">
        <f t="shared" si="55"/>
        <v>0</v>
      </c>
      <c r="W305" s="721"/>
      <c r="X305" s="754"/>
      <c r="Y305" s="751">
        <f t="shared" si="56"/>
        <v>0</v>
      </c>
      <c r="Z305" s="721"/>
      <c r="AA305" s="754"/>
      <c r="AB305" s="751">
        <f t="shared" si="57"/>
        <v>0</v>
      </c>
      <c r="AC305" s="721"/>
      <c r="AD305" s="754"/>
      <c r="AE305" s="751">
        <f t="shared" si="58"/>
        <v>0</v>
      </c>
      <c r="AF305" s="721"/>
      <c r="AG305" s="754"/>
      <c r="AH305" s="751">
        <f t="shared" si="59"/>
        <v>0</v>
      </c>
      <c r="AI305" s="721"/>
      <c r="AJ305" s="754"/>
      <c r="AK305" s="751">
        <f t="shared" si="60"/>
        <v>0</v>
      </c>
      <c r="AL305" s="721"/>
      <c r="AM305" s="754"/>
      <c r="AN305" s="751">
        <f t="shared" si="61"/>
        <v>0</v>
      </c>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PiècesEscomptes</v>
      </c>
      <c r="B306" s="700" t="s">
        <v>188</v>
      </c>
      <c r="C306" s="753">
        <f t="shared" si="48"/>
        <v>0</v>
      </c>
      <c r="D306" s="751">
        <f>IF(C306&lt;=0,0,E306/C306)</f>
        <v>0</v>
      </c>
      <c r="E306" s="708">
        <f t="shared" si="49"/>
        <v>178036.684875604</v>
      </c>
      <c r="F306" s="754"/>
      <c r="G306" s="751">
        <f t="shared" si="50"/>
        <v>0</v>
      </c>
      <c r="H306" s="721">
        <f>'[1]Bud men fixes'!$E$58</f>
        <v>6109.8799318144784</v>
      </c>
      <c r="I306" s="754"/>
      <c r="J306" s="751">
        <f t="shared" si="51"/>
        <v>0</v>
      </c>
      <c r="K306" s="721">
        <f>'[1]Bud men fixes'!$F$58</f>
        <v>6000.2121533396248</v>
      </c>
      <c r="L306" s="754"/>
      <c r="M306" s="751">
        <f t="shared" si="52"/>
        <v>0</v>
      </c>
      <c r="N306" s="721">
        <f>'[1]Bud men fixes'!$G$58</f>
        <v>31971.095766823528</v>
      </c>
      <c r="O306" s="754"/>
      <c r="P306" s="751">
        <f t="shared" si="53"/>
        <v>0</v>
      </c>
      <c r="Q306" s="721">
        <f>'[1]Bud men fixes'!$H$58</f>
        <v>5876.8738529304828</v>
      </c>
      <c r="R306" s="754"/>
      <c r="S306" s="751">
        <f t="shared" si="54"/>
        <v>0</v>
      </c>
      <c r="T306" s="721">
        <f>'[1]Bud men fixes'!$I$58</f>
        <v>7103.8069842399327</v>
      </c>
      <c r="U306" s="754"/>
      <c r="V306" s="751">
        <f t="shared" si="55"/>
        <v>0</v>
      </c>
      <c r="W306" s="721">
        <f>'[1]Bud men fixes'!$J$58</f>
        <v>31271.465778393191</v>
      </c>
      <c r="X306" s="754"/>
      <c r="Y306" s="751">
        <f t="shared" si="56"/>
        <v>0</v>
      </c>
      <c r="Z306" s="721">
        <f>'[1]Bud men fixes'!$K$58</f>
        <v>6600.125347857168</v>
      </c>
      <c r="AA306" s="754"/>
      <c r="AB306" s="751">
        <f t="shared" si="57"/>
        <v>0</v>
      </c>
      <c r="AC306" s="721">
        <f>'[1]Bud men fixes'!$L$58</f>
        <v>6835.2363512296415</v>
      </c>
      <c r="AD306" s="754"/>
      <c r="AE306" s="751">
        <f t="shared" si="58"/>
        <v>0</v>
      </c>
      <c r="AF306" s="721">
        <f>'[1]Bud men fixes'!$M$58</f>
        <v>32051.623377307671</v>
      </c>
      <c r="AG306" s="754"/>
      <c r="AH306" s="751">
        <f t="shared" si="59"/>
        <v>0</v>
      </c>
      <c r="AI306" s="721">
        <f>'[1]Bud men fixes'!$N$58</f>
        <v>7273.2116945432881</v>
      </c>
      <c r="AJ306" s="754"/>
      <c r="AK306" s="751">
        <f t="shared" si="60"/>
        <v>0</v>
      </c>
      <c r="AL306" s="721">
        <f>'[1]Bud men fixes'!$O$58</f>
        <v>6704.4677758464204</v>
      </c>
      <c r="AM306" s="754"/>
      <c r="AN306" s="751">
        <f t="shared" si="61"/>
        <v>0</v>
      </c>
      <c r="AO306" s="721">
        <f>'[1]Bud men fixes'!$P$58</f>
        <v>30238.685861278562</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PiècesRectif. Inventaire</v>
      </c>
      <c r="B307" s="726" t="s">
        <v>189</v>
      </c>
      <c r="C307" s="753">
        <f t="shared" si="48"/>
        <v>0</v>
      </c>
      <c r="D307" s="751">
        <f>IF(C307&lt;=0,0,E307/C307)</f>
        <v>0</v>
      </c>
      <c r="E307" s="708">
        <f t="shared" si="49"/>
        <v>0</v>
      </c>
      <c r="F307" s="754"/>
      <c r="G307" s="751">
        <f t="shared" si="50"/>
        <v>0</v>
      </c>
      <c r="H307" s="721">
        <f>'[1]Bud men fixes'!$E$59</f>
        <v>0</v>
      </c>
      <c r="I307" s="754"/>
      <c r="J307" s="751">
        <f t="shared" si="51"/>
        <v>0</v>
      </c>
      <c r="K307" s="721">
        <f>'[1]Bud men fixes'!$F$59</f>
        <v>0</v>
      </c>
      <c r="L307" s="754"/>
      <c r="M307" s="751">
        <f t="shared" si="52"/>
        <v>0</v>
      </c>
      <c r="N307" s="721">
        <f>'[1]Bud men fixes'!$G$59</f>
        <v>0</v>
      </c>
      <c r="O307" s="754"/>
      <c r="P307" s="751">
        <f t="shared" si="53"/>
        <v>0</v>
      </c>
      <c r="Q307" s="721">
        <f>'[1]Bud men fixes'!$H$59</f>
        <v>0</v>
      </c>
      <c r="R307" s="754"/>
      <c r="S307" s="751">
        <f t="shared" si="54"/>
        <v>0</v>
      </c>
      <c r="T307" s="721">
        <f>'[1]Bud men fixes'!$I$59</f>
        <v>0</v>
      </c>
      <c r="U307" s="754"/>
      <c r="V307" s="751">
        <f t="shared" si="55"/>
        <v>0</v>
      </c>
      <c r="W307" s="721">
        <f>'[1]Bud men fixes'!$J$59</f>
        <v>0</v>
      </c>
      <c r="X307" s="754"/>
      <c r="Y307" s="751">
        <f t="shared" si="56"/>
        <v>0</v>
      </c>
      <c r="Z307" s="721">
        <f>'[1]Bud men fixes'!$K$59</f>
        <v>0</v>
      </c>
      <c r="AA307" s="754"/>
      <c r="AB307" s="751">
        <f t="shared" si="57"/>
        <v>0</v>
      </c>
      <c r="AC307" s="721">
        <f>'[1]Bud men fixes'!$L$59</f>
        <v>0</v>
      </c>
      <c r="AD307" s="754"/>
      <c r="AE307" s="751">
        <f t="shared" si="58"/>
        <v>0</v>
      </c>
      <c r="AF307" s="721">
        <f>'[1]Bud men fixes'!$M$59</f>
        <v>0</v>
      </c>
      <c r="AG307" s="754"/>
      <c r="AH307" s="751">
        <f t="shared" si="59"/>
        <v>0</v>
      </c>
      <c r="AI307" s="721">
        <f>'[1]Bud men fixes'!$N$59</f>
        <v>0</v>
      </c>
      <c r="AJ307" s="754"/>
      <c r="AK307" s="751">
        <f t="shared" si="60"/>
        <v>0</v>
      </c>
      <c r="AL307" s="721">
        <f>'[1]Bud men fixes'!$O$59</f>
        <v>0</v>
      </c>
      <c r="AM307" s="754"/>
      <c r="AN307" s="751">
        <f t="shared" si="61"/>
        <v>0</v>
      </c>
      <c r="AO307" s="721">
        <f>'[1]Bud men fixes'!$P$59</f>
        <v>0</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PiècesSous-total Pièces</v>
      </c>
      <c r="B308" s="747" t="s">
        <v>190</v>
      </c>
      <c r="C308" s="1068">
        <f>SUM(C299:C307)</f>
        <v>5574048.9196860008</v>
      </c>
      <c r="D308" s="1069">
        <f>IF(C308&lt;=0,0,E308/C308)</f>
        <v>0.26512195263428939</v>
      </c>
      <c r="E308" s="1070">
        <f>SUM(E299:E307)</f>
        <v>1477802.7336662039</v>
      </c>
      <c r="F308" s="1068">
        <f>SUM(F299:F307)</f>
        <v>436419.9951296057</v>
      </c>
      <c r="G308" s="1069">
        <f t="shared" si="50"/>
        <v>0.24120382644806501</v>
      </c>
      <c r="H308" s="1070">
        <f>SUM(H299:H307)</f>
        <v>105266.1727637068</v>
      </c>
      <c r="I308" s="1068">
        <f>SUM(I299:I307)</f>
        <v>428586.58238140179</v>
      </c>
      <c r="J308" s="1069">
        <f t="shared" si="51"/>
        <v>0.23769810215244144</v>
      </c>
      <c r="K308" s="1070">
        <f>SUM(K299:K307)</f>
        <v>101874.2172400602</v>
      </c>
      <c r="L308" s="1068">
        <f>SUM(L299:L307)</f>
        <v>497935.41191596643</v>
      </c>
      <c r="M308" s="1069">
        <f t="shared" si="52"/>
        <v>0.28742880884510785</v>
      </c>
      <c r="N308" s="1070">
        <f>SUM(N299:N307)</f>
        <v>143120.98232880436</v>
      </c>
      <c r="O308" s="1068">
        <f>SUM(O299:O307)</f>
        <v>419776.70378074882</v>
      </c>
      <c r="P308" s="1069">
        <f t="shared" si="53"/>
        <v>0.24442179212509024</v>
      </c>
      <c r="Q308" s="1070">
        <f>SUM(Q299:Q307)</f>
        <v>102602.57423045377</v>
      </c>
      <c r="R308" s="1068">
        <f>SUM(R299:R307)</f>
        <v>507414.78458856675</v>
      </c>
      <c r="S308" s="1069">
        <f t="shared" si="54"/>
        <v>0.2538212841237823</v>
      </c>
      <c r="T308" s="1070">
        <f>SUM(T299:T307)</f>
        <v>128792.6722076624</v>
      </c>
      <c r="U308" s="1068">
        <f>SUM(U299:U307)</f>
        <v>447961.84131379955</v>
      </c>
      <c r="V308" s="1069">
        <f t="shared" si="55"/>
        <v>0.30804928614421834</v>
      </c>
      <c r="W308" s="1070">
        <f>SUM(W299:W307)</f>
        <v>137994.32543656556</v>
      </c>
      <c r="X308" s="1068">
        <f>SUM(X299:X307)</f>
        <v>471437.52484694065</v>
      </c>
      <c r="Y308" s="1069">
        <f t="shared" si="56"/>
        <v>0.24884326897068568</v>
      </c>
      <c r="Z308" s="1070">
        <f>SUM(Z299:Z307)</f>
        <v>117314.05479836157</v>
      </c>
      <c r="AA308" s="1068">
        <f>SUM(AA299:AA307)</f>
        <v>488231.16794497444</v>
      </c>
      <c r="AB308" s="1069">
        <f t="shared" si="57"/>
        <v>0.24602306879103097</v>
      </c>
      <c r="AC308" s="1070">
        <f>SUM(AC299:AC307)</f>
        <v>120116.13021725185</v>
      </c>
      <c r="AD308" s="1068">
        <f>SUM(AD299:AD307)</f>
        <v>503687.3840934051</v>
      </c>
      <c r="AE308" s="1069">
        <f t="shared" si="58"/>
        <v>0.29911673020245694</v>
      </c>
      <c r="AF308" s="1070">
        <f>SUM(AF299:AF307)</f>
        <v>150661.32337424834</v>
      </c>
      <c r="AG308" s="1068">
        <f>SUM(AG299:AG307)</f>
        <v>519515.12103880639</v>
      </c>
      <c r="AH308" s="1069">
        <f t="shared" si="59"/>
        <v>0.24633044437362003</v>
      </c>
      <c r="AI308" s="1070">
        <f>SUM(AI299:AI307)</f>
        <v>127972.39062430417</v>
      </c>
      <c r="AJ308" s="1068">
        <f>SUM(AJ299:AJ307)</f>
        <v>478890.55541760154</v>
      </c>
      <c r="AK308" s="1069">
        <f t="shared" si="60"/>
        <v>0.26043706286837526</v>
      </c>
      <c r="AL308" s="1070">
        <f>SUM(AL299:AL307)</f>
        <v>124720.84968836504</v>
      </c>
      <c r="AM308" s="1068">
        <f>SUM(AM299:AM307)</f>
        <v>374191.84723418299</v>
      </c>
      <c r="AN308" s="1069">
        <f t="shared" si="61"/>
        <v>0.31365472450544141</v>
      </c>
      <c r="AO308" s="1070">
        <f>SUM(AO299:AO307)</f>
        <v>117367.04075641988</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00"/>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
      </c>
      <c r="B310" s="726"/>
      <c r="C310" s="726"/>
      <c r="D310" s="727"/>
      <c r="E310" s="777"/>
      <c r="F310" s="726"/>
      <c r="G310" s="727"/>
      <c r="H310" s="777"/>
      <c r="I310" s="726"/>
      <c r="J310" s="727"/>
      <c r="K310" s="777"/>
      <c r="L310" s="726"/>
      <c r="M310" s="727"/>
      <c r="N310" s="777"/>
      <c r="O310" s="726"/>
      <c r="P310" s="727"/>
      <c r="Q310" s="777"/>
      <c r="R310" s="726"/>
      <c r="S310" s="727"/>
      <c r="T310" s="777"/>
      <c r="U310" s="726"/>
      <c r="V310" s="727"/>
      <c r="W310" s="777"/>
      <c r="X310" s="726"/>
      <c r="Y310" s="727"/>
      <c r="Z310" s="777"/>
      <c r="AA310" s="726"/>
      <c r="AB310" s="727"/>
      <c r="AC310" s="777"/>
      <c r="AD310" s="726"/>
      <c r="AE310" s="727"/>
      <c r="AF310" s="777"/>
      <c r="AG310" s="726"/>
      <c r="AH310" s="727"/>
      <c r="AI310" s="777"/>
      <c r="AJ310" s="726"/>
      <c r="AK310" s="727"/>
      <c r="AL310" s="777"/>
      <c r="AM310" s="726"/>
      <c r="AN310" s="727"/>
      <c r="AO310" s="777"/>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PiècesVentes Pneus</v>
      </c>
      <c r="B311" s="700" t="s">
        <v>191</v>
      </c>
      <c r="C311" s="753">
        <f>+SUM(F311,I311,L311,O311,R311,U311,X311,AA311,AD311,AG311,AJ311,AM311)</f>
        <v>630000.00000000012</v>
      </c>
      <c r="D311" s="751">
        <f>IF(C311&lt;=0,0,E311/C311)</f>
        <v>0.17100000000000004</v>
      </c>
      <c r="E311" s="708">
        <f>+SUM(H311,K311,N311,Q311,T311,W311,Z311,AC311,AF311,AI311,AL311,AO311)</f>
        <v>107730.00000000004</v>
      </c>
      <c r="F311" s="754">
        <f>'[1]Bud men fixes'!$E$61</f>
        <v>55375.44738351593</v>
      </c>
      <c r="G311" s="751">
        <f>IF(F311&lt;=0,0,H311/F311)</f>
        <v>0.17100000000000001</v>
      </c>
      <c r="H311" s="721">
        <f>'[1]Bud men fixes'!$E$60</f>
        <v>9469.2015025812252</v>
      </c>
      <c r="I311" s="754">
        <f>'[1]Bud men fixes'!$F$61</f>
        <v>50864.656595468507</v>
      </c>
      <c r="J311" s="751">
        <f>IF(I311&lt;=0,0,K311/I311)</f>
        <v>0.17100000000000004</v>
      </c>
      <c r="K311" s="721">
        <f>'[1]Bud men fixes'!$F$60</f>
        <v>8697.8562778251162</v>
      </c>
      <c r="L311" s="754">
        <f>'[1]Bud men fixes'!$G$61</f>
        <v>29677.516171196814</v>
      </c>
      <c r="M311" s="751">
        <f>IF(L311&lt;=0,0,N311/L311)</f>
        <v>0.17100000000000001</v>
      </c>
      <c r="N311" s="721">
        <f>'[1]Bud men fixes'!$G$60</f>
        <v>5074.8552652746557</v>
      </c>
      <c r="O311" s="754">
        <f>'[1]Bud men fixes'!$H$61</f>
        <v>43383.723470255907</v>
      </c>
      <c r="P311" s="751">
        <f>IF(O311&lt;=0,0,Q311/O311)</f>
        <v>0.17100000000000001</v>
      </c>
      <c r="Q311" s="721">
        <f>'[1]Bud men fixes'!$H$60</f>
        <v>7418.6167134137604</v>
      </c>
      <c r="R311" s="754">
        <f>'[1]Bud men fixes'!$I$61</f>
        <v>42328.301497948501</v>
      </c>
      <c r="S311" s="751">
        <f>IF(R311&lt;=0,0,T311/R311)</f>
        <v>0.17100000000000001</v>
      </c>
      <c r="T311" s="721">
        <f>'[1]Bud men fixes'!$I$60</f>
        <v>7238.1395561491945</v>
      </c>
      <c r="U311" s="754">
        <f>'[1]Bud men fixes'!$J$61</f>
        <v>29059.506276554464</v>
      </c>
      <c r="V311" s="751">
        <f>IF(U311&lt;=0,0,W311/U311)</f>
        <v>0.17100000000000001</v>
      </c>
      <c r="W311" s="721">
        <f>'[1]Bud men fixes'!$J$60</f>
        <v>4969.1755732908141</v>
      </c>
      <c r="X311" s="754">
        <f>'[1]Bud men fixes'!$K$61</f>
        <v>33620.760948270363</v>
      </c>
      <c r="Y311" s="751">
        <f>IF(X311&lt;=0,0,Z311/X311)</f>
        <v>0.17100000000000001</v>
      </c>
      <c r="Z311" s="721">
        <f>'[1]Bud men fixes'!$K$60</f>
        <v>5749.1501221542321</v>
      </c>
      <c r="AA311" s="754">
        <f>'[1]Bud men fixes'!$L$61</f>
        <v>24922.230701825261</v>
      </c>
      <c r="AB311" s="751">
        <f>IF(AA311&lt;=0,0,AC311/AA311)</f>
        <v>0.17100000000000004</v>
      </c>
      <c r="AC311" s="721">
        <f>'[1]Bud men fixes'!$L$60</f>
        <v>4261.7014500121204</v>
      </c>
      <c r="AD311" s="754">
        <f>'[1]Bud men fixes'!$M$61</f>
        <v>41940.02340793718</v>
      </c>
      <c r="AE311" s="751">
        <f>IF(AD311&lt;=0,0,AF311/AD311)</f>
        <v>0.17100000000000001</v>
      </c>
      <c r="AF311" s="721">
        <f>'[1]Bud men fixes'!$M$60</f>
        <v>7171.7440027572584</v>
      </c>
      <c r="AG311" s="754">
        <f>'[1]Bud men fixes'!$N$61</f>
        <v>70495.767135878719</v>
      </c>
      <c r="AH311" s="751">
        <f>IF(AG311&lt;=0,0,AI311/AG311)</f>
        <v>0.17100000000000001</v>
      </c>
      <c r="AI311" s="721">
        <f>'[1]Bud men fixes'!$N$60</f>
        <v>12054.776180235262</v>
      </c>
      <c r="AJ311" s="754">
        <f>'[1]Bud men fixes'!$O$61</f>
        <v>149015.50826974577</v>
      </c>
      <c r="AK311" s="751">
        <f>IF(AJ311&lt;=0,0,AL311/AJ311)</f>
        <v>0.17100000000000001</v>
      </c>
      <c r="AL311" s="721">
        <f>'[1]Bud men fixes'!$O$60</f>
        <v>25481.651914126527</v>
      </c>
      <c r="AM311" s="754">
        <f>'[1]Bud men fixes'!$P$61</f>
        <v>59316.558141402675</v>
      </c>
      <c r="AN311" s="751">
        <f>IF(AM311&lt;=0,0,AO311/AM311)</f>
        <v>0.17100000000000001</v>
      </c>
      <c r="AO311" s="721">
        <f>'[1]Bud men fixes'!$P$60</f>
        <v>10143.131442179858</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PiècesHuiles et Graisse</v>
      </c>
      <c r="B312" s="726" t="s">
        <v>192</v>
      </c>
      <c r="C312" s="753">
        <f>+SUM(F312,I312,L312,O312,R312,U312,X312,AA312,AD312,AG312,AJ312,AM312)</f>
        <v>270000.00000000012</v>
      </c>
      <c r="D312" s="751">
        <f>IF(C312&lt;=0,0,E312/C312)</f>
        <v>0.27</v>
      </c>
      <c r="E312" s="708">
        <f>+SUM(H312,K312,N312,Q312,T312,W312,Z312,AC312,AF312,AI312,AL312,AO312)</f>
        <v>72900.000000000029</v>
      </c>
      <c r="F312" s="754">
        <f>'[1]Bud men fixes'!$E$64</f>
        <v>15373.482976712596</v>
      </c>
      <c r="G312" s="751">
        <f>IF(F312&lt;=0,0,H312/F312)</f>
        <v>0.27</v>
      </c>
      <c r="H312" s="721">
        <f>'[1]Bud men fixes'!$E$63</f>
        <v>4150.840403712401</v>
      </c>
      <c r="I312" s="754">
        <f>'[1]Bud men fixes'!$F$64</f>
        <v>15134.328915612145</v>
      </c>
      <c r="J312" s="751">
        <f>IF(I312&lt;=0,0,K312/I312)</f>
        <v>0.27</v>
      </c>
      <c r="K312" s="721">
        <f>'[1]Bud men fixes'!$F$63</f>
        <v>4086.2688072152791</v>
      </c>
      <c r="L312" s="754">
        <f>'[1]Bud men fixes'!$G$64</f>
        <v>15724.817502717535</v>
      </c>
      <c r="M312" s="751">
        <f>IF(L312&lt;=0,0,N312/L312)</f>
        <v>0.27</v>
      </c>
      <c r="N312" s="721">
        <f>'[1]Bud men fixes'!$G$63</f>
        <v>4245.7007257337345</v>
      </c>
      <c r="O312" s="754">
        <f>'[1]Bud men fixes'!$H$64</f>
        <v>25647.120600892886</v>
      </c>
      <c r="P312" s="751">
        <f>IF(O312&lt;=0,0,Q312/O312)</f>
        <v>0.27</v>
      </c>
      <c r="Q312" s="721">
        <f>'[1]Bud men fixes'!$H$63</f>
        <v>6924.7225622410797</v>
      </c>
      <c r="R312" s="754">
        <f>'[1]Bud men fixes'!$I$64</f>
        <v>28145.604589789898</v>
      </c>
      <c r="S312" s="751">
        <f>IF(R312&lt;=0,0,T312/R312)</f>
        <v>0.27</v>
      </c>
      <c r="T312" s="721">
        <f>'[1]Bud men fixes'!$I$63</f>
        <v>7599.3132392432735</v>
      </c>
      <c r="U312" s="754">
        <f>'[1]Bud men fixes'!$J$64</f>
        <v>19929.102238857264</v>
      </c>
      <c r="V312" s="751">
        <f>IF(U312&lt;=0,0,W312/U312)</f>
        <v>0.27</v>
      </c>
      <c r="W312" s="721">
        <f>'[1]Bud men fixes'!$J$63</f>
        <v>5380.8576044914616</v>
      </c>
      <c r="X312" s="754">
        <f>'[1]Bud men fixes'!$K$64</f>
        <v>24023.989005338593</v>
      </c>
      <c r="Y312" s="751">
        <f>IF(X312&lt;=0,0,Z312/X312)</f>
        <v>0.27</v>
      </c>
      <c r="Z312" s="721">
        <f>'[1]Bud men fixes'!$K$63</f>
        <v>6486.4770314414209</v>
      </c>
      <c r="AA312" s="754">
        <f>'[1]Bud men fixes'!$L$64</f>
        <v>20751.75585859987</v>
      </c>
      <c r="AB312" s="751">
        <f>IF(AA312&lt;=0,0,AC312/AA312)</f>
        <v>0.27</v>
      </c>
      <c r="AC312" s="721">
        <f>'[1]Bud men fixes'!$L$63</f>
        <v>5602.9740818219652</v>
      </c>
      <c r="AD312" s="754">
        <f>'[1]Bud men fixes'!$M$64</f>
        <v>22319.050175815202</v>
      </c>
      <c r="AE312" s="751">
        <f>IF(AD312&lt;=0,0,AF312/AD312)</f>
        <v>0.27</v>
      </c>
      <c r="AF312" s="721">
        <f>'[1]Bud men fixes'!$M$63</f>
        <v>6026.1435474701047</v>
      </c>
      <c r="AG312" s="754">
        <f>'[1]Bud men fixes'!$N$64</f>
        <v>26250.566059800756</v>
      </c>
      <c r="AH312" s="751">
        <f>IF(AG312&lt;=0,0,AI312/AG312)</f>
        <v>0.27</v>
      </c>
      <c r="AI312" s="721">
        <f>'[1]Bud men fixes'!$N$63</f>
        <v>7087.6528361462042</v>
      </c>
      <c r="AJ312" s="754">
        <f>'[1]Bud men fixes'!$O$64</f>
        <v>35095.565695526893</v>
      </c>
      <c r="AK312" s="751">
        <f>IF(AJ312&lt;=0,0,AL312/AJ312)</f>
        <v>0.27</v>
      </c>
      <c r="AL312" s="721">
        <f>'[1]Bud men fixes'!$O$63</f>
        <v>9475.8027377922626</v>
      </c>
      <c r="AM312" s="754">
        <f>'[1]Bud men fixes'!$P$64</f>
        <v>21604.616380336432</v>
      </c>
      <c r="AN312" s="751">
        <f>IF(AM312&lt;=0,0,AO312/AM312)</f>
        <v>0.27</v>
      </c>
      <c r="AO312" s="721">
        <f>'[1]Bud men fixes'!$P$63</f>
        <v>5833.2464226908369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PiècesSous-total Pièces et Acc.</v>
      </c>
      <c r="B313" s="747" t="s">
        <v>193</v>
      </c>
      <c r="C313" s="1068">
        <f>C308+C311+C312</f>
        <v>6474048.9196860008</v>
      </c>
      <c r="D313" s="1069">
        <f>IF(C313&lt;=0,0,E313/C313)</f>
        <v>0.25616623449095594</v>
      </c>
      <c r="E313" s="1070">
        <f>E308+E311+E312</f>
        <v>1658432.7336662039</v>
      </c>
      <c r="F313" s="1068">
        <f>F308+F311+F312</f>
        <v>507168.92548983422</v>
      </c>
      <c r="G313" s="1069">
        <f>IF(F313&lt;=0,0,H313/F313)</f>
        <v>0.23441147257824926</v>
      </c>
      <c r="H313" s="1070">
        <f>H308+H311+H312</f>
        <v>118886.21467000042</v>
      </c>
      <c r="I313" s="1068">
        <f>I308+I311+I312</f>
        <v>494585.56789248245</v>
      </c>
      <c r="J313" s="1069">
        <f>IF(I313&lt;=0,0,K313/I313)</f>
        <v>0.23182710893421396</v>
      </c>
      <c r="K313" s="1070">
        <f>K308+K311+K312</f>
        <v>114658.3423251006</v>
      </c>
      <c r="L313" s="1068">
        <f>L308+L311+L312</f>
        <v>543337.74558988074</v>
      </c>
      <c r="M313" s="1069">
        <f>IF(L313&lt;=0,0,N313/L313)</f>
        <v>0.28056497005249076</v>
      </c>
      <c r="N313" s="1070">
        <f>N308+N311+N312</f>
        <v>152441.53831981274</v>
      </c>
      <c r="O313" s="1068">
        <f>O308+O311+O312</f>
        <v>488807.5478518976</v>
      </c>
      <c r="P313" s="1069">
        <f>IF(O313&lt;=0,0,Q313/O313)</f>
        <v>0.23924735618350501</v>
      </c>
      <c r="Q313" s="1070">
        <f>Q308+Q311+Q312</f>
        <v>116945.91350610861</v>
      </c>
      <c r="R313" s="1068">
        <f>R308+R311+R312</f>
        <v>577888.69067630509</v>
      </c>
      <c r="S313" s="1069">
        <f>IF(R313&lt;=0,0,T313/R313)</f>
        <v>0.24854288952248577</v>
      </c>
      <c r="T313" s="1070">
        <f>T308+T311+T312</f>
        <v>143630.12500305485</v>
      </c>
      <c r="U313" s="1068">
        <f>U308+U311+U312</f>
        <v>496950.44982921128</v>
      </c>
      <c r="V313" s="1069">
        <f>IF(U313&lt;=0,0,W313/U313)</f>
        <v>0.29850935574226739</v>
      </c>
      <c r="W313" s="1070">
        <f>W308+W311+W312</f>
        <v>148344.35861434785</v>
      </c>
      <c r="X313" s="1068">
        <f>X308+X311+X312</f>
        <v>529082.27480054961</v>
      </c>
      <c r="Y313" s="1069">
        <f>IF(X313&lt;=0,0,Z313/X313)</f>
        <v>0.24485734662117364</v>
      </c>
      <c r="Z313" s="1070">
        <f>Z308+Z311+Z312</f>
        <v>129549.68195195722</v>
      </c>
      <c r="AA313" s="1068">
        <f>AA308+AA311+AA312</f>
        <v>533905.15450539964</v>
      </c>
      <c r="AB313" s="1069">
        <f>IF(AA313&lt;=0,0,AC313/AA313)</f>
        <v>0.24345298907911439</v>
      </c>
      <c r="AC313" s="1070">
        <f>AC308+AC311+AC312</f>
        <v>129980.80574908594</v>
      </c>
      <c r="AD313" s="1068">
        <f>AD308+AD311+AD312</f>
        <v>567946.45767715748</v>
      </c>
      <c r="AE313" s="1069">
        <f>IF(AD313&lt;=0,0,AF313/AD313)</f>
        <v>0.288511722732884</v>
      </c>
      <c r="AF313" s="1070">
        <f>AF308+AF311+AF312</f>
        <v>163859.21092447569</v>
      </c>
      <c r="AG313" s="1068">
        <f>AG308+AG311+AG312</f>
        <v>616261.45423448586</v>
      </c>
      <c r="AH313" s="1069">
        <f>IF(AG313&lt;=0,0,AI313/AG313)</f>
        <v>0.23872143654259587</v>
      </c>
      <c r="AI313" s="1070">
        <f>AI308+AI311+AI312</f>
        <v>147114.81964068566</v>
      </c>
      <c r="AJ313" s="1068">
        <f>AJ308+AJ311+AJ312</f>
        <v>663001.62938287423</v>
      </c>
      <c r="AK313" s="1069">
        <f>IF(AJ313&lt;=0,0,AL313/AJ313)</f>
        <v>0.24084149610448669</v>
      </c>
      <c r="AL313" s="1070">
        <f>AL308+AL311+AL312</f>
        <v>159678.30434028382</v>
      </c>
      <c r="AM313" s="1068">
        <f>AM308+AM311+AM312</f>
        <v>455113.02175592212</v>
      </c>
      <c r="AN313" s="1069">
        <f>IF(AM313&lt;=0,0,AO313/AM313)</f>
        <v>0.29298968002898168</v>
      </c>
      <c r="AO313" s="1070">
        <f>AO308+AO311+AO312</f>
        <v>133343.41862129059</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v>
      </c>
      <c r="B315" s="700"/>
      <c r="C315" s="700"/>
      <c r="D315" s="707"/>
      <c r="E315" s="701"/>
      <c r="F315" s="700"/>
      <c r="G315" s="707"/>
      <c r="H315" s="701"/>
      <c r="I315" s="700"/>
      <c r="J315" s="707"/>
      <c r="K315" s="701"/>
      <c r="L315" s="700"/>
      <c r="M315" s="707"/>
      <c r="N315" s="701"/>
      <c r="O315" s="700"/>
      <c r="P315" s="707"/>
      <c r="Q315" s="701"/>
      <c r="R315" s="700"/>
      <c r="S315" s="707"/>
      <c r="T315" s="701"/>
      <c r="U315" s="700"/>
      <c r="V315" s="707"/>
      <c r="W315" s="701"/>
      <c r="X315" s="700"/>
      <c r="Y315" s="707"/>
      <c r="Z315" s="701"/>
      <c r="AA315" s="700"/>
      <c r="AB315" s="707"/>
      <c r="AC315" s="701"/>
      <c r="AD315" s="700"/>
      <c r="AE315" s="707"/>
      <c r="AF315" s="701"/>
      <c r="AG315" s="700"/>
      <c r="AH315" s="707"/>
      <c r="AI315" s="701"/>
      <c r="AJ315" s="700"/>
      <c r="AK315" s="707"/>
      <c r="AL315" s="701"/>
      <c r="AM315" s="700"/>
      <c r="AN315" s="707"/>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PiècesAutostock</v>
      </c>
      <c r="B316" s="726" t="s">
        <v>194</v>
      </c>
      <c r="C316" s="780">
        <f>'[1]Bud men fixes'!$E$67</f>
        <v>0</v>
      </c>
      <c r="D316" s="779">
        <f>IF(C316&lt;=0,0,E316/C316)</f>
        <v>0</v>
      </c>
      <c r="E316" s="731">
        <f>'[1]Bud men fixes'!$E$66</f>
        <v>0</v>
      </c>
      <c r="F316" s="780"/>
      <c r="G316" s="779">
        <f>IF(F316&lt;=0,0,H316/F316)</f>
        <v>0</v>
      </c>
      <c r="H316" s="731"/>
      <c r="I316" s="780"/>
      <c r="J316" s="779">
        <f>IF(I316&lt;=0,0,K316/I316)</f>
        <v>0</v>
      </c>
      <c r="K316" s="731"/>
      <c r="L316" s="780"/>
      <c r="M316" s="779">
        <f>IF(L316&lt;=0,0,N316/L316)</f>
        <v>0</v>
      </c>
      <c r="N316" s="731"/>
      <c r="O316" s="780"/>
      <c r="P316" s="779">
        <f>IF(O316&lt;=0,0,Q316/O316)</f>
        <v>0</v>
      </c>
      <c r="Q316" s="731"/>
      <c r="R316" s="780"/>
      <c r="S316" s="779">
        <f>IF(R316&lt;=0,0,T316/R316)</f>
        <v>0</v>
      </c>
      <c r="T316" s="731"/>
      <c r="U316" s="780"/>
      <c r="V316" s="779">
        <f>IF(U316&lt;=0,0,W316/U316)</f>
        <v>0</v>
      </c>
      <c r="W316" s="731"/>
      <c r="X316" s="780"/>
      <c r="Y316" s="779">
        <f>IF(X316&lt;=0,0,Z316/X316)</f>
        <v>0</v>
      </c>
      <c r="Z316" s="731"/>
      <c r="AA316" s="780"/>
      <c r="AB316" s="779">
        <f>IF(AA316&lt;=0,0,AC316/AA316)</f>
        <v>0</v>
      </c>
      <c r="AC316" s="731"/>
      <c r="AD316" s="780"/>
      <c r="AE316" s="779">
        <f>IF(AD316&lt;=0,0,AF316/AD316)</f>
        <v>0</v>
      </c>
      <c r="AF316" s="731"/>
      <c r="AG316" s="780"/>
      <c r="AH316" s="779">
        <f>IF(AG316&lt;=0,0,AI316/AG316)</f>
        <v>0</v>
      </c>
      <c r="AI316" s="731"/>
      <c r="AJ316" s="780"/>
      <c r="AK316" s="779">
        <f>IF(AJ316&lt;=0,0,AL316/AJ316)</f>
        <v>0</v>
      </c>
      <c r="AL316" s="731"/>
      <c r="AM316" s="780"/>
      <c r="AN316" s="779">
        <f>IF(AM316&lt;=0,0,AO316/AM316)</f>
        <v>0</v>
      </c>
      <c r="AO316" s="731"/>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v>
      </c>
      <c r="B317" s="700"/>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PiècesTotal Dépt. Pièces</v>
      </c>
      <c r="B318" s="1021" t="s">
        <v>195</v>
      </c>
      <c r="C318" s="709">
        <f>C313+C316</f>
        <v>6474048.9196860008</v>
      </c>
      <c r="D318" s="781">
        <f>IF(C318&lt;=0,0,E318/C318)</f>
        <v>0.25616623449095594</v>
      </c>
      <c r="E318" s="711">
        <f>E313+E316</f>
        <v>1658432.7336662039</v>
      </c>
      <c r="F318" s="709">
        <f>F313+F316</f>
        <v>507168.92548983422</v>
      </c>
      <c r="G318" s="781">
        <f>IF(F318&lt;=0,0,H318/F318)</f>
        <v>0.23441147257824926</v>
      </c>
      <c r="H318" s="711">
        <f>H313+H316</f>
        <v>118886.21467000042</v>
      </c>
      <c r="I318" s="709">
        <f>I313+I316</f>
        <v>494585.56789248245</v>
      </c>
      <c r="J318" s="781">
        <f>IF(I318&lt;=0,0,K318/I318)</f>
        <v>0.23182710893421396</v>
      </c>
      <c r="K318" s="711">
        <f>K313+K316</f>
        <v>114658.3423251006</v>
      </c>
      <c r="L318" s="709">
        <f>L313+L316</f>
        <v>543337.74558988074</v>
      </c>
      <c r="M318" s="781">
        <f>IF(L318&lt;=0,0,N318/L318)</f>
        <v>0.28056497005249076</v>
      </c>
      <c r="N318" s="711">
        <f>N313+N316</f>
        <v>152441.53831981274</v>
      </c>
      <c r="O318" s="709">
        <f>O313+O316</f>
        <v>488807.5478518976</v>
      </c>
      <c r="P318" s="781">
        <f>IF(O318&lt;=0,0,Q318/O318)</f>
        <v>0.23924735618350501</v>
      </c>
      <c r="Q318" s="711">
        <f>Q313+Q316</f>
        <v>116945.91350610861</v>
      </c>
      <c r="R318" s="709">
        <f>R313+R316</f>
        <v>577888.69067630509</v>
      </c>
      <c r="S318" s="781">
        <f>IF(R318&lt;=0,0,T318/R318)</f>
        <v>0.24854288952248577</v>
      </c>
      <c r="T318" s="711">
        <f>T313+T316</f>
        <v>143630.12500305485</v>
      </c>
      <c r="U318" s="709">
        <f>U313+U316</f>
        <v>496950.44982921128</v>
      </c>
      <c r="V318" s="781">
        <f>IF(U318&lt;=0,0,W318/U318)</f>
        <v>0.29850935574226739</v>
      </c>
      <c r="W318" s="711">
        <f>W313+W316</f>
        <v>148344.35861434785</v>
      </c>
      <c r="X318" s="709">
        <f>X313+X316</f>
        <v>529082.27480054961</v>
      </c>
      <c r="Y318" s="781">
        <f>IF(X318&lt;=0,0,Z318/X318)</f>
        <v>0.24485734662117364</v>
      </c>
      <c r="Z318" s="711">
        <f>Z313+Z316</f>
        <v>129549.68195195722</v>
      </c>
      <c r="AA318" s="709">
        <f>AA313+AA316</f>
        <v>533905.15450539964</v>
      </c>
      <c r="AB318" s="781">
        <f>IF(AA318&lt;=0,0,AC318/AA318)</f>
        <v>0.24345298907911439</v>
      </c>
      <c r="AC318" s="711">
        <f>AC313+AC316</f>
        <v>129980.80574908594</v>
      </c>
      <c r="AD318" s="709">
        <f>AD313+AD316</f>
        <v>567946.45767715748</v>
      </c>
      <c r="AE318" s="781">
        <f>IF(AD318&lt;=0,0,AF318/AD318)</f>
        <v>0.288511722732884</v>
      </c>
      <c r="AF318" s="711">
        <f>AF313+AF316</f>
        <v>163859.21092447569</v>
      </c>
      <c r="AG318" s="709">
        <f>AG313+AG316</f>
        <v>616261.45423448586</v>
      </c>
      <c r="AH318" s="781">
        <f>IF(AG318&lt;=0,0,AI318/AG318)</f>
        <v>0.23872143654259587</v>
      </c>
      <c r="AI318" s="711">
        <f>AI313+AI316</f>
        <v>147114.81964068566</v>
      </c>
      <c r="AJ318" s="709">
        <f>AJ313+AJ316</f>
        <v>663001.62938287423</v>
      </c>
      <c r="AK318" s="781">
        <f>IF(AJ318&lt;=0,0,AL318/AJ318)</f>
        <v>0.24084149610448669</v>
      </c>
      <c r="AL318" s="711">
        <f>AL313+AL316</f>
        <v>159678.30434028382</v>
      </c>
      <c r="AM318" s="709">
        <f>AM313+AM316</f>
        <v>455113.02175592212</v>
      </c>
      <c r="AN318" s="781">
        <f>IF(AM318&lt;=0,0,AO318/AM318)</f>
        <v>0.29298968002898168</v>
      </c>
      <c r="AO318" s="711">
        <f>AO313+AO316</f>
        <v>133343.41862129059</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1071"/>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074"/>
      <c r="X319" s="1072"/>
      <c r="Y319" s="1073"/>
      <c r="Z319" s="1074"/>
      <c r="AA319" s="1072"/>
      <c r="AB319" s="1073"/>
      <c r="AC319" s="1074"/>
      <c r="AD319" s="1072"/>
      <c r="AE319" s="1073"/>
      <c r="AF319" s="1074"/>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v>
      </c>
      <c r="B320" s="715"/>
      <c r="C320" s="782"/>
      <c r="D320" s="783"/>
      <c r="E320" s="736"/>
      <c r="F320" s="782"/>
      <c r="G320" s="783"/>
      <c r="H320" s="736"/>
      <c r="I320" s="782"/>
      <c r="J320" s="783"/>
      <c r="K320" s="736"/>
      <c r="L320" s="782"/>
      <c r="M320" s="783"/>
      <c r="N320" s="736"/>
      <c r="O320" s="782"/>
      <c r="P320" s="783"/>
      <c r="Q320" s="736"/>
      <c r="R320" s="782"/>
      <c r="S320" s="783"/>
      <c r="T320" s="736"/>
      <c r="U320" s="782"/>
      <c r="V320" s="783"/>
      <c r="W320" s="736"/>
      <c r="X320" s="782"/>
      <c r="Y320" s="783"/>
      <c r="Z320" s="736"/>
      <c r="AA320" s="782"/>
      <c r="AB320" s="783"/>
      <c r="AC320" s="736"/>
      <c r="AD320" s="782"/>
      <c r="AE320" s="783"/>
      <c r="AF320" s="73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PiècesDEPENSES</v>
      </c>
      <c r="B321" s="1022" t="s">
        <v>110</v>
      </c>
      <c r="C321" s="700"/>
      <c r="D321" s="707"/>
      <c r="E321" s="701"/>
      <c r="F321" s="700"/>
      <c r="G321" s="707"/>
      <c r="H321" s="701"/>
      <c r="I321" s="700"/>
      <c r="J321" s="707"/>
      <c r="K321" s="701"/>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cadres</v>
      </c>
      <c r="B322" s="1027" t="s">
        <v>120</v>
      </c>
      <c r="C322" s="700"/>
      <c r="D322" s="707"/>
      <c r="E322" s="708">
        <f t="shared" ref="E322:E333" si="63">+SUM(H322,K322,N322,Q322,T322,W322,Z322,AC322,AF322,AI322,AL322,AO322)</f>
        <v>62576.816666666673</v>
      </c>
      <c r="F322" s="700"/>
      <c r="G322" s="707"/>
      <c r="H322" s="721">
        <f>[1]Salaire!$E$55</f>
        <v>7346.047435897437</v>
      </c>
      <c r="I322" s="700"/>
      <c r="J322" s="707"/>
      <c r="K322" s="721">
        <f>[1]Salaire!$F$55</f>
        <v>4769.2307692307695</v>
      </c>
      <c r="L322" s="700"/>
      <c r="M322" s="707"/>
      <c r="N322" s="721">
        <f>[1]Salaire!$G$55</f>
        <v>4769.2307692307695</v>
      </c>
      <c r="O322" s="700"/>
      <c r="P322" s="707"/>
      <c r="Q322" s="721">
        <f>[1]Salaire!$H$55</f>
        <v>4769.2307692307695</v>
      </c>
      <c r="R322" s="700"/>
      <c r="S322" s="707"/>
      <c r="T322" s="721">
        <f>[1]Salaire!$I$55</f>
        <v>5461.538461538461</v>
      </c>
      <c r="U322" s="700"/>
      <c r="V322" s="707"/>
      <c r="W322" s="721">
        <f>[1]Salaire!$J$55</f>
        <v>4769.2307692307695</v>
      </c>
      <c r="X322" s="700"/>
      <c r="Y322" s="707"/>
      <c r="Z322" s="721">
        <f>[1]Salaire!$K$55</f>
        <v>5461.538461538461</v>
      </c>
      <c r="AA322" s="700"/>
      <c r="AB322" s="707"/>
      <c r="AC322" s="721">
        <f>[1]Salaire!$L$55</f>
        <v>4769.2307692307695</v>
      </c>
      <c r="AD322" s="700"/>
      <c r="AE322" s="707"/>
      <c r="AF322" s="721">
        <f>[1]Salaire!$M$55</f>
        <v>4769.2307692307695</v>
      </c>
      <c r="AG322" s="700"/>
      <c r="AH322" s="707"/>
      <c r="AI322" s="721">
        <f>[1]Salaire!$N$55</f>
        <v>5461.538461538461</v>
      </c>
      <c r="AJ322" s="700"/>
      <c r="AK322" s="707"/>
      <c r="AL322" s="721">
        <f>[1]Salaire!$O$55</f>
        <v>4769.2307692307695</v>
      </c>
      <c r="AM322" s="700"/>
      <c r="AN322" s="707"/>
      <c r="AO322" s="721">
        <f>[1]Salaire!$P$55</f>
        <v>5461.538461538461</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commis</v>
      </c>
      <c r="B323" s="1028" t="s">
        <v>121</v>
      </c>
      <c r="C323" s="700"/>
      <c r="D323" s="707"/>
      <c r="E323" s="708">
        <f t="shared" si="63"/>
        <v>382190.80980698654</v>
      </c>
      <c r="F323" s="700"/>
      <c r="G323" s="707"/>
      <c r="H323" s="721">
        <f>[1]Salaire!$E$140</f>
        <v>28107.154600537433</v>
      </c>
      <c r="I323" s="700"/>
      <c r="J323" s="707"/>
      <c r="K323" s="721">
        <f>[1]Salaire!$F$140</f>
        <v>29619.471267204099</v>
      </c>
      <c r="L323" s="700"/>
      <c r="M323" s="707"/>
      <c r="N323" s="721">
        <f>[1]Salaire!$G$140</f>
        <v>29619.471267204099</v>
      </c>
      <c r="O323" s="700"/>
      <c r="P323" s="707"/>
      <c r="Q323" s="721">
        <f>[1]Salaire!$H$140</f>
        <v>29619.471267204099</v>
      </c>
      <c r="R323" s="700"/>
      <c r="S323" s="707"/>
      <c r="T323" s="721">
        <f>[1]Salaire!$I$140</f>
        <v>36686.839084005122</v>
      </c>
      <c r="U323" s="700"/>
      <c r="V323" s="707"/>
      <c r="W323" s="721">
        <f>[1]Salaire!$J$140</f>
        <v>29619.471267204099</v>
      </c>
      <c r="X323" s="700"/>
      <c r="Y323" s="707"/>
      <c r="Z323" s="721">
        <f>[1]Salaire!$K$140</f>
        <v>36686.839084005122</v>
      </c>
      <c r="AA323" s="700"/>
      <c r="AB323" s="707"/>
      <c r="AC323" s="721">
        <f>[1]Salaire!$L$140</f>
        <v>29619.471267204099</v>
      </c>
      <c r="AD323" s="700"/>
      <c r="AE323" s="707"/>
      <c r="AF323" s="721">
        <f>[1]Salaire!$M$140</f>
        <v>29619.471267204099</v>
      </c>
      <c r="AG323" s="700"/>
      <c r="AH323" s="707"/>
      <c r="AI323" s="721">
        <f>[1]Salaire!$N$140</f>
        <v>36686.839084005122</v>
      </c>
      <c r="AJ323" s="700"/>
      <c r="AK323" s="707"/>
      <c r="AL323" s="721">
        <f>[1]Salaire!$O$140</f>
        <v>29619.471267204099</v>
      </c>
      <c r="AM323" s="700"/>
      <c r="AN323" s="707"/>
      <c r="AO323" s="721">
        <f>[1]Salaire!$P$140</f>
        <v>36686.839084005122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autres</v>
      </c>
      <c r="B324" s="1027" t="s">
        <v>122</v>
      </c>
      <c r="C324" s="1011"/>
      <c r="D324" s="1029"/>
      <c r="E324" s="1030">
        <f t="shared" si="63"/>
        <v>151.93333333333334</v>
      </c>
      <c r="F324" s="1011"/>
      <c r="G324" s="1029"/>
      <c r="H324" s="1031">
        <f>[1]Salaire!$E$185</f>
        <v>151.93333333333334</v>
      </c>
      <c r="I324" s="1011"/>
      <c r="J324" s="1029"/>
      <c r="K324" s="1031">
        <f>[1]Salaire!$F$185</f>
        <v>0</v>
      </c>
      <c r="L324" s="1011"/>
      <c r="M324" s="1029"/>
      <c r="N324" s="1031">
        <f>[1]Salaire!$G$185</f>
        <v>0</v>
      </c>
      <c r="O324" s="1011"/>
      <c r="P324" s="1029"/>
      <c r="Q324" s="1031">
        <f>[1]Salaire!$H$185</f>
        <v>0</v>
      </c>
      <c r="R324" s="1011"/>
      <c r="S324" s="1029"/>
      <c r="T324" s="1031">
        <f>[1]Salaire!$I$185</f>
        <v>0</v>
      </c>
      <c r="U324" s="1011"/>
      <c r="V324" s="1029"/>
      <c r="W324" s="1031">
        <f>[1]Salaire!$J$185</f>
        <v>0</v>
      </c>
      <c r="X324" s="1011"/>
      <c r="Y324" s="1029"/>
      <c r="Z324" s="1031">
        <f>[1]Salaire!$K$185</f>
        <v>0</v>
      </c>
      <c r="AA324" s="1011"/>
      <c r="AB324" s="1029"/>
      <c r="AC324" s="1031">
        <f>[1]Salaire!$L$185</f>
        <v>0</v>
      </c>
      <c r="AD324" s="1011"/>
      <c r="AE324" s="1029"/>
      <c r="AF324" s="1031">
        <f>[1]Salaire!$M$185</f>
        <v>0</v>
      </c>
      <c r="AG324" s="1011"/>
      <c r="AH324" s="1029"/>
      <c r="AI324" s="1031">
        <f>[1]Salaire!$N$185</f>
        <v>0</v>
      </c>
      <c r="AJ324" s="1011"/>
      <c r="AK324" s="1029"/>
      <c r="AL324" s="1031">
        <f>[1]Salaire!$O$185</f>
        <v>0</v>
      </c>
      <c r="AM324" s="1011"/>
      <c r="AN324" s="1029"/>
      <c r="AO324" s="1031">
        <f>[1]Salaire!$P$185</f>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PiècesSalaires spécialistes</v>
      </c>
      <c r="B325" s="1027" t="s">
        <v>123</v>
      </c>
      <c r="C325" s="700"/>
      <c r="D325" s="707"/>
      <c r="E325" s="708">
        <f t="shared" si="63"/>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00" t="s">
        <v>59</v>
      </c>
      <c r="C326" s="700"/>
      <c r="D326" s="707"/>
      <c r="E326" s="708">
        <f t="shared" si="63"/>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00" t="s">
        <v>59</v>
      </c>
      <c r="C327" s="700"/>
      <c r="D327" s="707"/>
      <c r="E327" s="708">
        <f t="shared" si="63"/>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v>
      </c>
      <c r="B328" s="700" t="s">
        <v>59</v>
      </c>
      <c r="C328" s="700"/>
      <c r="D328" s="707"/>
      <c r="E328" s="708">
        <f t="shared" si="63"/>
        <v>0</v>
      </c>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721"/>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PiècesSalaires en absences</v>
      </c>
      <c r="B329" s="1028" t="s">
        <v>124</v>
      </c>
      <c r="C329" s="700"/>
      <c r="D329" s="707"/>
      <c r="E329" s="708">
        <f t="shared" si="63"/>
        <v>54350.385021092996</v>
      </c>
      <c r="F329" s="700"/>
      <c r="G329" s="707"/>
      <c r="H329" s="721">
        <f>'[1]DAS-VAC'!$F$47</f>
        <v>4337.4917093148451</v>
      </c>
      <c r="I329" s="700"/>
      <c r="J329" s="707"/>
      <c r="K329" s="721">
        <f>'[1]DAS-VAC'!$G$47</f>
        <v>4199.426525981512</v>
      </c>
      <c r="L329" s="700"/>
      <c r="M329" s="707"/>
      <c r="N329" s="721">
        <f>'[1]DAS-VAC'!$H$47</f>
        <v>4199.426525981512</v>
      </c>
      <c r="O329" s="700"/>
      <c r="P329" s="707"/>
      <c r="Q329" s="721">
        <f>'[1]DAS-VAC'!$I$47</f>
        <v>4199.426525981512</v>
      </c>
      <c r="R329" s="700"/>
      <c r="S329" s="707"/>
      <c r="T329" s="721">
        <f>'[1]DAS-VAC'!$J$47</f>
        <v>5154.2269074768892</v>
      </c>
      <c r="U329" s="700"/>
      <c r="V329" s="707"/>
      <c r="W329" s="721">
        <f>'[1]DAS-VAC'!$K$47</f>
        <v>4199.426525981512</v>
      </c>
      <c r="X329" s="700"/>
      <c r="Y329" s="707"/>
      <c r="Z329" s="721">
        <f>'[1]DAS-VAC'!$L$47</f>
        <v>5154.2269074768892</v>
      </c>
      <c r="AA329" s="700"/>
      <c r="AB329" s="707"/>
      <c r="AC329" s="721">
        <f>'[1]DAS-VAC'!$M$47</f>
        <v>4199.426525981512</v>
      </c>
      <c r="AD329" s="700"/>
      <c r="AE329" s="707"/>
      <c r="AF329" s="721">
        <f>'[1]DAS-VAC'!$N$47</f>
        <v>4199.426525981512</v>
      </c>
      <c r="AG329" s="700"/>
      <c r="AH329" s="707"/>
      <c r="AI329" s="721">
        <f>'[1]DAS-VAC'!$O$47</f>
        <v>5154.2269074768892</v>
      </c>
      <c r="AJ329" s="700"/>
      <c r="AK329" s="707"/>
      <c r="AL329" s="721">
        <f>'[1]DAS-VAC'!$P$47</f>
        <v>4199.426525981512</v>
      </c>
      <c r="AM329" s="700"/>
      <c r="AN329" s="707"/>
      <c r="AO329" s="721">
        <f>'[1]DAS-VAC'!$Q$47</f>
        <v>5154.2269074768892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PiècesDéduction à la source</v>
      </c>
      <c r="B330" s="1027" t="s">
        <v>125</v>
      </c>
      <c r="C330" s="1011"/>
      <c r="D330" s="1029"/>
      <c r="E330" s="1030">
        <f t="shared" si="63"/>
        <v>66082.406457364152</v>
      </c>
      <c r="F330" s="1011"/>
      <c r="G330" s="1029"/>
      <c r="H330" s="1031">
        <f>'[1]DAS-VAC'!$F$55</f>
        <v>5273.7784659510899</v>
      </c>
      <c r="I330" s="1011"/>
      <c r="J330" s="1029"/>
      <c r="K330" s="1031">
        <f>'[1]DAS-VAC'!$G$55</f>
        <v>5105.910665951089</v>
      </c>
      <c r="L330" s="1011"/>
      <c r="M330" s="1029"/>
      <c r="N330" s="1031">
        <f>'[1]DAS-VAC'!$H$55</f>
        <v>5105.910665951089</v>
      </c>
      <c r="O330" s="1011"/>
      <c r="P330" s="1029"/>
      <c r="Q330" s="1031">
        <f>'[1]DAS-VAC'!$I$55</f>
        <v>5105.910665951089</v>
      </c>
      <c r="R330" s="1011"/>
      <c r="S330" s="1029"/>
      <c r="T330" s="1031">
        <f>'[1]DAS-VAC'!$J$55</f>
        <v>6266.8133324388609</v>
      </c>
      <c r="U330" s="1011"/>
      <c r="V330" s="1029"/>
      <c r="W330" s="1031">
        <f>'[1]DAS-VAC'!$K$55</f>
        <v>5105.910665951089</v>
      </c>
      <c r="X330" s="1011"/>
      <c r="Y330" s="1029"/>
      <c r="Z330" s="1031">
        <f>'[1]DAS-VAC'!$L$55</f>
        <v>6266.8133324388609</v>
      </c>
      <c r="AA330" s="1011"/>
      <c r="AB330" s="1029"/>
      <c r="AC330" s="1031">
        <f>'[1]DAS-VAC'!$M$55</f>
        <v>5105.910665951089</v>
      </c>
      <c r="AD330" s="1011"/>
      <c r="AE330" s="1029"/>
      <c r="AF330" s="1031">
        <f>'[1]DAS-VAC'!$N$55</f>
        <v>5105.910665951089</v>
      </c>
      <c r="AG330" s="1011"/>
      <c r="AH330" s="1029"/>
      <c r="AI330" s="1031">
        <f>'[1]DAS-VAC'!$O$55</f>
        <v>6266.8133324388609</v>
      </c>
      <c r="AJ330" s="1011"/>
      <c r="AK330" s="1029"/>
      <c r="AL330" s="1031">
        <f>'[1]DAS-VAC'!$P$55</f>
        <v>5105.910665951089</v>
      </c>
      <c r="AM330" s="1011"/>
      <c r="AN330" s="1029"/>
      <c r="AO330" s="1031">
        <f>'[1]DAS-VAC'!$Q$55</f>
        <v>6266.8133324388609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PiècesBénéfices marginaux</v>
      </c>
      <c r="B331" s="1032" t="s">
        <v>126</v>
      </c>
      <c r="C331" s="700"/>
      <c r="D331" s="707"/>
      <c r="E331" s="708">
        <f t="shared" si="63"/>
        <v>34046.805066076748</v>
      </c>
      <c r="F331" s="700"/>
      <c r="G331" s="707"/>
      <c r="H331" s="721">
        <f>'[1]DAS-VAC'!$F$63</f>
        <v>2717.1423835443652</v>
      </c>
      <c r="I331" s="700"/>
      <c r="J331" s="707"/>
      <c r="K331" s="721">
        <f>'[1]DAS-VAC'!$G$63</f>
        <v>2630.6539735443653</v>
      </c>
      <c r="L331" s="700"/>
      <c r="M331" s="707"/>
      <c r="N331" s="721">
        <f>'[1]DAS-VAC'!$H$63</f>
        <v>2630.6539735443653</v>
      </c>
      <c r="O331" s="700"/>
      <c r="P331" s="707"/>
      <c r="Q331" s="721">
        <f>'[1]DAS-VAC'!$I$63</f>
        <v>2630.6539735443653</v>
      </c>
      <c r="R331" s="700"/>
      <c r="S331" s="707"/>
      <c r="T331" s="721">
        <f>'[1]DAS-VAC'!$J$63</f>
        <v>3228.7712169304564</v>
      </c>
      <c r="U331" s="700"/>
      <c r="V331" s="707"/>
      <c r="W331" s="721">
        <f>'[1]DAS-VAC'!$K$63</f>
        <v>2630.6539735443653</v>
      </c>
      <c r="X331" s="700"/>
      <c r="Y331" s="707"/>
      <c r="Z331" s="721">
        <f>'[1]DAS-VAC'!$L$63</f>
        <v>3228.7712169304564</v>
      </c>
      <c r="AA331" s="700"/>
      <c r="AB331" s="707"/>
      <c r="AC331" s="721">
        <f>'[1]DAS-VAC'!$M$63</f>
        <v>2630.6539735443653</v>
      </c>
      <c r="AD331" s="700"/>
      <c r="AE331" s="707"/>
      <c r="AF331" s="721">
        <f>'[1]DAS-VAC'!$N$63</f>
        <v>2630.6539735443653</v>
      </c>
      <c r="AG331" s="700"/>
      <c r="AH331" s="707"/>
      <c r="AI331" s="721">
        <f>'[1]DAS-VAC'!$O$63</f>
        <v>3228.7712169304564</v>
      </c>
      <c r="AJ331" s="700"/>
      <c r="AK331" s="707"/>
      <c r="AL331" s="721">
        <f>'[1]DAS-VAC'!$P$63</f>
        <v>2630.6539735443653</v>
      </c>
      <c r="AM331" s="700"/>
      <c r="AN331" s="707"/>
      <c r="AO331" s="721">
        <f>'[1]DAS-VAC'!$Q$63</f>
        <v>3228.7712169304564</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PiècesCsst</v>
      </c>
      <c r="B332" s="1027" t="s">
        <v>127</v>
      </c>
      <c r="C332" s="700"/>
      <c r="D332" s="707"/>
      <c r="E332" s="708">
        <f t="shared" si="63"/>
        <v>14844.598552016587</v>
      </c>
      <c r="F332" s="700"/>
      <c r="G332" s="707"/>
      <c r="H332" s="721">
        <f>'[1]DAS-VAC'!$F$71</f>
        <v>1184.6893655397373</v>
      </c>
      <c r="I332" s="700"/>
      <c r="J332" s="707"/>
      <c r="K332" s="721">
        <f>'[1]DAS-VAC'!$G$71</f>
        <v>1146.9799322064041</v>
      </c>
      <c r="L332" s="700"/>
      <c r="M332" s="707"/>
      <c r="N332" s="721">
        <f>'[1]DAS-VAC'!$H$71</f>
        <v>1146.9799322064041</v>
      </c>
      <c r="O332" s="700"/>
      <c r="P332" s="707"/>
      <c r="Q332" s="721">
        <f>'[1]DAS-VAC'!$I$71</f>
        <v>1146.9799322064041</v>
      </c>
      <c r="R332" s="700"/>
      <c r="S332" s="707"/>
      <c r="T332" s="721">
        <f>'[1]DAS-VAC'!$J$71</f>
        <v>1407.7624152580049</v>
      </c>
      <c r="U332" s="700"/>
      <c r="V332" s="707"/>
      <c r="W332" s="721">
        <f>'[1]DAS-VAC'!$K$71</f>
        <v>1146.9799322064041</v>
      </c>
      <c r="X332" s="700"/>
      <c r="Y332" s="707"/>
      <c r="Z332" s="721">
        <f>'[1]DAS-VAC'!$L$71</f>
        <v>1407.7624152580049</v>
      </c>
      <c r="AA332" s="700"/>
      <c r="AB332" s="707"/>
      <c r="AC332" s="721">
        <f>'[1]DAS-VAC'!$M$71</f>
        <v>1146.9799322064041</v>
      </c>
      <c r="AD332" s="700"/>
      <c r="AE332" s="707"/>
      <c r="AF332" s="721">
        <f>'[1]DAS-VAC'!$N$71</f>
        <v>1146.9799322064041</v>
      </c>
      <c r="AG332" s="700"/>
      <c r="AH332" s="707"/>
      <c r="AI332" s="721">
        <f>'[1]DAS-VAC'!$O$71</f>
        <v>1407.7624152580049</v>
      </c>
      <c r="AJ332" s="700"/>
      <c r="AK332" s="707"/>
      <c r="AL332" s="721">
        <f>'[1]DAS-VAC'!$P$71</f>
        <v>1146.9799322064041</v>
      </c>
      <c r="AM332" s="700"/>
      <c r="AN332" s="707"/>
      <c r="AO332" s="721">
        <f>'[1]DAS-VAC'!$Q$71</f>
        <v>1407.7624152580049</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v>
      </c>
      <c r="B333" s="700" t="s">
        <v>59</v>
      </c>
      <c r="C333" s="726"/>
      <c r="D333" s="727"/>
      <c r="E333" s="724">
        <f t="shared" si="63"/>
        <v>0</v>
      </c>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72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PiècesTOTAL PERSONNEL</v>
      </c>
      <c r="B334" s="1023" t="s">
        <v>128</v>
      </c>
      <c r="C334" s="1024" t="s">
        <v>119</v>
      </c>
      <c r="D334" s="1025">
        <f>IFERROR(E334/E$318,0)</f>
        <v>0.37037604386019496</v>
      </c>
      <c r="E334" s="1026">
        <f>+SUM(E322:E333)</f>
        <v>614243.75490353699</v>
      </c>
      <c r="F334" s="1024" t="s">
        <v>119</v>
      </c>
      <c r="G334" s="1025">
        <f>IFERROR(H334/H$318,0)</f>
        <v>0.41315334524241243</v>
      </c>
      <c r="H334" s="1026">
        <f>+SUM(H322:H333)</f>
        <v>49118.23729411824</v>
      </c>
      <c r="I334" s="1024" t="s">
        <v>119</v>
      </c>
      <c r="J334" s="1025">
        <f>IFERROR(K334/K$318,0)</f>
        <v>0.41402720614534749</v>
      </c>
      <c r="K334" s="1026">
        <f>+SUM(K322:K333)</f>
        <v>47471.673134118246</v>
      </c>
      <c r="L334" s="1024" t="s">
        <v>119</v>
      </c>
      <c r="M334" s="1025">
        <f>IFERROR(N334/N$318,0)</f>
        <v>0.31140904019563004</v>
      </c>
      <c r="N334" s="1026">
        <f>+SUM(N322:N333)</f>
        <v>47471.673134118246</v>
      </c>
      <c r="O334" s="1024" t="s">
        <v>119</v>
      </c>
      <c r="P334" s="1025">
        <f>IFERROR(Q334/Q$318,0)</f>
        <v>0.40592844769764946</v>
      </c>
      <c r="Q334" s="1026">
        <f>+SUM(Q322:Q333)</f>
        <v>47471.673134118246</v>
      </c>
      <c r="R334" s="1024" t="s">
        <v>119</v>
      </c>
      <c r="S334" s="1025">
        <f>IFERROR(T334/T$318,0)</f>
        <v>0.40524890872586666</v>
      </c>
      <c r="T334" s="1026">
        <f>+SUM(T322:T333)</f>
        <v>58205.951417647797</v>
      </c>
      <c r="U334" s="1024" t="s">
        <v>119</v>
      </c>
      <c r="V334" s="1025">
        <f>IFERROR(W334/W$318,0)</f>
        <v>0.32000996584933017</v>
      </c>
      <c r="W334" s="1026">
        <f>+SUM(W322:W333)</f>
        <v>47471.673134118246</v>
      </c>
      <c r="X334" s="1024" t="s">
        <v>119</v>
      </c>
      <c r="Y334" s="1025">
        <f>IFERROR(Z334/Z$318,0)</f>
        <v>0.44929443701168753</v>
      </c>
      <c r="Z334" s="1026">
        <f>+SUM(Z322:Z333)</f>
        <v>58205.951417647797</v>
      </c>
      <c r="AA334" s="1024" t="s">
        <v>119</v>
      </c>
      <c r="AB334" s="1025">
        <f>IFERROR(AC334/AC$318,0)</f>
        <v>0.36522064054409109</v>
      </c>
      <c r="AC334" s="1026">
        <f>+SUM(AC322:AC333)</f>
        <v>47471.673134118246</v>
      </c>
      <c r="AD334" s="1024" t="s">
        <v>119</v>
      </c>
      <c r="AE334" s="1025">
        <f>IFERROR(AF334/AF$318,0)</f>
        <v>0.28971012899603432</v>
      </c>
      <c r="AF334" s="1026">
        <f>+SUM(AF322:AF333)</f>
        <v>47471.673134118246</v>
      </c>
      <c r="AG334" s="1024" t="s">
        <v>119</v>
      </c>
      <c r="AH334" s="1025">
        <f>IFERROR(AI334/AI$318,0)</f>
        <v>0.39564981665212551</v>
      </c>
      <c r="AI334" s="1026">
        <f>+SUM(AI322:AI333)</f>
        <v>58205.951417647797</v>
      </c>
      <c r="AJ334" s="1024" t="s">
        <v>119</v>
      </c>
      <c r="AK334" s="1025">
        <f>IFERROR(AL334/AL$318,0)</f>
        <v>0.29729569918874721</v>
      </c>
      <c r="AL334" s="1026">
        <f>+SUM(AL322:AL333)</f>
        <v>47471.673134118246</v>
      </c>
      <c r="AM334" s="1024" t="s">
        <v>119</v>
      </c>
      <c r="AN334" s="1025">
        <f>IFERROR(AO334/AO$318,0)</f>
        <v>0.43651161804212363</v>
      </c>
      <c r="AO334" s="1026">
        <f>+SUM(AO322:AO333)</f>
        <v>58205.951417647797</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PiècesPublicité 2</v>
      </c>
      <c r="B335" s="1066" t="s">
        <v>129</v>
      </c>
      <c r="C335" s="700"/>
      <c r="D335" s="707"/>
      <c r="E335" s="708">
        <f t="shared" ref="E335:E352" si="64">+SUM(H335,K335,N335,Q335,T335,W335,Z335,AC335,AF335,AI335,AL335,AO335)</f>
        <v>72338.75</v>
      </c>
      <c r="F335" s="700"/>
      <c r="G335" s="707"/>
      <c r="H335" s="721">
        <f>[1]DEPA!$C$10</f>
        <v>7777.5</v>
      </c>
      <c r="I335" s="700"/>
      <c r="J335" s="707"/>
      <c r="K335" s="721">
        <f>[1]DEPA!$D$10</f>
        <v>2956.25</v>
      </c>
      <c r="L335" s="700"/>
      <c r="M335" s="707"/>
      <c r="N335" s="721">
        <f>[1]DEPA!$E$10</f>
        <v>4197.5</v>
      </c>
      <c r="O335" s="700"/>
      <c r="P335" s="707"/>
      <c r="Q335" s="721">
        <f>[1]DEPA!$F$10</f>
        <v>13800</v>
      </c>
      <c r="R335" s="700"/>
      <c r="S335" s="707"/>
      <c r="T335" s="721">
        <f>[1]DEPA!$G$10</f>
        <v>8405</v>
      </c>
      <c r="U335" s="700"/>
      <c r="V335" s="707"/>
      <c r="W335" s="721">
        <f>[1]DEPA!$H$10</f>
        <v>4215</v>
      </c>
      <c r="X335" s="700"/>
      <c r="Y335" s="707"/>
      <c r="Z335" s="721">
        <f>[1]DEPA!$I$10</f>
        <v>5830</v>
      </c>
      <c r="AA335" s="700"/>
      <c r="AB335" s="707"/>
      <c r="AC335" s="721">
        <f>[1]DEPA!$J$10</f>
        <v>2120</v>
      </c>
      <c r="AD335" s="700"/>
      <c r="AE335" s="707"/>
      <c r="AF335" s="721">
        <f>[1]DEPA!$K$10</f>
        <v>2812.5</v>
      </c>
      <c r="AG335" s="700"/>
      <c r="AH335" s="707"/>
      <c r="AI335" s="721">
        <f>[1]DEPA!$L$10</f>
        <v>5625</v>
      </c>
      <c r="AJ335" s="700"/>
      <c r="AK335" s="707"/>
      <c r="AL335" s="721">
        <f>[1]DEPA!$M$10</f>
        <v>9875</v>
      </c>
      <c r="AM335" s="700"/>
      <c r="AN335" s="707"/>
      <c r="AO335" s="721">
        <f>[1]DEPA!$N$10</f>
        <v>4725</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PiècesService gratuit 2</v>
      </c>
      <c r="B336" s="1027" t="s">
        <v>130</v>
      </c>
      <c r="C336" s="700"/>
      <c r="D336" s="707"/>
      <c r="E336" s="708">
        <f t="shared" si="64"/>
        <v>6738.3093384171261</v>
      </c>
      <c r="F336" s="700"/>
      <c r="G336" s="707"/>
      <c r="H336" s="721">
        <f>[1]DEPA!$C$36</f>
        <v>561.52577820142733</v>
      </c>
      <c r="I336" s="700"/>
      <c r="J336" s="707"/>
      <c r="K336" s="721">
        <f>[1]DEPA!$D$36</f>
        <v>561.52577820142733</v>
      </c>
      <c r="L336" s="700"/>
      <c r="M336" s="707"/>
      <c r="N336" s="721">
        <f>[1]DEPA!$E$36</f>
        <v>561.52577820142733</v>
      </c>
      <c r="O336" s="700"/>
      <c r="P336" s="707"/>
      <c r="Q336" s="721">
        <f>[1]DEPA!$F$36</f>
        <v>561.52577820142733</v>
      </c>
      <c r="R336" s="700"/>
      <c r="S336" s="707"/>
      <c r="T336" s="721">
        <f>[1]DEPA!$G$36</f>
        <v>561.52577820142733</v>
      </c>
      <c r="U336" s="700"/>
      <c r="V336" s="707"/>
      <c r="W336" s="721">
        <f>[1]DEPA!$H$36</f>
        <v>561.52577820142733</v>
      </c>
      <c r="X336" s="700"/>
      <c r="Y336" s="707"/>
      <c r="Z336" s="721">
        <f>[1]DEPA!$I$36</f>
        <v>561.52577820142733</v>
      </c>
      <c r="AA336" s="700"/>
      <c r="AB336" s="707"/>
      <c r="AC336" s="721">
        <f>[1]DEPA!$J$36</f>
        <v>561.52577820142733</v>
      </c>
      <c r="AD336" s="700"/>
      <c r="AE336" s="707"/>
      <c r="AF336" s="721">
        <f>[1]DEPA!$K$36</f>
        <v>561.52577820142733</v>
      </c>
      <c r="AG336" s="700"/>
      <c r="AH336" s="707"/>
      <c r="AI336" s="721">
        <f>[1]DEPA!$L$36</f>
        <v>561.52577820142733</v>
      </c>
      <c r="AJ336" s="700"/>
      <c r="AK336" s="707"/>
      <c r="AL336" s="721">
        <f>[1]DEPA!$M$36</f>
        <v>561.52577820142733</v>
      </c>
      <c r="AM336" s="700"/>
      <c r="AN336" s="707"/>
      <c r="AO336" s="721">
        <f>[1]DEPA!$N$36</f>
        <v>561.52577820142733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PiècesFrais véhicules de cie</v>
      </c>
      <c r="B337" s="1028" t="s">
        <v>131</v>
      </c>
      <c r="C337" s="726"/>
      <c r="D337" s="727"/>
      <c r="E337" s="724">
        <f t="shared" si="64"/>
        <v>15171.845866666668</v>
      </c>
      <c r="F337" s="726"/>
      <c r="G337" s="727"/>
      <c r="H337" s="725">
        <f>[1]DEPA!$C$45</f>
        <v>1264.3204888888893</v>
      </c>
      <c r="I337" s="726"/>
      <c r="J337" s="727"/>
      <c r="K337" s="725">
        <f>[1]DEPA!$D$45</f>
        <v>1264.3204888888893</v>
      </c>
      <c r="L337" s="726"/>
      <c r="M337" s="727"/>
      <c r="N337" s="725">
        <f>[1]DEPA!$E$45</f>
        <v>1264.3204888888893</v>
      </c>
      <c r="O337" s="726"/>
      <c r="P337" s="727"/>
      <c r="Q337" s="725">
        <f>[1]DEPA!$F$45</f>
        <v>1264.3204888888893</v>
      </c>
      <c r="R337" s="726"/>
      <c r="S337" s="727"/>
      <c r="T337" s="725">
        <f>[1]DEPA!$G$45</f>
        <v>1264.3204888888893</v>
      </c>
      <c r="U337" s="726"/>
      <c r="V337" s="727"/>
      <c r="W337" s="725">
        <f>[1]DEPA!$H$45</f>
        <v>1264.3204888888893</v>
      </c>
      <c r="X337" s="726"/>
      <c r="Y337" s="727"/>
      <c r="Z337" s="725">
        <f>[1]DEPA!$I$45</f>
        <v>1264.3204888888893</v>
      </c>
      <c r="AA337" s="726"/>
      <c r="AB337" s="727"/>
      <c r="AC337" s="725">
        <f>[1]DEPA!$J$45</f>
        <v>1264.3204888888893</v>
      </c>
      <c r="AD337" s="726"/>
      <c r="AE337" s="727"/>
      <c r="AF337" s="725">
        <f>[1]DEPA!$K$45</f>
        <v>1264.3204888888893</v>
      </c>
      <c r="AG337" s="726"/>
      <c r="AH337" s="727"/>
      <c r="AI337" s="725">
        <f>[1]DEPA!$L$45</f>
        <v>1264.3204888888893</v>
      </c>
      <c r="AJ337" s="726"/>
      <c r="AK337" s="727"/>
      <c r="AL337" s="725">
        <f>[1]DEPA!$M$45</f>
        <v>1264.3204888888893</v>
      </c>
      <c r="AM337" s="726"/>
      <c r="AN337" s="727"/>
      <c r="AO337" s="725">
        <f>[1]DEPA!$N$45</f>
        <v>1264.3204888888893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PiècesInformatique</v>
      </c>
      <c r="B338" s="1027" t="s">
        <v>132</v>
      </c>
      <c r="C338" s="700"/>
      <c r="D338" s="707"/>
      <c r="E338" s="708">
        <f t="shared" si="64"/>
        <v>78217.5</v>
      </c>
      <c r="F338" s="700"/>
      <c r="G338" s="707"/>
      <c r="H338" s="721">
        <f>[1]DEPA!$C$59</f>
        <v>9027.5</v>
      </c>
      <c r="I338" s="700"/>
      <c r="J338" s="707"/>
      <c r="K338" s="721">
        <f>[1]DEPA!$D$59</f>
        <v>6290</v>
      </c>
      <c r="L338" s="700"/>
      <c r="M338" s="707"/>
      <c r="N338" s="721">
        <f>[1]DEPA!$E$59</f>
        <v>6290</v>
      </c>
      <c r="O338" s="700"/>
      <c r="P338" s="707"/>
      <c r="Q338" s="721">
        <f>[1]DEPA!$F$59</f>
        <v>6290</v>
      </c>
      <c r="R338" s="700"/>
      <c r="S338" s="707"/>
      <c r="T338" s="721">
        <f>[1]DEPA!$G$59</f>
        <v>6290</v>
      </c>
      <c r="U338" s="700"/>
      <c r="V338" s="707"/>
      <c r="W338" s="721">
        <f>[1]DEPA!$H$59</f>
        <v>6290</v>
      </c>
      <c r="X338" s="700"/>
      <c r="Y338" s="707"/>
      <c r="Z338" s="721">
        <f>[1]DEPA!$I$59</f>
        <v>6290</v>
      </c>
      <c r="AA338" s="700"/>
      <c r="AB338" s="707"/>
      <c r="AC338" s="721">
        <f>[1]DEPA!$J$59</f>
        <v>6290</v>
      </c>
      <c r="AD338" s="700"/>
      <c r="AE338" s="707"/>
      <c r="AF338" s="721">
        <f>[1]DEPA!$K$59</f>
        <v>6290</v>
      </c>
      <c r="AG338" s="700"/>
      <c r="AH338" s="707"/>
      <c r="AI338" s="721">
        <f>[1]DEPA!$L$59</f>
        <v>6290</v>
      </c>
      <c r="AJ338" s="700"/>
      <c r="AK338" s="707"/>
      <c r="AL338" s="721">
        <f>[1]DEPA!$M$59</f>
        <v>6290</v>
      </c>
      <c r="AM338" s="700"/>
      <c r="AN338" s="707"/>
      <c r="AO338" s="721">
        <f>[1]DEPA!$N$59</f>
        <v>6290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PiècesFrais de déplacement</v>
      </c>
      <c r="B339" s="1027" t="s">
        <v>133</v>
      </c>
      <c r="C339" s="700"/>
      <c r="D339" s="707"/>
      <c r="E339" s="708">
        <f t="shared" si="64"/>
        <v>12000</v>
      </c>
      <c r="F339" s="700"/>
      <c r="G339" s="707"/>
      <c r="H339" s="721">
        <f>[1]DEPA!$C$79</f>
        <v>1000</v>
      </c>
      <c r="I339" s="700"/>
      <c r="J339" s="707"/>
      <c r="K339" s="721">
        <f>[1]DEPA!$D$79</f>
        <v>1000</v>
      </c>
      <c r="L339" s="700"/>
      <c r="M339" s="707"/>
      <c r="N339" s="721">
        <f>[1]DEPA!$E$79</f>
        <v>1000</v>
      </c>
      <c r="O339" s="700"/>
      <c r="P339" s="707"/>
      <c r="Q339" s="721">
        <f>[1]DEPA!$F$79</f>
        <v>1000</v>
      </c>
      <c r="R339" s="700"/>
      <c r="S339" s="707"/>
      <c r="T339" s="721">
        <f>[1]DEPA!$G$79</f>
        <v>1000</v>
      </c>
      <c r="U339" s="700"/>
      <c r="V339" s="707"/>
      <c r="W339" s="721">
        <f>[1]DEPA!$H$79</f>
        <v>1000</v>
      </c>
      <c r="X339" s="700"/>
      <c r="Y339" s="707"/>
      <c r="Z339" s="721">
        <f>[1]DEPA!$I$79</f>
        <v>1000</v>
      </c>
      <c r="AA339" s="700"/>
      <c r="AB339" s="707"/>
      <c r="AC339" s="721">
        <f>[1]DEPA!$J$79</f>
        <v>1000</v>
      </c>
      <c r="AD339" s="700"/>
      <c r="AE339" s="707"/>
      <c r="AF339" s="721">
        <f>[1]DEPA!$K$79</f>
        <v>1000</v>
      </c>
      <c r="AG339" s="700"/>
      <c r="AH339" s="707"/>
      <c r="AI339" s="721">
        <f>[1]DEPA!$L$79</f>
        <v>1000</v>
      </c>
      <c r="AJ339" s="700"/>
      <c r="AK339" s="707"/>
      <c r="AL339" s="721">
        <f>[1]DEPA!$M$79</f>
        <v>1000</v>
      </c>
      <c r="AM339" s="700"/>
      <c r="AN339" s="707"/>
      <c r="AO339" s="721">
        <f>[1]DEPA!$N$79</f>
        <v>1000</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PiècesServices extérieurs</v>
      </c>
      <c r="B340" s="1028" t="s">
        <v>134</v>
      </c>
      <c r="C340" s="726"/>
      <c r="D340" s="727"/>
      <c r="E340" s="724">
        <f t="shared" si="64"/>
        <v>188773.00000000003</v>
      </c>
      <c r="F340" s="726"/>
      <c r="G340" s="727"/>
      <c r="H340" s="725">
        <f>[1]DEPA!$C$88</f>
        <v>16619.945350967431</v>
      </c>
      <c r="I340" s="726"/>
      <c r="J340" s="727"/>
      <c r="K340" s="725">
        <f>[1]DEPA!$D$88</f>
        <v>15552.451815916791</v>
      </c>
      <c r="L340" s="726"/>
      <c r="M340" s="727"/>
      <c r="N340" s="725">
        <f>[1]DEPA!$E$88</f>
        <v>16440.026346529616</v>
      </c>
      <c r="O340" s="726"/>
      <c r="P340" s="727"/>
      <c r="Q340" s="725">
        <f>[1]DEPA!$F$88</f>
        <v>14366.511139771295</v>
      </c>
      <c r="R340" s="726"/>
      <c r="S340" s="727"/>
      <c r="T340" s="725">
        <f>[1]DEPA!$G$88</f>
        <v>15029.059416782648</v>
      </c>
      <c r="U340" s="726"/>
      <c r="V340" s="727"/>
      <c r="W340" s="725">
        <f>[1]DEPA!$H$88</f>
        <v>14070.908137768016</v>
      </c>
      <c r="X340" s="726"/>
      <c r="Y340" s="727"/>
      <c r="Z340" s="725">
        <f>[1]DEPA!$I$88</f>
        <v>14429.878112932751</v>
      </c>
      <c r="AA340" s="726"/>
      <c r="AB340" s="727"/>
      <c r="AC340" s="725">
        <f>[1]DEPA!$J$88</f>
        <v>15220.684774047741</v>
      </c>
      <c r="AD340" s="726"/>
      <c r="AE340" s="727"/>
      <c r="AF340" s="725">
        <f>[1]DEPA!$K$88</f>
        <v>14835.779442293466</v>
      </c>
      <c r="AG340" s="726"/>
      <c r="AH340" s="727"/>
      <c r="AI340" s="725">
        <f>[1]DEPA!$L$88</f>
        <v>17713.123848883632</v>
      </c>
      <c r="AJ340" s="726"/>
      <c r="AK340" s="727"/>
      <c r="AL340" s="725">
        <f>[1]DEPA!$M$88</f>
        <v>16345.839150026848</v>
      </c>
      <c r="AM340" s="726"/>
      <c r="AN340" s="727"/>
      <c r="AO340" s="725">
        <f>[1]DEPA!$N$88</f>
        <v>18148.792464079794</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7"/>
        <v>PiècesFournitures d'atelier</v>
      </c>
      <c r="B341" s="1027" t="s">
        <v>489</v>
      </c>
      <c r="C341" s="700"/>
      <c r="D341" s="707"/>
      <c r="E341" s="708"/>
      <c r="F341" s="700"/>
      <c r="G341" s="707"/>
      <c r="H341" s="721"/>
      <c r="I341" s="700"/>
      <c r="J341" s="707"/>
      <c r="K341" s="721"/>
      <c r="L341" s="700"/>
      <c r="M341" s="707"/>
      <c r="N341" s="721"/>
      <c r="O341" s="700"/>
      <c r="P341" s="707"/>
      <c r="Q341" s="721"/>
      <c r="R341" s="700"/>
      <c r="S341" s="707"/>
      <c r="T341" s="721"/>
      <c r="U341" s="700"/>
      <c r="V341" s="707"/>
      <c r="W341" s="721"/>
      <c r="X341" s="700"/>
      <c r="Y341" s="707"/>
      <c r="Z341" s="721"/>
      <c r="AA341" s="700"/>
      <c r="AB341" s="707"/>
      <c r="AC341" s="721"/>
      <c r="AD341" s="700"/>
      <c r="AE341" s="707"/>
      <c r="AF341" s="721"/>
      <c r="AG341" s="700"/>
      <c r="AH341" s="707"/>
      <c r="AI341" s="721"/>
      <c r="AJ341" s="700"/>
      <c r="AK341" s="707"/>
      <c r="AL341" s="721"/>
      <c r="AM341" s="700"/>
      <c r="AN341" s="707"/>
      <c r="AO341" s="721"/>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ref="A342:A357" si="65">+$C$295&amp;B342</f>
        <v>PiècesFournitures autres</v>
      </c>
      <c r="B342" s="1027" t="s">
        <v>135</v>
      </c>
      <c r="C342" s="700"/>
      <c r="D342" s="707"/>
      <c r="E342" s="708">
        <f t="shared" si="64"/>
        <v>600</v>
      </c>
      <c r="F342" s="700"/>
      <c r="G342" s="707"/>
      <c r="H342" s="721">
        <f>[1]DEPA!$C$117</f>
        <v>50</v>
      </c>
      <c r="I342" s="700"/>
      <c r="J342" s="707"/>
      <c r="K342" s="721">
        <f>[1]DEPA!$D$117</f>
        <v>50</v>
      </c>
      <c r="L342" s="700"/>
      <c r="M342" s="707"/>
      <c r="N342" s="721">
        <f>[1]DEPA!$E$117</f>
        <v>50</v>
      </c>
      <c r="O342" s="700"/>
      <c r="P342" s="707"/>
      <c r="Q342" s="721">
        <f>[1]DEPA!$F$117</f>
        <v>50</v>
      </c>
      <c r="R342" s="700"/>
      <c r="S342" s="707"/>
      <c r="T342" s="721">
        <f>[1]DEPA!$G$117</f>
        <v>50</v>
      </c>
      <c r="U342" s="700"/>
      <c r="V342" s="707"/>
      <c r="W342" s="721">
        <f>[1]DEPA!$H$117</f>
        <v>50</v>
      </c>
      <c r="X342" s="700"/>
      <c r="Y342" s="707"/>
      <c r="Z342" s="721">
        <f>[1]DEPA!$I$117</f>
        <v>50</v>
      </c>
      <c r="AA342" s="700"/>
      <c r="AB342" s="707"/>
      <c r="AC342" s="721">
        <f>[1]DEPA!$J$117</f>
        <v>50</v>
      </c>
      <c r="AD342" s="700"/>
      <c r="AE342" s="707"/>
      <c r="AF342" s="721">
        <f>[1]DEPA!$K$117</f>
        <v>50</v>
      </c>
      <c r="AG342" s="700"/>
      <c r="AH342" s="707"/>
      <c r="AI342" s="721">
        <f>[1]DEPA!$L$117</f>
        <v>50</v>
      </c>
      <c r="AJ342" s="700"/>
      <c r="AK342" s="707"/>
      <c r="AL342" s="721">
        <f>[1]DEPA!$M$117</f>
        <v>50</v>
      </c>
      <c r="AM342" s="700"/>
      <c r="AN342" s="707"/>
      <c r="AO342" s="721">
        <f>[1]DEPA!$N$117</f>
        <v>50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PiècesUniformes</v>
      </c>
      <c r="B343" s="1027" t="s">
        <v>136</v>
      </c>
      <c r="C343" s="700"/>
      <c r="D343" s="707"/>
      <c r="E343" s="708">
        <f t="shared" si="64"/>
        <v>0</v>
      </c>
      <c r="F343" s="700"/>
      <c r="G343" s="707"/>
      <c r="H343" s="721">
        <f>[1]DEPA!$C$126</f>
        <v>0</v>
      </c>
      <c r="I343" s="700"/>
      <c r="J343" s="707"/>
      <c r="K343" s="721">
        <f>[1]DEPA!$D$126</f>
        <v>0</v>
      </c>
      <c r="L343" s="700"/>
      <c r="M343" s="707"/>
      <c r="N343" s="721">
        <f>[1]DEPA!$E$126</f>
        <v>0</v>
      </c>
      <c r="O343" s="700"/>
      <c r="P343" s="707"/>
      <c r="Q343" s="721">
        <f>[1]DEPA!$F$126</f>
        <v>0</v>
      </c>
      <c r="R343" s="700"/>
      <c r="S343" s="707"/>
      <c r="T343" s="721">
        <f>[1]DEPA!$G$126</f>
        <v>0</v>
      </c>
      <c r="U343" s="700"/>
      <c r="V343" s="707"/>
      <c r="W343" s="721">
        <f>[1]DEPA!$H$126</f>
        <v>0</v>
      </c>
      <c r="X343" s="700"/>
      <c r="Y343" s="707"/>
      <c r="Z343" s="721">
        <f>[1]DEPA!$I$126</f>
        <v>0</v>
      </c>
      <c r="AA343" s="700"/>
      <c r="AB343" s="707"/>
      <c r="AC343" s="721">
        <f>[1]DEPA!$J$126</f>
        <v>0</v>
      </c>
      <c r="AD343" s="700"/>
      <c r="AE343" s="707"/>
      <c r="AF343" s="721">
        <f>[1]DEPA!$K$126</f>
        <v>0</v>
      </c>
      <c r="AG343" s="700"/>
      <c r="AH343" s="707"/>
      <c r="AI343" s="721">
        <f>[1]DEPA!$L$126</f>
        <v>0</v>
      </c>
      <c r="AJ343" s="700"/>
      <c r="AK343" s="707"/>
      <c r="AL343" s="721">
        <f>[1]DEPA!$M$126</f>
        <v>0</v>
      </c>
      <c r="AM343" s="700"/>
      <c r="AN343" s="707"/>
      <c r="AO343" s="721">
        <f>[1]DEPA!$N$126</f>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PiècesPapeterie</v>
      </c>
      <c r="B344" s="1027" t="s">
        <v>137</v>
      </c>
      <c r="C344" s="700"/>
      <c r="D344" s="707"/>
      <c r="E344" s="708">
        <f t="shared" si="64"/>
        <v>5814</v>
      </c>
      <c r="F344" s="700"/>
      <c r="G344" s="707"/>
      <c r="H344" s="721">
        <f>[1]DEPA!$C$135</f>
        <v>484.5</v>
      </c>
      <c r="I344" s="700"/>
      <c r="J344" s="707"/>
      <c r="K344" s="721">
        <f>[1]DEPA!$D$135</f>
        <v>484.5</v>
      </c>
      <c r="L344" s="700"/>
      <c r="M344" s="707"/>
      <c r="N344" s="721">
        <f>[1]DEPA!$E$135</f>
        <v>484.5</v>
      </c>
      <c r="O344" s="700"/>
      <c r="P344" s="707"/>
      <c r="Q344" s="721">
        <f>[1]DEPA!$F$135</f>
        <v>484.5</v>
      </c>
      <c r="R344" s="700"/>
      <c r="S344" s="707"/>
      <c r="T344" s="721">
        <f>[1]DEPA!$G$135</f>
        <v>484.5</v>
      </c>
      <c r="U344" s="700"/>
      <c r="V344" s="707"/>
      <c r="W344" s="721">
        <f>[1]DEPA!$H$135</f>
        <v>484.5</v>
      </c>
      <c r="X344" s="700"/>
      <c r="Y344" s="707"/>
      <c r="Z344" s="721">
        <f>[1]DEPA!$I$135</f>
        <v>484.5</v>
      </c>
      <c r="AA344" s="700"/>
      <c r="AB344" s="707"/>
      <c r="AC344" s="721">
        <f>[1]DEPA!$J$135</f>
        <v>484.5</v>
      </c>
      <c r="AD344" s="700"/>
      <c r="AE344" s="707"/>
      <c r="AF344" s="721">
        <f>[1]DEPA!$K$135</f>
        <v>484.5</v>
      </c>
      <c r="AG344" s="700"/>
      <c r="AH344" s="707"/>
      <c r="AI344" s="721">
        <f>[1]DEPA!$L$135</f>
        <v>484.5</v>
      </c>
      <c r="AJ344" s="700"/>
      <c r="AK344" s="707"/>
      <c r="AL344" s="721">
        <f>[1]DEPA!$M$135</f>
        <v>484.5</v>
      </c>
      <c r="AM344" s="700"/>
      <c r="AN344" s="707"/>
      <c r="AO344" s="721">
        <f>[1]DEPA!$N$135</f>
        <v>484.5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PiècesTéléphone</v>
      </c>
      <c r="B345" s="1027" t="s">
        <v>138</v>
      </c>
      <c r="C345" s="700"/>
      <c r="D345" s="707"/>
      <c r="E345" s="708">
        <f t="shared" si="64"/>
        <v>1365</v>
      </c>
      <c r="F345" s="700"/>
      <c r="G345" s="707"/>
      <c r="H345" s="721">
        <f>[1]DEPA!$C$144</f>
        <v>113.75</v>
      </c>
      <c r="I345" s="700"/>
      <c r="J345" s="707"/>
      <c r="K345" s="721">
        <f>[1]DEPA!$D$144</f>
        <v>113.75</v>
      </c>
      <c r="L345" s="700"/>
      <c r="M345" s="707"/>
      <c r="N345" s="721">
        <f>[1]DEPA!$E$144</f>
        <v>113.75</v>
      </c>
      <c r="O345" s="700"/>
      <c r="P345" s="707"/>
      <c r="Q345" s="721">
        <f>[1]DEPA!$F$144</f>
        <v>113.75</v>
      </c>
      <c r="R345" s="700"/>
      <c r="S345" s="707"/>
      <c r="T345" s="721">
        <f>[1]DEPA!$G$144</f>
        <v>113.75</v>
      </c>
      <c r="U345" s="700"/>
      <c r="V345" s="707"/>
      <c r="W345" s="721">
        <f>[1]DEPA!$H$144</f>
        <v>113.75</v>
      </c>
      <c r="X345" s="700"/>
      <c r="Y345" s="707"/>
      <c r="Z345" s="721">
        <f>[1]DEPA!$I$144</f>
        <v>113.75</v>
      </c>
      <c r="AA345" s="700"/>
      <c r="AB345" s="707"/>
      <c r="AC345" s="721">
        <f>[1]DEPA!$J$144</f>
        <v>113.75</v>
      </c>
      <c r="AD345" s="700"/>
      <c r="AE345" s="707"/>
      <c r="AF345" s="721">
        <f>[1]DEPA!$K$144</f>
        <v>113.75</v>
      </c>
      <c r="AG345" s="700"/>
      <c r="AH345" s="707"/>
      <c r="AI345" s="721">
        <f>[1]DEPA!$L$144</f>
        <v>113.75</v>
      </c>
      <c r="AJ345" s="700"/>
      <c r="AK345" s="707"/>
      <c r="AL345" s="721">
        <f>[1]DEPA!$M$144</f>
        <v>113.75</v>
      </c>
      <c r="AM345" s="700"/>
      <c r="AN345" s="707"/>
      <c r="AO345" s="721">
        <f>[1]DEPA!$N$144</f>
        <v>113.75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PiècesFrais postaux</v>
      </c>
      <c r="B346" s="1027" t="s">
        <v>139</v>
      </c>
      <c r="C346" s="700"/>
      <c r="D346" s="707"/>
      <c r="E346" s="708">
        <f t="shared" si="64"/>
        <v>2136.75</v>
      </c>
      <c r="F346" s="700"/>
      <c r="G346" s="707"/>
      <c r="H346" s="721">
        <f>[1]DEPA!$C$153</f>
        <v>178.0625</v>
      </c>
      <c r="I346" s="700"/>
      <c r="J346" s="707"/>
      <c r="K346" s="721">
        <f>[1]DEPA!$D$153</f>
        <v>178.0625</v>
      </c>
      <c r="L346" s="700"/>
      <c r="M346" s="707"/>
      <c r="N346" s="721">
        <f>[1]DEPA!$E$153</f>
        <v>178.0625</v>
      </c>
      <c r="O346" s="700"/>
      <c r="P346" s="707"/>
      <c r="Q346" s="721">
        <f>[1]DEPA!$F$153</f>
        <v>178.0625</v>
      </c>
      <c r="R346" s="700"/>
      <c r="S346" s="707"/>
      <c r="T346" s="721">
        <f>[1]DEPA!$G$153</f>
        <v>178.0625</v>
      </c>
      <c r="U346" s="700"/>
      <c r="V346" s="707"/>
      <c r="W346" s="721">
        <f>[1]DEPA!$H$153</f>
        <v>178.0625</v>
      </c>
      <c r="X346" s="700"/>
      <c r="Y346" s="707"/>
      <c r="Z346" s="721">
        <f>[1]DEPA!$I$153</f>
        <v>178.0625</v>
      </c>
      <c r="AA346" s="700"/>
      <c r="AB346" s="707"/>
      <c r="AC346" s="721">
        <f>[1]DEPA!$J$153</f>
        <v>178.0625</v>
      </c>
      <c r="AD346" s="700"/>
      <c r="AE346" s="707"/>
      <c r="AF346" s="721">
        <f>[1]DEPA!$K$153</f>
        <v>178.0625</v>
      </c>
      <c r="AG346" s="700"/>
      <c r="AH346" s="707"/>
      <c r="AI346" s="721">
        <f>[1]DEPA!$L$153</f>
        <v>178.0625</v>
      </c>
      <c r="AJ346" s="700"/>
      <c r="AK346" s="707"/>
      <c r="AL346" s="721">
        <f>[1]DEPA!$M$153</f>
        <v>178.0625</v>
      </c>
      <c r="AM346" s="700"/>
      <c r="AN346" s="707"/>
      <c r="AO346" s="721">
        <f>[1]DEPA!$N$153</f>
        <v>178.0625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PiècesDivers</v>
      </c>
      <c r="B347" s="1027" t="s">
        <v>140</v>
      </c>
      <c r="C347" s="700"/>
      <c r="D347" s="707"/>
      <c r="E347" s="708">
        <f t="shared" si="64"/>
        <v>1125</v>
      </c>
      <c r="F347" s="700"/>
      <c r="G347" s="707"/>
      <c r="H347" s="721">
        <f>[1]DEPA!$C$162</f>
        <v>93.75</v>
      </c>
      <c r="I347" s="700"/>
      <c r="J347" s="707"/>
      <c r="K347" s="721">
        <f>[1]DEPA!$D$162</f>
        <v>93.75</v>
      </c>
      <c r="L347" s="700"/>
      <c r="M347" s="707"/>
      <c r="N347" s="721">
        <f>[1]DEPA!$E$162</f>
        <v>93.75</v>
      </c>
      <c r="O347" s="700"/>
      <c r="P347" s="707"/>
      <c r="Q347" s="721">
        <f>[1]DEPA!$F$162</f>
        <v>93.75</v>
      </c>
      <c r="R347" s="700"/>
      <c r="S347" s="707"/>
      <c r="T347" s="721">
        <f>[1]DEPA!$G$162</f>
        <v>93.75</v>
      </c>
      <c r="U347" s="700"/>
      <c r="V347" s="707"/>
      <c r="W347" s="721">
        <f>[1]DEPA!$H$162</f>
        <v>93.75</v>
      </c>
      <c r="X347" s="700"/>
      <c r="Y347" s="707"/>
      <c r="Z347" s="721">
        <f>[1]DEPA!$I$162</f>
        <v>93.75</v>
      </c>
      <c r="AA347" s="700"/>
      <c r="AB347" s="707"/>
      <c r="AC347" s="721">
        <f>[1]DEPA!$J$162</f>
        <v>93.75</v>
      </c>
      <c r="AD347" s="700"/>
      <c r="AE347" s="707"/>
      <c r="AF347" s="721">
        <f>[1]DEPA!$K$162</f>
        <v>93.75</v>
      </c>
      <c r="AG347" s="700"/>
      <c r="AH347" s="707"/>
      <c r="AI347" s="721">
        <f>[1]DEPA!$L$162</f>
        <v>93.75</v>
      </c>
      <c r="AJ347" s="700"/>
      <c r="AK347" s="707"/>
      <c r="AL347" s="721">
        <f>[1]DEPA!$M$162</f>
        <v>93.75</v>
      </c>
      <c r="AM347" s="700"/>
      <c r="AN347" s="707"/>
      <c r="AO347" s="721">
        <f>[1]DEPA!$N$162</f>
        <v>93.75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65"/>
        <v>PiècesFormation</v>
      </c>
      <c r="B348" s="1027" t="s">
        <v>141</v>
      </c>
      <c r="C348" s="700"/>
      <c r="D348" s="707"/>
      <c r="E348" s="708">
        <f t="shared" si="64"/>
        <v>4000.0000000000005</v>
      </c>
      <c r="F348" s="700"/>
      <c r="G348" s="707"/>
      <c r="H348" s="721">
        <f>[1]DEPA!$C$173</f>
        <v>333.33333333333331</v>
      </c>
      <c r="I348" s="700"/>
      <c r="J348" s="707"/>
      <c r="K348" s="721">
        <f>[1]DEPA!$D$173</f>
        <v>333.33333333333331</v>
      </c>
      <c r="L348" s="700"/>
      <c r="M348" s="707"/>
      <c r="N348" s="721">
        <f>[1]DEPA!$E$173</f>
        <v>333.33333333333331</v>
      </c>
      <c r="O348" s="700"/>
      <c r="P348" s="707"/>
      <c r="Q348" s="721">
        <f>[1]DEPA!$F$173</f>
        <v>333.33333333333331</v>
      </c>
      <c r="R348" s="700"/>
      <c r="S348" s="707"/>
      <c r="T348" s="721">
        <f>[1]DEPA!$G$173</f>
        <v>333.33333333333331</v>
      </c>
      <c r="U348" s="700"/>
      <c r="V348" s="707"/>
      <c r="W348" s="721">
        <f>[1]DEPA!$H$173</f>
        <v>333.33333333333331</v>
      </c>
      <c r="X348" s="700"/>
      <c r="Y348" s="707"/>
      <c r="Z348" s="721">
        <f>[1]DEPA!$I$173</f>
        <v>333.33333333333331</v>
      </c>
      <c r="AA348" s="700"/>
      <c r="AB348" s="707"/>
      <c r="AC348" s="721">
        <f>[1]DEPA!$J$173</f>
        <v>333.33333333333331</v>
      </c>
      <c r="AD348" s="700"/>
      <c r="AE348" s="707"/>
      <c r="AF348" s="721">
        <f>[1]DEPA!$K$173</f>
        <v>333.33333333333331</v>
      </c>
      <c r="AG348" s="700"/>
      <c r="AH348" s="707"/>
      <c r="AI348" s="721">
        <f>[1]DEPA!$L$173</f>
        <v>333.33333333333331</v>
      </c>
      <c r="AJ348" s="700"/>
      <c r="AK348" s="707"/>
      <c r="AL348" s="721">
        <f>[1]DEPA!$M$173</f>
        <v>333.33333333333331</v>
      </c>
      <c r="AM348" s="700"/>
      <c r="AN348" s="707"/>
      <c r="AO348" s="721">
        <f>[1]DEPA!$N$173</f>
        <v>333.33333333333331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PiècesFrais bancaires</v>
      </c>
      <c r="B349" s="1027" t="s">
        <v>142</v>
      </c>
      <c r="C349" s="700"/>
      <c r="D349" s="707"/>
      <c r="E349" s="708">
        <f t="shared" si="64"/>
        <v>19477.398565714509</v>
      </c>
      <c r="F349" s="700"/>
      <c r="G349" s="707"/>
      <c r="H349" s="721">
        <f>[1]DEPA!$C$185</f>
        <v>1246.9878464862741</v>
      </c>
      <c r="I349" s="700"/>
      <c r="J349" s="707"/>
      <c r="K349" s="721">
        <f>[1]DEPA!$D$185</f>
        <v>1261.8805005194286</v>
      </c>
      <c r="L349" s="700"/>
      <c r="M349" s="707"/>
      <c r="N349" s="721">
        <f>[1]DEPA!$E$185</f>
        <v>1721.6730548630967</v>
      </c>
      <c r="O349" s="700"/>
      <c r="P349" s="707"/>
      <c r="Q349" s="721">
        <f>[1]DEPA!$F$185</f>
        <v>1828.2222873684677</v>
      </c>
      <c r="R349" s="700"/>
      <c r="S349" s="707"/>
      <c r="T349" s="721">
        <f>[1]DEPA!$G$185</f>
        <v>1946.1989413156423</v>
      </c>
      <c r="U349" s="700"/>
      <c r="V349" s="707"/>
      <c r="W349" s="721">
        <f>[1]DEPA!$H$185</f>
        <v>1758.7545521556597</v>
      </c>
      <c r="X349" s="700"/>
      <c r="Y349" s="707"/>
      <c r="Z349" s="721">
        <f>[1]DEPA!$I$185</f>
        <v>1667.553314705272</v>
      </c>
      <c r="AA349" s="700"/>
      <c r="AB349" s="707"/>
      <c r="AC349" s="721">
        <f>[1]DEPA!$J$185</f>
        <v>1616.6280112824588</v>
      </c>
      <c r="AD349" s="700"/>
      <c r="AE349" s="707"/>
      <c r="AF349" s="721">
        <f>[1]DEPA!$K$185</f>
        <v>1685.9779877482606</v>
      </c>
      <c r="AG349" s="700"/>
      <c r="AH349" s="707"/>
      <c r="AI349" s="721">
        <f>[1]DEPA!$L$185</f>
        <v>1690.1375538285822</v>
      </c>
      <c r="AJ349" s="700"/>
      <c r="AK349" s="707"/>
      <c r="AL349" s="721">
        <f>[1]DEPA!$M$185</f>
        <v>1746.977006056811</v>
      </c>
      <c r="AM349" s="700"/>
      <c r="AN349" s="707"/>
      <c r="AO349" s="721">
        <f>[1]DEPA!$N$185</f>
        <v>1306.407509384554</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027" t="s">
        <v>59</v>
      </c>
      <c r="C350" s="700"/>
      <c r="D350" s="707"/>
      <c r="E350" s="708">
        <f t="shared" si="64"/>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65"/>
        <v>Pièces[...]</v>
      </c>
      <c r="B351" s="1027" t="s">
        <v>59</v>
      </c>
      <c r="C351" s="700"/>
      <c r="D351" s="707"/>
      <c r="E351" s="708">
        <f t="shared" si="64"/>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v>
      </c>
      <c r="B352" s="1027" t="s">
        <v>59</v>
      </c>
      <c r="C352" s="700"/>
      <c r="D352" s="707"/>
      <c r="E352" s="708">
        <f t="shared" si="64"/>
        <v>0</v>
      </c>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65"/>
        <v>PiècesTOTAL SEMI-FIXES</v>
      </c>
      <c r="B353" s="1023" t="s">
        <v>143</v>
      </c>
      <c r="C353" s="1024" t="s">
        <v>119</v>
      </c>
      <c r="D353" s="1025">
        <f>IFERROR(E353/E$318,0)</f>
        <v>0.24586921464664507</v>
      </c>
      <c r="E353" s="1026">
        <f>+SUM(E335:E352)</f>
        <v>407757.55377079826</v>
      </c>
      <c r="F353" s="1024" t="s">
        <v>119</v>
      </c>
      <c r="G353" s="1025">
        <f>IFERROR(H353/H$318,0)</f>
        <v>0.32595179689622816</v>
      </c>
      <c r="H353" s="1026">
        <f>+SUM(H335:H352)</f>
        <v>38751.175297877358</v>
      </c>
      <c r="I353" s="1024" t="s">
        <v>119</v>
      </c>
      <c r="J353" s="1025">
        <f>IFERROR(K353/K$318,0)</f>
        <v>0.26286638900989734</v>
      </c>
      <c r="K353" s="1026">
        <f>+SUM(K335:K352)</f>
        <v>30139.824416859872</v>
      </c>
      <c r="L353" s="1024" t="s">
        <v>119</v>
      </c>
      <c r="M353" s="1025">
        <f>IFERROR(N353/N$318,0)</f>
        <v>0.21469503563493408</v>
      </c>
      <c r="N353" s="1026">
        <f>+SUM(N335:N352)</f>
        <v>32728.441501816364</v>
      </c>
      <c r="O353" s="1024" t="s">
        <v>119</v>
      </c>
      <c r="P353" s="1025">
        <f>IFERROR(Q353/Q$318,0)</f>
        <v>0.34515079935183046</v>
      </c>
      <c r="Q353" s="1026">
        <f>+SUM(Q335:Q352)</f>
        <v>40363.975527563416</v>
      </c>
      <c r="R353" s="1024" t="s">
        <v>119</v>
      </c>
      <c r="S353" s="1025">
        <f>IFERROR(T353/T$318,0)</f>
        <v>0.24889973783537117</v>
      </c>
      <c r="T353" s="1026">
        <f>+SUM(T335:T352)</f>
        <v>35749.500458521943</v>
      </c>
      <c r="U353" s="1024" t="s">
        <v>119</v>
      </c>
      <c r="V353" s="1025">
        <f>IFERROR(W353/W$318,0)</f>
        <v>0.20502232153913333</v>
      </c>
      <c r="W353" s="1026">
        <f>+SUM(W335:W352)</f>
        <v>30413.904790347326</v>
      </c>
      <c r="X353" s="1024" t="s">
        <v>119</v>
      </c>
      <c r="Y353" s="1025">
        <f>IFERROR(Z353/Z$318,0)</f>
        <v>0.24929952000992725</v>
      </c>
      <c r="Z353" s="1026">
        <f>+SUM(Z335:Z352)</f>
        <v>32296.67352806167</v>
      </c>
      <c r="AA353" s="1024" t="s">
        <v>119</v>
      </c>
      <c r="AB353" s="1025">
        <f>IFERROR(AC353/AC$318,0)</f>
        <v>0.22562219642156725</v>
      </c>
      <c r="AC353" s="1026">
        <f>+SUM(AC335:AC352)</f>
        <v>29326.554885753845</v>
      </c>
      <c r="AD353" s="1024" t="s">
        <v>119</v>
      </c>
      <c r="AE353" s="1025">
        <f>IFERROR(AF353/AF$318,0)</f>
        <v>0.18127451830679212</v>
      </c>
      <c r="AF353" s="1026">
        <f>+SUM(AF335:AF352)</f>
        <v>29703.499530465378</v>
      </c>
      <c r="AG353" s="1024" t="s">
        <v>119</v>
      </c>
      <c r="AH353" s="1025">
        <f>IFERROR(AI353/AI$318,0)</f>
        <v>0.24061140536073111</v>
      </c>
      <c r="AI353" s="1026">
        <f>+SUM(AI335:AI352)</f>
        <v>35397.503503135864</v>
      </c>
      <c r="AJ353" s="1024" t="s">
        <v>119</v>
      </c>
      <c r="AK353" s="1025">
        <f>IFERROR(AL353/AL$318,0)</f>
        <v>0.24008933721395737</v>
      </c>
      <c r="AL353" s="1026">
        <f>+SUM(AL335:AL352)</f>
        <v>38337.058256507313</v>
      </c>
      <c r="AM353" s="1024" t="s">
        <v>119</v>
      </c>
      <c r="AN353" s="1025">
        <f>IFERROR(AO353/AO$318,0)</f>
        <v>0.2591012172262665</v>
      </c>
      <c r="AO353" s="1026">
        <f>+SUM(AO335:AO352)</f>
        <v>34549.442073888</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v>
      </c>
      <c r="B354" s="726"/>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PiècesTOTAL DES DÉPENSES</v>
      </c>
      <c r="B355" s="1033" t="s">
        <v>144</v>
      </c>
      <c r="C355" s="1024" t="s">
        <v>119</v>
      </c>
      <c r="D355" s="1046">
        <f>IFERROR(E355/E$318,0)</f>
        <v>0.61624525850684009</v>
      </c>
      <c r="E355" s="1034">
        <f>E334+E353</f>
        <v>1022001.3086743352</v>
      </c>
      <c r="F355" s="1024" t="s">
        <v>119</v>
      </c>
      <c r="G355" s="1046">
        <f>IFERROR(H355/H$318,0)</f>
        <v>0.73910514213864054</v>
      </c>
      <c r="H355" s="1034">
        <f>H334+H353</f>
        <v>87869.412591995599</v>
      </c>
      <c r="I355" s="1024" t="s">
        <v>119</v>
      </c>
      <c r="J355" s="1046">
        <f>IFERROR(K355/K$318,0)</f>
        <v>0.67689359515524483</v>
      </c>
      <c r="K355" s="1034">
        <f>K334+K353</f>
        <v>77611.497550978122</v>
      </c>
      <c r="L355" s="1024" t="s">
        <v>119</v>
      </c>
      <c r="M355" s="1046">
        <f>IFERROR(N355/N$318,0)</f>
        <v>0.52610407583056418</v>
      </c>
      <c r="N355" s="1034">
        <f>N334+N353</f>
        <v>80200.114635934617</v>
      </c>
      <c r="O355" s="1024" t="s">
        <v>119</v>
      </c>
      <c r="P355" s="1046">
        <f>IFERROR(Q355/Q$318,0)</f>
        <v>0.75107924704947981</v>
      </c>
      <c r="Q355" s="1034">
        <f>Q334+Q353</f>
        <v>87835.648661681655</v>
      </c>
      <c r="R355" s="1024" t="s">
        <v>119</v>
      </c>
      <c r="S355" s="1046">
        <f>IFERROR(T355/T$318,0)</f>
        <v>0.65414864656123783</v>
      </c>
      <c r="T355" s="1034">
        <f>T334+T353</f>
        <v>93955.45187616974</v>
      </c>
      <c r="U355" s="1024" t="s">
        <v>119</v>
      </c>
      <c r="V355" s="1046">
        <f>IFERROR(W355/W$318,0)</f>
        <v>0.52503228738846353</v>
      </c>
      <c r="W355" s="1034">
        <f>W334+W353</f>
        <v>77885.577924465571</v>
      </c>
      <c r="X355" s="1024" t="s">
        <v>119</v>
      </c>
      <c r="Y355" s="1046">
        <f>IFERROR(Z355/Z$318,0)</f>
        <v>0.69859395702161486</v>
      </c>
      <c r="Z355" s="1034">
        <f>Z334+Z353</f>
        <v>90502.624945709467</v>
      </c>
      <c r="AA355" s="1024" t="s">
        <v>119</v>
      </c>
      <c r="AB355" s="1046">
        <f>IFERROR(AC355/AC$318,0)</f>
        <v>0.59084283696565842</v>
      </c>
      <c r="AC355" s="1034">
        <f>AC334+AC353</f>
        <v>76798.228019872098</v>
      </c>
      <c r="AD355" s="1024" t="s">
        <v>119</v>
      </c>
      <c r="AE355" s="1046">
        <f>IFERROR(AF355/AF$318,0)</f>
        <v>0.47098464730282646</v>
      </c>
      <c r="AF355" s="1034">
        <f>AF334+AF353</f>
        <v>77175.172664583632</v>
      </c>
      <c r="AG355" s="1024" t="s">
        <v>119</v>
      </c>
      <c r="AH355" s="1046">
        <f>IFERROR(AI355/AI$318,0)</f>
        <v>0.63626122201285673</v>
      </c>
      <c r="AI355" s="1034">
        <f>AI334+AI353</f>
        <v>93603.454920783668</v>
      </c>
      <c r="AJ355" s="1024" t="s">
        <v>119</v>
      </c>
      <c r="AK355" s="1046">
        <f>IFERROR(AL355/AL$318,0)</f>
        <v>0.53738503640270452</v>
      </c>
      <c r="AL355" s="1034">
        <f>AL334+AL353</f>
        <v>85808.731390625559</v>
      </c>
      <c r="AM355" s="1024" t="s">
        <v>119</v>
      </c>
      <c r="AN355" s="1046">
        <f>IFERROR(AO355/AO$318,0)</f>
        <v>0.69561283526839013</v>
      </c>
      <c r="AO355" s="1034">
        <f>AO334+AO353</f>
        <v>92755.393491535797</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v>
      </c>
      <c r="B356" s="700"/>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t="str">
        <f t="shared" si="65"/>
        <v>PiècesPROFIT DÉPARTEMENTAL</v>
      </c>
      <c r="B357" s="1037" t="s">
        <v>151</v>
      </c>
      <c r="C357" s="1037"/>
      <c r="D357" s="1075">
        <f>E357/E318</f>
        <v>0.38375474149315997</v>
      </c>
      <c r="E357" s="1040">
        <f>E318-E355</f>
        <v>636431.42499186867</v>
      </c>
      <c r="F357" s="1037"/>
      <c r="G357" s="1048"/>
      <c r="H357" s="1040">
        <f>H318-H355</f>
        <v>31016.802078004825</v>
      </c>
      <c r="I357" s="1037"/>
      <c r="J357" s="1048"/>
      <c r="K357" s="1040">
        <f>K318-K355</f>
        <v>37046.844774122481</v>
      </c>
      <c r="L357" s="1037"/>
      <c r="M357" s="1048"/>
      <c r="N357" s="1040">
        <f>N318-N355</f>
        <v>72241.423683878122</v>
      </c>
      <c r="O357" s="1037"/>
      <c r="P357" s="1048"/>
      <c r="Q357" s="1040">
        <f>Q318-Q355</f>
        <v>29110.264844426958</v>
      </c>
      <c r="R357" s="1037"/>
      <c r="S357" s="1048"/>
      <c r="T357" s="1040">
        <f>T318-T355</f>
        <v>49674.673126885114</v>
      </c>
      <c r="U357" s="1037"/>
      <c r="V357" s="1048"/>
      <c r="W357" s="1040">
        <f>W318-W355</f>
        <v>70458.780689882275</v>
      </c>
      <c r="X357" s="1037"/>
      <c r="Y357" s="1048"/>
      <c r="Z357" s="1040">
        <f>Z318-Z355</f>
        <v>39047.057006247749</v>
      </c>
      <c r="AA357" s="1037"/>
      <c r="AB357" s="1048"/>
      <c r="AC357" s="1040">
        <f>AC318-AC355</f>
        <v>53182.577729213837</v>
      </c>
      <c r="AD357" s="1037"/>
      <c r="AE357" s="1048"/>
      <c r="AF357" s="1040">
        <f>AF318-AF355</f>
        <v>86684.038259892055</v>
      </c>
      <c r="AG357" s="1037"/>
      <c r="AH357" s="1048"/>
      <c r="AI357" s="1040">
        <f>AI318-AI355</f>
        <v>53511.364719901991</v>
      </c>
      <c r="AJ357" s="1037"/>
      <c r="AK357" s="1048"/>
      <c r="AL357" s="1040">
        <f>AL318-AL355</f>
        <v>73869.572949658264</v>
      </c>
      <c r="AM357" s="1037"/>
      <c r="AN357" s="1048"/>
      <c r="AO357" s="1040">
        <f>AO318-AO355</f>
        <v>40588.025129754795</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748"/>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2" t="str">
        <f>+B295</f>
        <v>Budget 2025</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1043"/>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868" t="s">
        <v>3</v>
      </c>
      <c r="C362" s="1163">
        <v>2021</v>
      </c>
      <c r="D362" s="1164"/>
      <c r="E362" s="1165"/>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c r="B363" s="700"/>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ref="A364:A403" si="66">+$C$360&amp;B364</f>
        <v>BoutiqueBoutique</v>
      </c>
      <c r="B364" s="1021" t="s">
        <v>196</v>
      </c>
      <c r="C364" s="709">
        <f>+SUM(F364,I364,L364,O364,R364,U364,X364,AA364,AD364,AG364,AJ364,AM364)</f>
        <v>0</v>
      </c>
      <c r="D364" s="781">
        <f>IF(C364&lt;=0,0,E364/C364)</f>
        <v>0</v>
      </c>
      <c r="E364" s="711">
        <f>+SUM(H364,K364,N364,Q364,T364,W364,Z364,AC364,AF364,AI364,AL364,AO364)</f>
        <v>0</v>
      </c>
      <c r="F364" s="709"/>
      <c r="G364" s="781">
        <f>IF(F364&lt;=0,0,H364/F364)</f>
        <v>0</v>
      </c>
      <c r="H364" s="711"/>
      <c r="I364" s="709"/>
      <c r="J364" s="781">
        <f>IF(I364&lt;=0,0,K364/I364)</f>
        <v>0</v>
      </c>
      <c r="K364" s="711"/>
      <c r="L364" s="709"/>
      <c r="M364" s="781">
        <f>IF(L364&lt;=0,0,N364/L364)</f>
        <v>0</v>
      </c>
      <c r="N364" s="711"/>
      <c r="O364" s="709"/>
      <c r="P364" s="781">
        <f>IF(O364&lt;=0,0,Q364/O364)</f>
        <v>0</v>
      </c>
      <c r="Q364" s="711"/>
      <c r="R364" s="709"/>
      <c r="S364" s="781">
        <f>IF(R364&lt;=0,0,T364/R364)</f>
        <v>0</v>
      </c>
      <c r="T364" s="711"/>
      <c r="U364" s="709"/>
      <c r="V364" s="781">
        <f>IF(U364&lt;=0,0,W364/U364)</f>
        <v>0</v>
      </c>
      <c r="W364" s="711"/>
      <c r="X364" s="709"/>
      <c r="Y364" s="781">
        <f>IF(X364&lt;=0,0,Z364/X364)</f>
        <v>0</v>
      </c>
      <c r="Z364" s="711"/>
      <c r="AA364" s="709"/>
      <c r="AB364" s="781">
        <f>IF(AA364&lt;=0,0,AC364/AA364)</f>
        <v>0</v>
      </c>
      <c r="AC364" s="711"/>
      <c r="AD364" s="709"/>
      <c r="AE364" s="781">
        <f>IF(AD364&lt;=0,0,AF364/AD364)</f>
        <v>0</v>
      </c>
      <c r="AF364" s="711"/>
      <c r="AG364" s="709"/>
      <c r="AH364" s="781">
        <f>IF(AG364&lt;=0,0,AI364/AG364)</f>
        <v>0</v>
      </c>
      <c r="AI364" s="711"/>
      <c r="AJ364" s="709"/>
      <c r="AK364" s="781">
        <f>IF(AJ364&lt;=0,0,AL364/AJ364)</f>
        <v>0</v>
      </c>
      <c r="AL364" s="711"/>
      <c r="AM364" s="709"/>
      <c r="AN364" s="781">
        <f>IF(AM364&lt;=0,0,AO364/AM364)</f>
        <v>0</v>
      </c>
      <c r="AO364" s="711"/>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v>
      </c>
      <c r="B365" s="1071"/>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074"/>
      <c r="X365" s="1072"/>
      <c r="Y365" s="1073"/>
      <c r="Z365" s="1074"/>
      <c r="AA365" s="1072"/>
      <c r="AB365" s="1073"/>
      <c r="AC365" s="1074"/>
      <c r="AD365" s="1072"/>
      <c r="AE365" s="1073"/>
      <c r="AF365" s="1074"/>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BoutiqueTotal Dépt. Boutique</v>
      </c>
      <c r="B366" s="715" t="s">
        <v>197</v>
      </c>
      <c r="C366" s="782">
        <f>+C364</f>
        <v>0</v>
      </c>
      <c r="D366" s="783">
        <f>IF(C366&lt;=0,0,E366/C366)</f>
        <v>0</v>
      </c>
      <c r="E366" s="736">
        <f>+E364</f>
        <v>0</v>
      </c>
      <c r="F366" s="782">
        <f>+F364</f>
        <v>0</v>
      </c>
      <c r="G366" s="783">
        <f>IF(F366&lt;=0,0,H366/F366)</f>
        <v>0</v>
      </c>
      <c r="H366" s="736">
        <f>+H364</f>
        <v>0</v>
      </c>
      <c r="I366" s="782">
        <f>+I364</f>
        <v>0</v>
      </c>
      <c r="J366" s="783">
        <f>IF(I366&lt;=0,0,K366/I366)</f>
        <v>0</v>
      </c>
      <c r="K366" s="736">
        <f>+K364</f>
        <v>0</v>
      </c>
      <c r="L366" s="782">
        <f>+L364</f>
        <v>0</v>
      </c>
      <c r="M366" s="783">
        <f>IF(L366&lt;=0,0,N366/L366)</f>
        <v>0</v>
      </c>
      <c r="N366" s="736">
        <f>+N364</f>
        <v>0</v>
      </c>
      <c r="O366" s="782">
        <f>+O364</f>
        <v>0</v>
      </c>
      <c r="P366" s="783">
        <f>IF(O366&lt;=0,0,Q366/O366)</f>
        <v>0</v>
      </c>
      <c r="Q366" s="736">
        <f>+Q364</f>
        <v>0</v>
      </c>
      <c r="R366" s="782">
        <f>+R364</f>
        <v>0</v>
      </c>
      <c r="S366" s="783">
        <f>IF(R366&lt;=0,0,T366/R366)</f>
        <v>0</v>
      </c>
      <c r="T366" s="736">
        <f>+T364</f>
        <v>0</v>
      </c>
      <c r="U366" s="782">
        <f>+U364</f>
        <v>0</v>
      </c>
      <c r="V366" s="783">
        <f>IF(U366&lt;=0,0,W366/U366)</f>
        <v>0</v>
      </c>
      <c r="W366" s="736">
        <f>+W364</f>
        <v>0</v>
      </c>
      <c r="X366" s="782">
        <f>+X364</f>
        <v>0</v>
      </c>
      <c r="Y366" s="783">
        <f>IF(X366&lt;=0,0,Z366/X366)</f>
        <v>0</v>
      </c>
      <c r="Z366" s="736">
        <f>+Z364</f>
        <v>0</v>
      </c>
      <c r="AA366" s="782">
        <f>+AA364</f>
        <v>0</v>
      </c>
      <c r="AB366" s="783">
        <f>IF(AA366&lt;=0,0,AC366/AA366)</f>
        <v>0</v>
      </c>
      <c r="AC366" s="736">
        <f>+AC364</f>
        <v>0</v>
      </c>
      <c r="AD366" s="782">
        <f>+AD364</f>
        <v>0</v>
      </c>
      <c r="AE366" s="783">
        <f>IF(AD366&lt;=0,0,AF366/AD366)</f>
        <v>0</v>
      </c>
      <c r="AF366" s="736">
        <f>+AF364</f>
        <v>0</v>
      </c>
      <c r="AG366" s="782">
        <f>+AG364</f>
        <v>0</v>
      </c>
      <c r="AH366" s="783">
        <f>IF(AG366&lt;=0,0,AI366/AG366)</f>
        <v>0</v>
      </c>
      <c r="AI366" s="736">
        <f>+AI364</f>
        <v>0</v>
      </c>
      <c r="AJ366" s="782">
        <f>+AJ364</f>
        <v>0</v>
      </c>
      <c r="AK366" s="783">
        <f>IF(AJ366&lt;=0,0,AL366/AJ366)</f>
        <v>0</v>
      </c>
      <c r="AL366" s="736">
        <f>+AL364</f>
        <v>0</v>
      </c>
      <c r="AM366" s="782">
        <f>+AM364</f>
        <v>0</v>
      </c>
      <c r="AN366" s="783">
        <f>IF(AM366&lt;=0,0,AO366/AM366)</f>
        <v>0</v>
      </c>
      <c r="AO366" s="736">
        <f>+AO364</f>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v>
      </c>
      <c r="B367" s="102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BoutiqueDEPENSES</v>
      </c>
      <c r="B368" s="102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cadres</v>
      </c>
      <c r="B369" s="1027" t="s">
        <v>120</v>
      </c>
      <c r="C369" s="700"/>
      <c r="D369" s="707"/>
      <c r="E369" s="708">
        <f t="shared" ref="E369:E380" si="67">+SUM(H369,K369,N369,Q369,T369,W369,Z369,AC369,AF369,AI369,AL369,AO369)</f>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commis</v>
      </c>
      <c r="B370" s="1028" t="s">
        <v>121</v>
      </c>
      <c r="C370" s="700"/>
      <c r="D370" s="707"/>
      <c r="E370" s="708">
        <f t="shared" si="67"/>
        <v>0</v>
      </c>
      <c r="F370" s="700"/>
      <c r="G370" s="707"/>
      <c r="H370" s="721"/>
      <c r="I370" s="700"/>
      <c r="J370" s="707"/>
      <c r="K370" s="721"/>
      <c r="L370" s="700"/>
      <c r="M370" s="707"/>
      <c r="N370" s="721"/>
      <c r="O370" s="700"/>
      <c r="P370" s="707"/>
      <c r="Q370" s="721"/>
      <c r="R370" s="700"/>
      <c r="S370" s="707"/>
      <c r="T370" s="721"/>
      <c r="U370" s="700"/>
      <c r="V370" s="707"/>
      <c r="W370" s="721"/>
      <c r="X370" s="700"/>
      <c r="Y370" s="707"/>
      <c r="Z370" s="721"/>
      <c r="AA370" s="700"/>
      <c r="AB370" s="707"/>
      <c r="AC370" s="721"/>
      <c r="AD370" s="700"/>
      <c r="AE370" s="707"/>
      <c r="AF370" s="721"/>
      <c r="AG370" s="700"/>
      <c r="AH370" s="707"/>
      <c r="AI370" s="721"/>
      <c r="AJ370" s="700"/>
      <c r="AK370" s="707"/>
      <c r="AL370" s="721"/>
      <c r="AM370" s="700"/>
      <c r="AN370" s="707"/>
      <c r="AO370" s="721"/>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autres</v>
      </c>
      <c r="B371" s="1027" t="s">
        <v>122</v>
      </c>
      <c r="C371" s="1011"/>
      <c r="D371" s="1029"/>
      <c r="E371" s="1030">
        <f t="shared" si="67"/>
        <v>0</v>
      </c>
      <c r="F371" s="1011"/>
      <c r="G371" s="1029"/>
      <c r="H371" s="1031"/>
      <c r="I371" s="1011"/>
      <c r="J371" s="1029"/>
      <c r="K371" s="1031"/>
      <c r="L371" s="1011"/>
      <c r="M371" s="1029"/>
      <c r="N371" s="1031"/>
      <c r="O371" s="1011"/>
      <c r="P371" s="1029"/>
      <c r="Q371" s="1031"/>
      <c r="R371" s="1011"/>
      <c r="S371" s="1029"/>
      <c r="T371" s="1031"/>
      <c r="U371" s="1011"/>
      <c r="V371" s="1029"/>
      <c r="W371" s="1031"/>
      <c r="X371" s="1011"/>
      <c r="Y371" s="1029"/>
      <c r="Z371" s="1031"/>
      <c r="AA371" s="1011"/>
      <c r="AB371" s="1029"/>
      <c r="AC371" s="1031"/>
      <c r="AD371" s="1011"/>
      <c r="AE371" s="1029"/>
      <c r="AF371" s="1031"/>
      <c r="AG371" s="1011"/>
      <c r="AH371" s="1029"/>
      <c r="AI371" s="1031"/>
      <c r="AJ371" s="1011"/>
      <c r="AK371" s="1029"/>
      <c r="AL371" s="1031"/>
      <c r="AM371" s="1011"/>
      <c r="AN371" s="1029"/>
      <c r="AO371" s="1031"/>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BoutiqueSalaires spécialistes</v>
      </c>
      <c r="B372" s="1027" t="s">
        <v>123</v>
      </c>
      <c r="C372" s="700"/>
      <c r="D372" s="707"/>
      <c r="E372" s="708">
        <f t="shared" si="67"/>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00" t="s">
        <v>59</v>
      </c>
      <c r="C373" s="700"/>
      <c r="D373" s="707"/>
      <c r="E373" s="708">
        <f t="shared" si="67"/>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00" t="s">
        <v>59</v>
      </c>
      <c r="C374" s="700"/>
      <c r="D374" s="707"/>
      <c r="E374" s="708">
        <f t="shared" si="67"/>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v>
      </c>
      <c r="B375" s="700" t="s">
        <v>59</v>
      </c>
      <c r="C375" s="700"/>
      <c r="D375" s="707"/>
      <c r="E375" s="708">
        <f t="shared" si="67"/>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BoutiqueSalaires en absences</v>
      </c>
      <c r="B376" s="1028" t="s">
        <v>124</v>
      </c>
      <c r="C376" s="700"/>
      <c r="D376" s="707"/>
      <c r="E376" s="708">
        <f t="shared" si="67"/>
        <v>0</v>
      </c>
      <c r="F376" s="700"/>
      <c r="G376" s="707"/>
      <c r="H376" s="721"/>
      <c r="I376" s="700"/>
      <c r="J376" s="707"/>
      <c r="K376" s="721"/>
      <c r="L376" s="700"/>
      <c r="M376" s="707"/>
      <c r="N376" s="721"/>
      <c r="O376" s="700"/>
      <c r="P376" s="707"/>
      <c r="Q376" s="721"/>
      <c r="R376" s="700"/>
      <c r="S376" s="707"/>
      <c r="T376" s="721"/>
      <c r="U376" s="700"/>
      <c r="V376" s="707"/>
      <c r="W376" s="721"/>
      <c r="X376" s="700"/>
      <c r="Y376" s="707"/>
      <c r="Z376" s="721"/>
      <c r="AA376" s="700"/>
      <c r="AB376" s="707"/>
      <c r="AC376" s="721"/>
      <c r="AD376" s="700"/>
      <c r="AE376" s="707"/>
      <c r="AF376" s="721"/>
      <c r="AG376" s="700"/>
      <c r="AH376" s="707"/>
      <c r="AI376" s="721"/>
      <c r="AJ376" s="700"/>
      <c r="AK376" s="707"/>
      <c r="AL376" s="721"/>
      <c r="AM376" s="700"/>
      <c r="AN376" s="707"/>
      <c r="AO376" s="721"/>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BoutiqueDéduction à la source</v>
      </c>
      <c r="B377" s="1027" t="s">
        <v>125</v>
      </c>
      <c r="C377" s="1011"/>
      <c r="D377" s="1029"/>
      <c r="E377" s="1030">
        <f t="shared" si="67"/>
        <v>0</v>
      </c>
      <c r="F377" s="1011"/>
      <c r="G377" s="1029"/>
      <c r="H377" s="1031"/>
      <c r="I377" s="1011"/>
      <c r="J377" s="1029"/>
      <c r="K377" s="1031"/>
      <c r="L377" s="1011"/>
      <c r="M377" s="1029"/>
      <c r="N377" s="1031"/>
      <c r="O377" s="1011"/>
      <c r="P377" s="1029"/>
      <c r="Q377" s="1031"/>
      <c r="R377" s="1011"/>
      <c r="S377" s="1029"/>
      <c r="T377" s="1031"/>
      <c r="U377" s="1011"/>
      <c r="V377" s="1029"/>
      <c r="W377" s="1031"/>
      <c r="X377" s="1011"/>
      <c r="Y377" s="1029"/>
      <c r="Z377" s="1031"/>
      <c r="AA377" s="1011"/>
      <c r="AB377" s="1029"/>
      <c r="AC377" s="1031"/>
      <c r="AD377" s="1011"/>
      <c r="AE377" s="1029"/>
      <c r="AF377" s="1031"/>
      <c r="AG377" s="1011"/>
      <c r="AH377" s="1029"/>
      <c r="AI377" s="1031"/>
      <c r="AJ377" s="1011"/>
      <c r="AK377" s="1029"/>
      <c r="AL377" s="1031"/>
      <c r="AM377" s="1011"/>
      <c r="AN377" s="1029"/>
      <c r="AO377" s="1031"/>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BoutiqueBénéfices marginaux</v>
      </c>
      <c r="B378" s="1032" t="s">
        <v>126</v>
      </c>
      <c r="C378" s="700"/>
      <c r="D378" s="707"/>
      <c r="E378" s="708">
        <f t="shared" si="67"/>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BoutiqueCsst</v>
      </c>
      <c r="B379" s="1027" t="s">
        <v>127</v>
      </c>
      <c r="C379" s="700"/>
      <c r="D379" s="707"/>
      <c r="E379" s="708">
        <f t="shared" si="67"/>
        <v>0</v>
      </c>
      <c r="F379" s="700"/>
      <c r="G379" s="707"/>
      <c r="H379" s="721"/>
      <c r="I379" s="700"/>
      <c r="J379" s="707"/>
      <c r="K379" s="721"/>
      <c r="L379" s="700"/>
      <c r="M379" s="707"/>
      <c r="N379" s="721"/>
      <c r="O379" s="700"/>
      <c r="P379" s="707"/>
      <c r="Q379" s="721"/>
      <c r="R379" s="700"/>
      <c r="S379" s="707"/>
      <c r="T379" s="721"/>
      <c r="U379" s="700"/>
      <c r="V379" s="707"/>
      <c r="W379" s="721"/>
      <c r="X379" s="700"/>
      <c r="Y379" s="707"/>
      <c r="Z379" s="721"/>
      <c r="AA379" s="700"/>
      <c r="AB379" s="707"/>
      <c r="AC379" s="721"/>
      <c r="AD379" s="700"/>
      <c r="AE379" s="707"/>
      <c r="AF379" s="721"/>
      <c r="AG379" s="700"/>
      <c r="AH379" s="707"/>
      <c r="AI379" s="721"/>
      <c r="AJ379" s="700"/>
      <c r="AK379" s="707"/>
      <c r="AL379" s="721"/>
      <c r="AM379" s="700"/>
      <c r="AN379" s="707"/>
      <c r="AO379" s="721"/>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v>
      </c>
      <c r="B380" s="700" t="s">
        <v>59</v>
      </c>
      <c r="C380" s="726"/>
      <c r="D380" s="727"/>
      <c r="E380" s="724">
        <f t="shared" si="67"/>
        <v>0</v>
      </c>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BoutiqueTOTAL PERSONNEL</v>
      </c>
      <c r="B381" s="1023" t="s">
        <v>128</v>
      </c>
      <c r="C381" s="1024" t="s">
        <v>119</v>
      </c>
      <c r="D381" s="1025">
        <f>IFERROR(E381/E$364,0)</f>
        <v>0</v>
      </c>
      <c r="E381" s="1026">
        <f>+SUM(E369:E380)</f>
        <v>0</v>
      </c>
      <c r="F381" s="1024" t="s">
        <v>119</v>
      </c>
      <c r="G381" s="1025">
        <f>IFERROR(H381/H$364,0)</f>
        <v>0</v>
      </c>
      <c r="H381" s="1026">
        <f>+SUM(H369:H380)</f>
        <v>0</v>
      </c>
      <c r="I381" s="1024" t="s">
        <v>119</v>
      </c>
      <c r="J381" s="1025">
        <f>IFERROR(K381/K$364,0)</f>
        <v>0</v>
      </c>
      <c r="K381" s="1026">
        <f>+SUM(K369:K380)</f>
        <v>0</v>
      </c>
      <c r="L381" s="1024" t="s">
        <v>119</v>
      </c>
      <c r="M381" s="1025">
        <f>IFERROR(N381/N$364,0)</f>
        <v>0</v>
      </c>
      <c r="N381" s="1026">
        <f>+SUM(N369:N380)</f>
        <v>0</v>
      </c>
      <c r="O381" s="1024" t="s">
        <v>119</v>
      </c>
      <c r="P381" s="1025">
        <f>IFERROR(Q381/Q$364,0)</f>
        <v>0</v>
      </c>
      <c r="Q381" s="1026">
        <f>+SUM(Q369:Q380)</f>
        <v>0</v>
      </c>
      <c r="R381" s="1024" t="s">
        <v>119</v>
      </c>
      <c r="S381" s="1025">
        <f>IFERROR(T381/T$364,0)</f>
        <v>0</v>
      </c>
      <c r="T381" s="1026">
        <f>+SUM(T369:T380)</f>
        <v>0</v>
      </c>
      <c r="U381" s="1024" t="s">
        <v>119</v>
      </c>
      <c r="V381" s="1025">
        <f>IFERROR(W381/W$364,0)</f>
        <v>0</v>
      </c>
      <c r="W381" s="1026">
        <f>+SUM(W369:W380)</f>
        <v>0</v>
      </c>
      <c r="X381" s="1024" t="s">
        <v>119</v>
      </c>
      <c r="Y381" s="1025">
        <f>IFERROR(Z381/Z$364,0)</f>
        <v>0</v>
      </c>
      <c r="Z381" s="1026">
        <f>+SUM(Z369:Z380)</f>
        <v>0</v>
      </c>
      <c r="AA381" s="1024" t="s">
        <v>119</v>
      </c>
      <c r="AB381" s="1025">
        <f>IFERROR(AC381/AC$364,0)</f>
        <v>0</v>
      </c>
      <c r="AC381" s="1026">
        <f>+SUM(AC369:AC380)</f>
        <v>0</v>
      </c>
      <c r="AD381" s="1024" t="s">
        <v>119</v>
      </c>
      <c r="AE381" s="1025">
        <f>IFERROR(AF381/AF$364,0)</f>
        <v>0</v>
      </c>
      <c r="AF381" s="1026">
        <f>+SUM(AF369:AF380)</f>
        <v>0</v>
      </c>
      <c r="AG381" s="1024" t="s">
        <v>119</v>
      </c>
      <c r="AH381" s="1025">
        <f>IFERROR(AI381/AI$364,0)</f>
        <v>0</v>
      </c>
      <c r="AI381" s="1026">
        <f>+SUM(AI369:AI380)</f>
        <v>0</v>
      </c>
      <c r="AJ381" s="1024" t="s">
        <v>119</v>
      </c>
      <c r="AK381" s="1025">
        <f>IFERROR(AL381/AL$364,0)</f>
        <v>0</v>
      </c>
      <c r="AL381" s="1026">
        <f>+SUM(AL369:AL380)</f>
        <v>0</v>
      </c>
      <c r="AM381" s="1024" t="s">
        <v>119</v>
      </c>
      <c r="AN381" s="1025">
        <f>IFERROR(AO381/AO$364,0)</f>
        <v>0</v>
      </c>
      <c r="AO381" s="1026">
        <f>+SUM(AO369:AO380)</f>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BoutiquePublicité 2</v>
      </c>
      <c r="B382" s="1066" t="s">
        <v>129</v>
      </c>
      <c r="C382" s="700"/>
      <c r="D382" s="707"/>
      <c r="E382" s="708">
        <f t="shared" ref="E382:E398" si="68">+SUM(H382,K382,N382,Q382,T382,W382,Z382,AC382,AF382,AI382,AL382,AO382)</f>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BoutiqueService gratuit 2</v>
      </c>
      <c r="B383" s="1027" t="s">
        <v>130</v>
      </c>
      <c r="C383" s="700"/>
      <c r="D383" s="707"/>
      <c r="E383" s="708">
        <f t="shared" si="68"/>
        <v>0</v>
      </c>
      <c r="F383" s="700"/>
      <c r="G383" s="707"/>
      <c r="H383" s="721"/>
      <c r="I383" s="700"/>
      <c r="J383" s="707"/>
      <c r="K383" s="721"/>
      <c r="L383" s="700"/>
      <c r="M383" s="707"/>
      <c r="N383" s="721"/>
      <c r="O383" s="700"/>
      <c r="P383" s="707"/>
      <c r="Q383" s="721"/>
      <c r="R383" s="700"/>
      <c r="S383" s="707"/>
      <c r="T383" s="721"/>
      <c r="U383" s="700"/>
      <c r="V383" s="707"/>
      <c r="W383" s="721"/>
      <c r="X383" s="700"/>
      <c r="Y383" s="707"/>
      <c r="Z383" s="721"/>
      <c r="AA383" s="700"/>
      <c r="AB383" s="707"/>
      <c r="AC383" s="721"/>
      <c r="AD383" s="700"/>
      <c r="AE383" s="707"/>
      <c r="AF383" s="721"/>
      <c r="AG383" s="700"/>
      <c r="AH383" s="707"/>
      <c r="AI383" s="721"/>
      <c r="AJ383" s="700"/>
      <c r="AK383" s="707"/>
      <c r="AL383" s="721"/>
      <c r="AM383" s="700"/>
      <c r="AN383" s="707"/>
      <c r="AO383" s="721"/>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BoutiqueFrais véhicules de cie</v>
      </c>
      <c r="B384" s="1028" t="s">
        <v>131</v>
      </c>
      <c r="C384" s="726"/>
      <c r="D384" s="727"/>
      <c r="E384" s="724">
        <f t="shared" si="68"/>
        <v>0</v>
      </c>
      <c r="F384" s="726"/>
      <c r="G384" s="727"/>
      <c r="H384" s="725"/>
      <c r="I384" s="726"/>
      <c r="J384" s="727"/>
      <c r="K384" s="725"/>
      <c r="L384" s="726"/>
      <c r="M384" s="727"/>
      <c r="N384" s="725"/>
      <c r="O384" s="726"/>
      <c r="P384" s="727"/>
      <c r="Q384" s="725"/>
      <c r="R384" s="726"/>
      <c r="S384" s="727"/>
      <c r="T384" s="725"/>
      <c r="U384" s="726"/>
      <c r="V384" s="727"/>
      <c r="W384" s="725"/>
      <c r="X384" s="726"/>
      <c r="Y384" s="727"/>
      <c r="Z384" s="725"/>
      <c r="AA384" s="726"/>
      <c r="AB384" s="727"/>
      <c r="AC384" s="725"/>
      <c r="AD384" s="726"/>
      <c r="AE384" s="727"/>
      <c r="AF384" s="725"/>
      <c r="AG384" s="726"/>
      <c r="AH384" s="727"/>
      <c r="AI384" s="725"/>
      <c r="AJ384" s="726"/>
      <c r="AK384" s="727"/>
      <c r="AL384" s="725"/>
      <c r="AM384" s="726"/>
      <c r="AN384" s="727"/>
      <c r="AO384" s="72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BoutiqueInformatique</v>
      </c>
      <c r="B385" s="1027" t="s">
        <v>132</v>
      </c>
      <c r="C385" s="700"/>
      <c r="D385" s="707"/>
      <c r="E385" s="708">
        <f t="shared" si="68"/>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BoutiqueFrais de déplacement</v>
      </c>
      <c r="B386" s="1027" t="s">
        <v>133</v>
      </c>
      <c r="C386" s="700"/>
      <c r="D386" s="707"/>
      <c r="E386" s="708">
        <f t="shared" si="68"/>
        <v>0</v>
      </c>
      <c r="F386" s="700"/>
      <c r="G386" s="707"/>
      <c r="H386" s="721"/>
      <c r="I386" s="700"/>
      <c r="J386" s="707"/>
      <c r="K386" s="721"/>
      <c r="L386" s="700"/>
      <c r="M386" s="707"/>
      <c r="N386" s="721"/>
      <c r="O386" s="700"/>
      <c r="P386" s="707"/>
      <c r="Q386" s="721"/>
      <c r="R386" s="700"/>
      <c r="S386" s="707"/>
      <c r="T386" s="721"/>
      <c r="U386" s="700"/>
      <c r="V386" s="707"/>
      <c r="W386" s="721"/>
      <c r="X386" s="700"/>
      <c r="Y386" s="707"/>
      <c r="Z386" s="721"/>
      <c r="AA386" s="700"/>
      <c r="AB386" s="707"/>
      <c r="AC386" s="721"/>
      <c r="AD386" s="700"/>
      <c r="AE386" s="707"/>
      <c r="AF386" s="721"/>
      <c r="AG386" s="700"/>
      <c r="AH386" s="707"/>
      <c r="AI386" s="721"/>
      <c r="AJ386" s="700"/>
      <c r="AK386" s="707"/>
      <c r="AL386" s="721"/>
      <c r="AM386" s="700"/>
      <c r="AN386" s="707"/>
      <c r="AO386" s="721"/>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66"/>
        <v>BoutiqueServices extérieurs</v>
      </c>
      <c r="B387" s="1027" t="s">
        <v>134</v>
      </c>
      <c r="C387" s="726"/>
      <c r="D387" s="727"/>
      <c r="E387" s="724">
        <f t="shared" si="68"/>
        <v>0</v>
      </c>
      <c r="F387" s="726"/>
      <c r="G387" s="727"/>
      <c r="H387" s="725"/>
      <c r="I387" s="726"/>
      <c r="J387" s="727"/>
      <c r="K387" s="725"/>
      <c r="L387" s="726"/>
      <c r="M387" s="727"/>
      <c r="N387" s="725"/>
      <c r="O387" s="726"/>
      <c r="P387" s="727"/>
      <c r="Q387" s="725"/>
      <c r="R387" s="726"/>
      <c r="S387" s="727"/>
      <c r="T387" s="725"/>
      <c r="U387" s="726"/>
      <c r="V387" s="727"/>
      <c r="W387" s="725"/>
      <c r="X387" s="726"/>
      <c r="Y387" s="727"/>
      <c r="Z387" s="725"/>
      <c r="AA387" s="726"/>
      <c r="AB387" s="727"/>
      <c r="AC387" s="725"/>
      <c r="AD387" s="726"/>
      <c r="AE387" s="727"/>
      <c r="AF387" s="725"/>
      <c r="AG387" s="726"/>
      <c r="AH387" s="727"/>
      <c r="AI387" s="725"/>
      <c r="AJ387" s="726"/>
      <c r="AK387" s="727"/>
      <c r="AL387" s="725"/>
      <c r="AM387" s="726"/>
      <c r="AN387" s="727"/>
      <c r="AO387" s="72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BoutiqueFournitures autres</v>
      </c>
      <c r="B388" s="1076" t="s">
        <v>135</v>
      </c>
      <c r="C388" s="700"/>
      <c r="D388" s="707"/>
      <c r="E388" s="708">
        <f t="shared" si="68"/>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BoutiqueUniformes</v>
      </c>
      <c r="B389" s="1027" t="s">
        <v>136</v>
      </c>
      <c r="C389" s="700"/>
      <c r="D389" s="707"/>
      <c r="E389" s="708">
        <f t="shared" si="68"/>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BoutiquePapeterie</v>
      </c>
      <c r="B390" s="1027" t="s">
        <v>137</v>
      </c>
      <c r="C390" s="700"/>
      <c r="D390" s="707"/>
      <c r="E390" s="708">
        <f t="shared" si="68"/>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BoutiqueTéléphone</v>
      </c>
      <c r="B391" s="1027" t="s">
        <v>138</v>
      </c>
      <c r="C391" s="700"/>
      <c r="D391" s="707"/>
      <c r="E391" s="708">
        <f t="shared" si="68"/>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BoutiqueFrais postaux</v>
      </c>
      <c r="B392" s="1027" t="s">
        <v>139</v>
      </c>
      <c r="C392" s="700"/>
      <c r="D392" s="707"/>
      <c r="E392" s="708">
        <f t="shared" si="68"/>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BoutiqueDivers</v>
      </c>
      <c r="B393" s="1027" t="s">
        <v>140</v>
      </c>
      <c r="C393" s="700"/>
      <c r="D393" s="707"/>
      <c r="E393" s="708">
        <f t="shared" si="68"/>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BoutiqueFormation</v>
      </c>
      <c r="B394" s="1027" t="s">
        <v>141</v>
      </c>
      <c r="C394" s="700"/>
      <c r="D394" s="707"/>
      <c r="E394" s="708">
        <f t="shared" si="68"/>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66"/>
        <v>BoutiqueFrais bancaires</v>
      </c>
      <c r="B395" s="1027" t="s">
        <v>142</v>
      </c>
      <c r="C395" s="700"/>
      <c r="D395" s="707"/>
      <c r="E395" s="708">
        <f t="shared" si="68"/>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721"/>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027" t="s">
        <v>59</v>
      </c>
      <c r="C396" s="700"/>
      <c r="D396" s="707"/>
      <c r="E396" s="708">
        <f t="shared" si="68"/>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027" t="s">
        <v>59</v>
      </c>
      <c r="C397" s="700"/>
      <c r="D397" s="707"/>
      <c r="E397" s="708">
        <f t="shared" si="68"/>
        <v>0</v>
      </c>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v>
      </c>
      <c r="B398" s="1027" t="s">
        <v>59</v>
      </c>
      <c r="C398" s="726"/>
      <c r="D398" s="727"/>
      <c r="E398" s="708">
        <f t="shared" si="68"/>
        <v>0</v>
      </c>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BoutiqueTOTAL SEMI-FIXES</v>
      </c>
      <c r="B399" s="1023" t="s">
        <v>143</v>
      </c>
      <c r="C399" s="1024" t="s">
        <v>119</v>
      </c>
      <c r="D399" s="1025">
        <f>IFERROR(E399/E$364,0)</f>
        <v>0</v>
      </c>
      <c r="E399" s="1026">
        <f>+SUM(E382:E398)</f>
        <v>0</v>
      </c>
      <c r="F399" s="1024" t="s">
        <v>119</v>
      </c>
      <c r="G399" s="1025">
        <f>IFERROR(H399/H$364,0)</f>
        <v>0</v>
      </c>
      <c r="H399" s="1026">
        <f>+SUM(H382:H398)</f>
        <v>0</v>
      </c>
      <c r="I399" s="1024" t="s">
        <v>119</v>
      </c>
      <c r="J399" s="1025">
        <f>IFERROR(K399/K$364,0)</f>
        <v>0</v>
      </c>
      <c r="K399" s="1026">
        <f>+SUM(K382:K398)</f>
        <v>0</v>
      </c>
      <c r="L399" s="1024" t="s">
        <v>119</v>
      </c>
      <c r="M399" s="1025">
        <f>IFERROR(N399/N$364,0)</f>
        <v>0</v>
      </c>
      <c r="N399" s="1026">
        <f>+SUM(N382:N398)</f>
        <v>0</v>
      </c>
      <c r="O399" s="1024" t="s">
        <v>119</v>
      </c>
      <c r="P399" s="1025">
        <f>IFERROR(Q399/Q$364,0)</f>
        <v>0</v>
      </c>
      <c r="Q399" s="1026">
        <f>+SUM(Q382:Q398)</f>
        <v>0</v>
      </c>
      <c r="R399" s="1024" t="s">
        <v>119</v>
      </c>
      <c r="S399" s="1025">
        <f>IFERROR(T399/T$364,0)</f>
        <v>0</v>
      </c>
      <c r="T399" s="1026">
        <f>+SUM(T382:T398)</f>
        <v>0</v>
      </c>
      <c r="U399" s="1024" t="s">
        <v>119</v>
      </c>
      <c r="V399" s="1025">
        <f>IFERROR(W399/W$364,0)</f>
        <v>0</v>
      </c>
      <c r="W399" s="1026">
        <f>+SUM(W382:W398)</f>
        <v>0</v>
      </c>
      <c r="X399" s="1024" t="s">
        <v>119</v>
      </c>
      <c r="Y399" s="1025">
        <f>IFERROR(Z399/Z$364,0)</f>
        <v>0</v>
      </c>
      <c r="Z399" s="1026">
        <f>+SUM(Z382:Z398)</f>
        <v>0</v>
      </c>
      <c r="AA399" s="1024" t="s">
        <v>119</v>
      </c>
      <c r="AB399" s="1025">
        <f>IFERROR(AC399/AC$364,0)</f>
        <v>0</v>
      </c>
      <c r="AC399" s="1026">
        <f>+SUM(AC382:AC398)</f>
        <v>0</v>
      </c>
      <c r="AD399" s="1024" t="s">
        <v>119</v>
      </c>
      <c r="AE399" s="1025">
        <f>IFERROR(AF399/AF$364,0)</f>
        <v>0</v>
      </c>
      <c r="AF399" s="1026">
        <f>+SUM(AF382:AF398)</f>
        <v>0</v>
      </c>
      <c r="AG399" s="1024" t="s">
        <v>119</v>
      </c>
      <c r="AH399" s="1025">
        <f>IFERROR(AI399/AI$364,0)</f>
        <v>0</v>
      </c>
      <c r="AI399" s="1026">
        <f>+SUM(AI382:AI398)</f>
        <v>0</v>
      </c>
      <c r="AJ399" s="1024" t="s">
        <v>119</v>
      </c>
      <c r="AK399" s="1025">
        <f>IFERROR(AL399/AL$364,0)</f>
        <v>0</v>
      </c>
      <c r="AL399" s="1026">
        <f>+SUM(AL382:AL398)</f>
        <v>0</v>
      </c>
      <c r="AM399" s="1024" t="s">
        <v>119</v>
      </c>
      <c r="AN399" s="1025">
        <f>IFERROR(AO399/AO$364,0)</f>
        <v>0</v>
      </c>
      <c r="AO399" s="1026">
        <f>+SUM(AO382:AO398)</f>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v>
      </c>
      <c r="B400" s="700"/>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BoutiqueTOTAL DES DÉPENSES</v>
      </c>
      <c r="B401" s="1023" t="s">
        <v>144</v>
      </c>
      <c r="C401" s="1024" t="s">
        <v>119</v>
      </c>
      <c r="D401" s="1025">
        <f>IFERROR(E401/E$364,0)</f>
        <v>0</v>
      </c>
      <c r="E401" s="1026">
        <f>E381+E399</f>
        <v>0</v>
      </c>
      <c r="F401" s="1024" t="s">
        <v>119</v>
      </c>
      <c r="G401" s="1025">
        <f>IFERROR(H401/H$364,0)</f>
        <v>0</v>
      </c>
      <c r="H401" s="1026">
        <f>H381+H399</f>
        <v>0</v>
      </c>
      <c r="I401" s="1024" t="s">
        <v>119</v>
      </c>
      <c r="J401" s="1025">
        <f>IFERROR(K401/K$364,0)</f>
        <v>0</v>
      </c>
      <c r="K401" s="1026">
        <f>K381+K399</f>
        <v>0</v>
      </c>
      <c r="L401" s="1024" t="s">
        <v>119</v>
      </c>
      <c r="M401" s="1025">
        <f>IFERROR(N401/N$364,0)</f>
        <v>0</v>
      </c>
      <c r="N401" s="1026">
        <f>N381+N399</f>
        <v>0</v>
      </c>
      <c r="O401" s="1024" t="s">
        <v>119</v>
      </c>
      <c r="P401" s="1025">
        <f>IFERROR(Q401/Q$364,0)</f>
        <v>0</v>
      </c>
      <c r="Q401" s="1026">
        <f>Q381+Q399</f>
        <v>0</v>
      </c>
      <c r="R401" s="1024" t="s">
        <v>119</v>
      </c>
      <c r="S401" s="1025">
        <f>IFERROR(T401/T$364,0)</f>
        <v>0</v>
      </c>
      <c r="T401" s="1026">
        <f>T381+T399</f>
        <v>0</v>
      </c>
      <c r="U401" s="1024" t="s">
        <v>119</v>
      </c>
      <c r="V401" s="1025">
        <f>IFERROR(W401/W$364,0)</f>
        <v>0</v>
      </c>
      <c r="W401" s="1026">
        <f>W381+W399</f>
        <v>0</v>
      </c>
      <c r="X401" s="1024" t="s">
        <v>119</v>
      </c>
      <c r="Y401" s="1025">
        <f>IFERROR(Z401/Z$364,0)</f>
        <v>0</v>
      </c>
      <c r="Z401" s="1026">
        <f>Z381+Z399</f>
        <v>0</v>
      </c>
      <c r="AA401" s="1024" t="s">
        <v>119</v>
      </c>
      <c r="AB401" s="1025">
        <f>IFERROR(AC401/AC$364,0)</f>
        <v>0</v>
      </c>
      <c r="AC401" s="1026">
        <f>AC381+AC399</f>
        <v>0</v>
      </c>
      <c r="AD401" s="1024" t="s">
        <v>119</v>
      </c>
      <c r="AE401" s="1025">
        <f>IFERROR(AF401/AF$364,0)</f>
        <v>0</v>
      </c>
      <c r="AF401" s="1026">
        <f>AF381+AF399</f>
        <v>0</v>
      </c>
      <c r="AG401" s="1024" t="s">
        <v>119</v>
      </c>
      <c r="AH401" s="1025">
        <f>IFERROR(AI401/AI$364,0)</f>
        <v>0</v>
      </c>
      <c r="AI401" s="1026">
        <f>AI381+AI399</f>
        <v>0</v>
      </c>
      <c r="AJ401" s="1024" t="s">
        <v>119</v>
      </c>
      <c r="AK401" s="1025">
        <f>IFERROR(AL401/AL$364,0)</f>
        <v>0</v>
      </c>
      <c r="AL401" s="1026">
        <f>AL381+AL399</f>
        <v>0</v>
      </c>
      <c r="AM401" s="1024" t="s">
        <v>119</v>
      </c>
      <c r="AN401" s="1025">
        <f>IFERROR(AO401/AO$364,0)</f>
        <v>0</v>
      </c>
      <c r="AO401" s="1026">
        <f>AO381+AO399</f>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v>
      </c>
      <c r="B402" s="700"/>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t="str">
        <f t="shared" si="66"/>
        <v>BoutiquePROFIT DÉPARTEMENTAL</v>
      </c>
      <c r="B403" s="1077" t="s">
        <v>151</v>
      </c>
      <c r="C403" s="785"/>
      <c r="D403" s="786"/>
      <c r="E403" s="787">
        <f>E366-E401</f>
        <v>0</v>
      </c>
      <c r="F403" s="785"/>
      <c r="G403" s="786"/>
      <c r="H403" s="787">
        <f>H366-H401</f>
        <v>0</v>
      </c>
      <c r="I403" s="785"/>
      <c r="J403" s="786"/>
      <c r="K403" s="787">
        <f>K366-K401</f>
        <v>0</v>
      </c>
      <c r="L403" s="785"/>
      <c r="M403" s="786"/>
      <c r="N403" s="787">
        <f>N366-N401</f>
        <v>0</v>
      </c>
      <c r="O403" s="785"/>
      <c r="P403" s="786"/>
      <c r="Q403" s="787">
        <f>Q366-Q401</f>
        <v>0</v>
      </c>
      <c r="R403" s="785"/>
      <c r="S403" s="786"/>
      <c r="T403" s="787">
        <f>T366-T401</f>
        <v>0</v>
      </c>
      <c r="U403" s="785"/>
      <c r="V403" s="786"/>
      <c r="W403" s="787">
        <f>W366-W401</f>
        <v>0</v>
      </c>
      <c r="X403" s="785"/>
      <c r="Y403" s="786"/>
      <c r="Z403" s="787">
        <f>Z366-Z401</f>
        <v>0</v>
      </c>
      <c r="AA403" s="785"/>
      <c r="AB403" s="786"/>
      <c r="AC403" s="787">
        <f>AC366-AC401</f>
        <v>0</v>
      </c>
      <c r="AD403" s="785"/>
      <c r="AE403" s="786"/>
      <c r="AF403" s="787">
        <f>AF366-AF401</f>
        <v>0</v>
      </c>
      <c r="AG403" s="785"/>
      <c r="AH403" s="786"/>
      <c r="AI403" s="787">
        <f>AI366-AI401</f>
        <v>0</v>
      </c>
      <c r="AJ403" s="785"/>
      <c r="AK403" s="786"/>
      <c r="AL403" s="787">
        <f>AL366-AL401</f>
        <v>0</v>
      </c>
      <c r="AM403" s="785"/>
      <c r="AN403" s="786"/>
      <c r="AO403" s="787">
        <f>AO366-AO401</f>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48"/>
      <c r="C404" s="748"/>
      <c r="D404" s="748"/>
      <c r="E404" s="784"/>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707"/>
      <c r="C405" s="707"/>
      <c r="D405" s="707"/>
      <c r="E405" s="720"/>
      <c r="F405" s="707"/>
      <c r="G405" s="707"/>
      <c r="H405" s="720"/>
      <c r="I405" s="707"/>
      <c r="J405" s="707"/>
      <c r="K405" s="720"/>
      <c r="L405" s="707"/>
      <c r="M405" s="707"/>
      <c r="N405" s="720"/>
      <c r="O405" s="707"/>
      <c r="P405" s="707"/>
      <c r="Q405" s="720"/>
      <c r="R405" s="707"/>
      <c r="S405" s="707"/>
      <c r="T405" s="720"/>
      <c r="U405" s="707"/>
      <c r="V405" s="707"/>
      <c r="W405" s="720"/>
      <c r="X405" s="707"/>
      <c r="Y405" s="707"/>
      <c r="Z405" s="720"/>
      <c r="AA405" s="707"/>
      <c r="AB405" s="707"/>
      <c r="AC405" s="720"/>
      <c r="AD405" s="707"/>
      <c r="AE405" s="707"/>
      <c r="AF405" s="720"/>
      <c r="AG405" s="707"/>
      <c r="AH405" s="707"/>
      <c r="AI405" s="720"/>
      <c r="AJ405" s="707"/>
      <c r="AK405" s="707"/>
      <c r="AL405" s="720"/>
      <c r="AM405" s="707"/>
      <c r="AN405" s="707"/>
      <c r="AO405" s="72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42" t="str">
        <f>B4</f>
        <v>Budget 2025</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78"/>
      <c r="C407" s="788"/>
      <c r="D407" s="788"/>
      <c r="E407" s="788"/>
      <c r="F407" s="789"/>
      <c r="G407" s="789"/>
      <c r="H407" s="789"/>
      <c r="I407" s="789"/>
      <c r="J407" s="789"/>
      <c r="K407" s="789"/>
      <c r="L407" s="789"/>
      <c r="M407" s="789"/>
      <c r="N407" s="789"/>
      <c r="O407" s="789"/>
      <c r="P407" s="789"/>
      <c r="Q407" s="789"/>
      <c r="R407" s="789"/>
      <c r="S407" s="789"/>
      <c r="T407" s="789"/>
      <c r="U407" s="789"/>
      <c r="V407" s="789"/>
      <c r="W407" s="789"/>
      <c r="X407" s="789"/>
      <c r="Y407" s="789"/>
      <c r="Z407" s="789"/>
      <c r="AA407" s="789"/>
      <c r="AB407" s="789"/>
      <c r="AC407" s="789"/>
      <c r="AD407" s="789"/>
      <c r="AE407" s="789"/>
      <c r="AF407" s="789"/>
      <c r="AG407" s="789"/>
      <c r="AH407" s="789"/>
      <c r="AI407" s="789"/>
      <c r="AJ407" s="789"/>
      <c r="AK407" s="789"/>
      <c r="AL407" s="789"/>
      <c r="AM407" s="789"/>
      <c r="AN407" s="789"/>
      <c r="AO407" s="789"/>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79" t="s">
        <v>3</v>
      </c>
      <c r="C408" s="1163">
        <v>2023</v>
      </c>
      <c r="D408" s="1164"/>
      <c r="E408" s="1165"/>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1080"/>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9">B410</f>
        <v>Ventes nettes</v>
      </c>
      <c r="B410" s="808" t="s">
        <v>96</v>
      </c>
      <c r="C410" s="794"/>
      <c r="D410" s="795"/>
      <c r="E410" s="796">
        <f>+SUM(H410,K410,N410,Q410,T410,W410,Z410,AC410,AF410,AI410,AL410,AO410)</f>
        <v>66341550.865965143</v>
      </c>
      <c r="F410" s="794"/>
      <c r="G410" s="795"/>
      <c r="H410" s="796">
        <f>+F366+F318+G198+G254+H96+H8</f>
        <v>4239492.1414148333</v>
      </c>
      <c r="I410" s="794"/>
      <c r="J410" s="795"/>
      <c r="K410" s="796">
        <f>+I366+I318+J198+J254+K96+K8</f>
        <v>4351203.6706626099</v>
      </c>
      <c r="L410" s="794"/>
      <c r="M410" s="795"/>
      <c r="N410" s="796">
        <f>+L366+L318+M198+M254+N96+N8</f>
        <v>5997705.5714576384</v>
      </c>
      <c r="O410" s="794"/>
      <c r="P410" s="795"/>
      <c r="Q410" s="796">
        <f>+O366+O318+P198+P254+Q96+Q8</f>
        <v>6269006.9922183678</v>
      </c>
      <c r="R410" s="794"/>
      <c r="S410" s="795"/>
      <c r="T410" s="796">
        <f>+R366+R318+S198+S254+T96+T8</f>
        <v>6678020.9962319955</v>
      </c>
      <c r="U410" s="794"/>
      <c r="V410" s="795"/>
      <c r="W410" s="796">
        <f>+U366+U318+V198+V254+W96+W8</f>
        <v>6372453.4205906205</v>
      </c>
      <c r="X410" s="794"/>
      <c r="Y410" s="795"/>
      <c r="Z410" s="796">
        <f>+X366+X318+Y198+Y254+Z96+Z8</f>
        <v>6048078.8339877855</v>
      </c>
      <c r="AA410" s="794"/>
      <c r="AB410" s="795"/>
      <c r="AC410" s="796">
        <f>+AA366+AA318+AB198+AB254+AC96+AC8</f>
        <v>5727886.5536490418</v>
      </c>
      <c r="AD410" s="794"/>
      <c r="AE410" s="795"/>
      <c r="AF410" s="796">
        <f>+AD366+AD318+AE198+AE254+AF96+AF8</f>
        <v>5522386.01119872</v>
      </c>
      <c r="AG410" s="794"/>
      <c r="AH410" s="795"/>
      <c r="AI410" s="796">
        <f>+AG366+AG318+AH198+AH254+AI96+AI8</f>
        <v>5711342.3284483319</v>
      </c>
      <c r="AJ410" s="794"/>
      <c r="AK410" s="795"/>
      <c r="AL410" s="796">
        <f>+AJ366+AJ318+AK198+AK254+AL96+AL8</f>
        <v>5194817.886756843</v>
      </c>
      <c r="AM410" s="794"/>
      <c r="AN410" s="795"/>
      <c r="AO410" s="796">
        <f>+AM366+AM318+AN198+AN254+AO96+AO8</f>
        <v>4229156.4593483405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Profit brut</v>
      </c>
      <c r="B411" s="1081" t="s">
        <v>202</v>
      </c>
      <c r="C411" s="797"/>
      <c r="D411" s="798"/>
      <c r="E411" s="799">
        <f>E30+E112+E198+E254+E318+E366</f>
        <v>9480112.1784297228</v>
      </c>
      <c r="F411" s="797"/>
      <c r="G411" s="798"/>
      <c r="H411" s="799">
        <f>H30+H112+H198+H254+H318+H366</f>
        <v>606732.88261468266</v>
      </c>
      <c r="I411" s="797"/>
      <c r="J411" s="798"/>
      <c r="K411" s="799">
        <f>K30+K112+K198+K254+K318+K366</f>
        <v>613617.42338272673</v>
      </c>
      <c r="L411" s="797"/>
      <c r="M411" s="798"/>
      <c r="N411" s="799">
        <f>N30+N112+N198+N254+N318+N366</f>
        <v>836539.47608749301</v>
      </c>
      <c r="O411" s="797"/>
      <c r="P411" s="798"/>
      <c r="Q411" s="799">
        <f>Q30+Q112+Q198+Q254+Q318+Q366</f>
        <v>888799.71398472053</v>
      </c>
      <c r="R411" s="797"/>
      <c r="S411" s="798"/>
      <c r="T411" s="799">
        <f>T30+T112+T198+T254+T318+T366</f>
        <v>946386.93353430962</v>
      </c>
      <c r="U411" s="797"/>
      <c r="V411" s="798"/>
      <c r="W411" s="799">
        <f>W30+W112+W198+W254+W318+W366</f>
        <v>855218.83177097666</v>
      </c>
      <c r="X411" s="797"/>
      <c r="Y411" s="798"/>
      <c r="Z411" s="799">
        <f>Z30+Z112+Z198+Z254+Z318+Z366</f>
        <v>811388.68361950631</v>
      </c>
      <c r="AA411" s="797"/>
      <c r="AB411" s="798"/>
      <c r="AC411" s="799">
        <f>AC30+AC112+AC198+AC254+AC318+AC366</f>
        <v>787074.88567596092</v>
      </c>
      <c r="AD411" s="797"/>
      <c r="AE411" s="798"/>
      <c r="AF411" s="799">
        <f>AF30+AF112+AF198+AF254+AF318+AF366</f>
        <v>821478.90458949166</v>
      </c>
      <c r="AG411" s="797"/>
      <c r="AH411" s="798"/>
      <c r="AI411" s="799">
        <f>AI30+AI112+AI198+AI254+AI318+AI366</f>
        <v>823671.66286686959</v>
      </c>
      <c r="AJ411" s="797"/>
      <c r="AK411" s="798"/>
      <c r="AL411" s="799">
        <f>AL30+AL112+AL198+AL254+AL318+AL366</f>
        <v>852509.65322754253</v>
      </c>
      <c r="AM411" s="797"/>
      <c r="AN411" s="798"/>
      <c r="AO411" s="799">
        <f>AO30+AO112+AO198+AO254+AO318+AO366</f>
        <v>636693.12707544165</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DÉPENSES</v>
      </c>
      <c r="B412" s="1082" t="s">
        <v>203</v>
      </c>
      <c r="C412" s="800"/>
      <c r="D412" s="801"/>
      <c r="E412" s="802"/>
      <c r="F412" s="800"/>
      <c r="G412" s="801"/>
      <c r="H412" s="802"/>
      <c r="I412" s="800"/>
      <c r="J412" s="801"/>
      <c r="K412" s="802"/>
      <c r="L412" s="800"/>
      <c r="M412" s="801"/>
      <c r="N412" s="802"/>
      <c r="O412" s="800"/>
      <c r="P412" s="801"/>
      <c r="Q412" s="802"/>
      <c r="R412" s="800"/>
      <c r="S412" s="801"/>
      <c r="T412" s="802"/>
      <c r="U412" s="800"/>
      <c r="V412" s="801"/>
      <c r="W412" s="802"/>
      <c r="X412" s="800"/>
      <c r="Y412" s="801"/>
      <c r="Z412" s="802"/>
      <c r="AA412" s="800"/>
      <c r="AB412" s="801"/>
      <c r="AC412" s="802"/>
      <c r="AD412" s="800"/>
      <c r="AE412" s="801"/>
      <c r="AF412" s="802"/>
      <c r="AG412" s="800"/>
      <c r="AH412" s="801"/>
      <c r="AI412" s="802"/>
      <c r="AJ412" s="800"/>
      <c r="AK412" s="801"/>
      <c r="AL412" s="802"/>
      <c r="AM412" s="800"/>
      <c r="AN412" s="801"/>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vendeurs</v>
      </c>
      <c r="B413" s="805" t="s">
        <v>111</v>
      </c>
      <c r="C413" s="803">
        <f>E413/(E100+E20+E18+E16)</f>
        <v>0.31269263156561783</v>
      </c>
      <c r="D413" s="804">
        <f>IF(E413=0,0,E413/(C$16+C$100+C18+C20))</f>
        <v>598.2895468093102</v>
      </c>
      <c r="E413" s="802">
        <f t="shared" ref="E413:E422" si="70">+SUM(H413,K413,N413,Q413,T413,W413,Z413,AC413,AF413,AI413,AL413,AO413)</f>
        <v>780767.85858614987</v>
      </c>
      <c r="F413" s="805"/>
      <c r="G413" s="804">
        <f t="shared" ref="G413:G419" si="71">IF(H413=0,0,H413/(F$16+F$100))</f>
        <v>667.81724968382821</v>
      </c>
      <c r="H413" s="802">
        <f t="shared" ref="H413:H422" si="72">+SUMIF($B$4:$B$403,$B413,H$4:H$403)</f>
        <v>51421.928225654774</v>
      </c>
      <c r="I413" s="805"/>
      <c r="J413" s="804">
        <f t="shared" ref="J413:J419" si="73">IF(K413=0,0,K413/(I$16+I$100))</f>
        <v>666.9081705732774</v>
      </c>
      <c r="K413" s="802">
        <f t="shared" ref="K413:K422" si="74">+SUMIF($B$4:$B$403,$B413,K$4:K$403)</f>
        <v>54019.561816435467</v>
      </c>
      <c r="L413" s="805"/>
      <c r="M413" s="804">
        <f t="shared" ref="M413:M419" si="75">IF(N413=0,0,N413/(L$16+L$100))</f>
        <v>630.25851603707622</v>
      </c>
      <c r="N413" s="802">
        <f t="shared" ref="N413:N422" si="76">+SUMIF($B$4:$B$403,$B413,N$4:N$403)</f>
        <v>75000.763408412065</v>
      </c>
      <c r="O413" s="805"/>
      <c r="P413" s="804">
        <f t="shared" ref="P413:P419" si="77">IF(Q413=0,0,Q413/(O$16+O$100))</f>
        <v>625.85208477328581</v>
      </c>
      <c r="Q413" s="802">
        <f t="shared" ref="Q413:Q422" si="78">+SUMIF($B$4:$B$403,$B413,Q$4:Q$403)</f>
        <v>76979.806427114148</v>
      </c>
      <c r="R413" s="805"/>
      <c r="S413" s="804">
        <f t="shared" ref="S413:S419" si="79">IF(T413=0,0,T413/(R$16+R$100))</f>
        <v>638.1348049437097</v>
      </c>
      <c r="T413" s="802">
        <f t="shared" ref="T413:T422" si="80">+SUMIF($B$4:$B$403,$B413,T$4:T$403)</f>
        <v>81681.255032794841</v>
      </c>
      <c r="U413" s="805"/>
      <c r="V413" s="804">
        <f t="shared" ref="V413:V419" si="81">IF(W413=0,0,W413/(U$16+U$100))</f>
        <v>626.85860002314735</v>
      </c>
      <c r="W413" s="802">
        <f t="shared" ref="W413:W422" si="82">+SUMIF($B$4:$B$403,$B413,W$4:W$403)</f>
        <v>73969.314802731387</v>
      </c>
      <c r="X413" s="805"/>
      <c r="Y413" s="804">
        <f t="shared" ref="Y413:Y419" si="83">IF(Z413=0,0,Z413/(X$16+X$100))</f>
        <v>649.05395388232785</v>
      </c>
      <c r="Z413" s="802">
        <f t="shared" ref="Z413:Z422" si="84">+SUMIF($B$4:$B$403,$B413,Z$4:Z$403)</f>
        <v>70097.827019291406</v>
      </c>
      <c r="AA413" s="805"/>
      <c r="AB413" s="804">
        <f t="shared" ref="AB413:AB419" si="85">IF(AC413=0,0,AC413/(AA$16+AA$100))</f>
        <v>627.89082955662195</v>
      </c>
      <c r="AC413" s="802">
        <f t="shared" ref="AC413:AC422" si="86">+SUMIF($B$4:$B$403,$B413,AC$4:AC$403)</f>
        <v>64044.864614775433</v>
      </c>
      <c r="AD413" s="805"/>
      <c r="AE413" s="804">
        <f t="shared" ref="AE413:AE419" si="87">IF(AF413=0,0,AF413/(AD$16+AD$100))</f>
        <v>628.75821596073354</v>
      </c>
      <c r="AF413" s="802">
        <f t="shared" ref="AF413:AF422" si="88">+SUMIF($B$4:$B$403,$B413,AF$4:AF$403)</f>
        <v>62875.821596073351</v>
      </c>
      <c r="AG413" s="805"/>
      <c r="AH413" s="804">
        <f t="shared" ref="AH413:AH419" si="89">IF(AI413=0,0,AI413/(AG$16+AG$100))</f>
        <v>651.51444907239545</v>
      </c>
      <c r="AI413" s="802">
        <f t="shared" ref="AI413:AI422" si="90">+SUMIF($B$4:$B$403,$B413,AI$4:AI$403)</f>
        <v>63848.416009094755</v>
      </c>
      <c r="AJ413" s="805"/>
      <c r="AK413" s="804">
        <f t="shared" ref="AK413:AK419" si="91">IF(AL413=0,0,AL413/(AJ$16+AJ$100))</f>
        <v>640.68199784636056</v>
      </c>
      <c r="AL413" s="802">
        <f t="shared" ref="AL413:AL422" si="92">+SUMIF($B$4:$B$403,$B413,AL$4:AL$403)</f>
        <v>55739.333812633369</v>
      </c>
      <c r="AM413" s="805"/>
      <c r="AN413" s="804">
        <f t="shared" ref="AN413:AN419" si="93">IF(AO413=0,0,AO413/(AM$16+AM$100))</f>
        <v>681.18621094851756</v>
      </c>
      <c r="AO413" s="802">
        <f t="shared" ref="AO413:AO422" si="94">+SUMIF($B$4:$B$403,$B413,AO$4:AO$403)</f>
        <v>51088.965821138816</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Comm. F&amp;I</v>
      </c>
      <c r="B414" s="808" t="s">
        <v>112</v>
      </c>
      <c r="C414" s="806">
        <f>E414/(E109+E27)</f>
        <v>0.23239553165080681</v>
      </c>
      <c r="D414" s="807">
        <f>IF(E414=0,0,E414/(C$16+C$100))</f>
        <v>369.53947368421058</v>
      </c>
      <c r="E414" s="796">
        <f t="shared" si="70"/>
        <v>449360.00000000006</v>
      </c>
      <c r="F414" s="808"/>
      <c r="G414" s="807">
        <f t="shared" si="71"/>
        <v>366.25436237771044</v>
      </c>
      <c r="H414" s="796">
        <f t="shared" si="72"/>
        <v>28201.585903083702</v>
      </c>
      <c r="I414" s="808"/>
      <c r="J414" s="807">
        <f t="shared" si="73"/>
        <v>364.07026703649319</v>
      </c>
      <c r="K414" s="796">
        <f t="shared" si="74"/>
        <v>29489.691629955949</v>
      </c>
      <c r="L414" s="808"/>
      <c r="M414" s="807">
        <f t="shared" si="75"/>
        <v>364.16638902256932</v>
      </c>
      <c r="N414" s="796">
        <f t="shared" si="76"/>
        <v>43335.800293685752</v>
      </c>
      <c r="O414" s="808"/>
      <c r="P414" s="807">
        <f t="shared" si="77"/>
        <v>364.26966560414502</v>
      </c>
      <c r="Q414" s="796">
        <f t="shared" si="78"/>
        <v>44805.16886930984</v>
      </c>
      <c r="R414" s="808"/>
      <c r="S414" s="807">
        <f t="shared" si="79"/>
        <v>363.85370778267253</v>
      </c>
      <c r="T414" s="796">
        <f t="shared" si="80"/>
        <v>46573.274596182084</v>
      </c>
      <c r="U414" s="808"/>
      <c r="V414" s="807">
        <f t="shared" si="81"/>
        <v>368.53978446452123</v>
      </c>
      <c r="W414" s="796">
        <f t="shared" si="82"/>
        <v>43487.694566813509</v>
      </c>
      <c r="X414" s="808"/>
      <c r="Y414" s="807">
        <f t="shared" si="83"/>
        <v>371.87143090226789</v>
      </c>
      <c r="Z414" s="796">
        <f t="shared" si="84"/>
        <v>40162.114537444933</v>
      </c>
      <c r="AA414" s="808"/>
      <c r="AB414" s="807">
        <f t="shared" si="85"/>
        <v>373.48305548357382</v>
      </c>
      <c r="AC414" s="796">
        <f t="shared" si="86"/>
        <v>38095.271659324528</v>
      </c>
      <c r="AD414" s="808"/>
      <c r="AE414" s="807">
        <f t="shared" si="87"/>
        <v>375.56534508076356</v>
      </c>
      <c r="AF414" s="796">
        <f t="shared" si="88"/>
        <v>37556.534508076358</v>
      </c>
      <c r="AG414" s="808"/>
      <c r="AH414" s="807">
        <f t="shared" si="89"/>
        <v>375.58332584134979</v>
      </c>
      <c r="AI414" s="796">
        <f t="shared" si="90"/>
        <v>36807.165932452277</v>
      </c>
      <c r="AJ414" s="808"/>
      <c r="AK414" s="807">
        <f t="shared" si="91"/>
        <v>376.90752274376763</v>
      </c>
      <c r="AL414" s="796">
        <f t="shared" si="92"/>
        <v>32790.954478707783</v>
      </c>
      <c r="AM414" s="808"/>
      <c r="AN414" s="807">
        <f t="shared" si="93"/>
        <v>374.06324033284386</v>
      </c>
      <c r="AO414" s="796">
        <f t="shared" si="94"/>
        <v>28054.743024963289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Frais de livraison</v>
      </c>
      <c r="B415" s="805" t="s">
        <v>113</v>
      </c>
      <c r="C415" s="805"/>
      <c r="D415" s="804">
        <f>IF(E415=0,0,E415/($C$27+C$100))</f>
        <v>69.593152866242036</v>
      </c>
      <c r="E415" s="802">
        <f t="shared" si="70"/>
        <v>87409</v>
      </c>
      <c r="F415" s="805"/>
      <c r="G415" s="804">
        <f t="shared" si="71"/>
        <v>75.012987012987011</v>
      </c>
      <c r="H415" s="802">
        <f t="shared" si="72"/>
        <v>5776</v>
      </c>
      <c r="I415" s="805"/>
      <c r="J415" s="804">
        <f t="shared" si="73"/>
        <v>75.666666666666671</v>
      </c>
      <c r="K415" s="802">
        <f t="shared" si="74"/>
        <v>6129</v>
      </c>
      <c r="L415" s="805"/>
      <c r="M415" s="804">
        <f t="shared" si="75"/>
        <v>74.806722689075627</v>
      </c>
      <c r="N415" s="802">
        <f t="shared" si="76"/>
        <v>8902</v>
      </c>
      <c r="O415" s="805"/>
      <c r="P415" s="804">
        <f t="shared" si="77"/>
        <v>74.373983739837399</v>
      </c>
      <c r="Q415" s="802">
        <f t="shared" si="78"/>
        <v>9148</v>
      </c>
      <c r="R415" s="805"/>
      <c r="S415" s="804">
        <f t="shared" si="79"/>
        <v>74.2890625</v>
      </c>
      <c r="T415" s="802">
        <f t="shared" si="80"/>
        <v>9509</v>
      </c>
      <c r="U415" s="805"/>
      <c r="V415" s="804">
        <f t="shared" si="81"/>
        <v>72.652542372881356</v>
      </c>
      <c r="W415" s="802">
        <f t="shared" si="82"/>
        <v>8573</v>
      </c>
      <c r="X415" s="805"/>
      <c r="Y415" s="804">
        <f t="shared" si="83"/>
        <v>71.703703703703709</v>
      </c>
      <c r="Z415" s="802">
        <f t="shared" si="84"/>
        <v>7744</v>
      </c>
      <c r="AA415" s="805"/>
      <c r="AB415" s="804">
        <f t="shared" si="85"/>
        <v>69.078431372549019</v>
      </c>
      <c r="AC415" s="802">
        <f t="shared" si="86"/>
        <v>7046</v>
      </c>
      <c r="AD415" s="805"/>
      <c r="AE415" s="804">
        <f t="shared" si="87"/>
        <v>68.16</v>
      </c>
      <c r="AF415" s="802">
        <f t="shared" si="88"/>
        <v>6816</v>
      </c>
      <c r="AG415" s="805"/>
      <c r="AH415" s="804">
        <f t="shared" si="89"/>
        <v>68.295918367346943</v>
      </c>
      <c r="AI415" s="802">
        <f t="shared" si="90"/>
        <v>6693</v>
      </c>
      <c r="AJ415" s="805"/>
      <c r="AK415" s="804">
        <f t="shared" si="91"/>
        <v>68.540229885057471</v>
      </c>
      <c r="AL415" s="802">
        <f t="shared" si="92"/>
        <v>5963</v>
      </c>
      <c r="AM415" s="805"/>
      <c r="AN415" s="804">
        <f t="shared" si="93"/>
        <v>68.13333333333334</v>
      </c>
      <c r="AO415" s="802">
        <f t="shared" si="94"/>
        <v>5110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Service gratuit 1</v>
      </c>
      <c r="B416" s="805" t="s">
        <v>114</v>
      </c>
      <c r="C416" s="805"/>
      <c r="D416" s="804">
        <f>IF(E416=0,0,E416/($C$27+C$100))</f>
        <v>26.97452229299363</v>
      </c>
      <c r="E416" s="802">
        <f t="shared" si="70"/>
        <v>33880</v>
      </c>
      <c r="F416" s="805"/>
      <c r="G416" s="804">
        <f t="shared" si="71"/>
        <v>27.012987012987011</v>
      </c>
      <c r="H416" s="802">
        <f t="shared" si="72"/>
        <v>2080</v>
      </c>
      <c r="I416" s="805"/>
      <c r="J416" s="804">
        <f t="shared" si="73"/>
        <v>26.666666666666668</v>
      </c>
      <c r="K416" s="802">
        <f t="shared" si="74"/>
        <v>2160</v>
      </c>
      <c r="L416" s="805"/>
      <c r="M416" s="804">
        <f t="shared" si="75"/>
        <v>26.806722689075631</v>
      </c>
      <c r="N416" s="802">
        <f t="shared" si="76"/>
        <v>3190</v>
      </c>
      <c r="O416" s="805"/>
      <c r="P416" s="804">
        <f t="shared" si="77"/>
        <v>26.910569105691057</v>
      </c>
      <c r="Q416" s="802">
        <f t="shared" si="78"/>
        <v>3310</v>
      </c>
      <c r="R416" s="805"/>
      <c r="S416" s="804">
        <f t="shared" si="79"/>
        <v>26.875</v>
      </c>
      <c r="T416" s="802">
        <f t="shared" si="80"/>
        <v>3440</v>
      </c>
      <c r="U416" s="805"/>
      <c r="V416" s="804">
        <f t="shared" si="81"/>
        <v>27.627118644067796</v>
      </c>
      <c r="W416" s="802">
        <f t="shared" si="82"/>
        <v>3260</v>
      </c>
      <c r="X416" s="805"/>
      <c r="Y416" s="804">
        <f t="shared" si="83"/>
        <v>28.148148148148149</v>
      </c>
      <c r="Z416" s="802">
        <f t="shared" si="84"/>
        <v>3040</v>
      </c>
      <c r="AA416" s="805"/>
      <c r="AB416" s="804">
        <f t="shared" si="85"/>
        <v>28.725490196078432</v>
      </c>
      <c r="AC416" s="802">
        <f t="shared" si="86"/>
        <v>2930</v>
      </c>
      <c r="AD416" s="805"/>
      <c r="AE416" s="804">
        <f t="shared" si="87"/>
        <v>29.1</v>
      </c>
      <c r="AF416" s="802">
        <f t="shared" si="88"/>
        <v>2910</v>
      </c>
      <c r="AG416" s="805"/>
      <c r="AH416" s="804">
        <f t="shared" si="89"/>
        <v>29.081632653061224</v>
      </c>
      <c r="AI416" s="802">
        <f t="shared" si="90"/>
        <v>2850</v>
      </c>
      <c r="AJ416" s="805"/>
      <c r="AK416" s="804">
        <f t="shared" si="91"/>
        <v>29.195402298850574</v>
      </c>
      <c r="AL416" s="802">
        <f t="shared" si="92"/>
        <v>2540</v>
      </c>
      <c r="AM416" s="805"/>
      <c r="AN416" s="804">
        <f t="shared" si="93"/>
        <v>28.933333333333334</v>
      </c>
      <c r="AO416" s="802">
        <f t="shared" si="94"/>
        <v>2170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Entretien stock</v>
      </c>
      <c r="B417" s="808" t="s">
        <v>115</v>
      </c>
      <c r="C417" s="808"/>
      <c r="D417" s="807">
        <f>IF(E417=0,0,E417/($C$27+C$100))</f>
        <v>141.21815286624204</v>
      </c>
      <c r="E417" s="796">
        <f t="shared" si="70"/>
        <v>177370</v>
      </c>
      <c r="F417" s="808"/>
      <c r="G417" s="807">
        <f t="shared" si="71"/>
        <v>145.45454545454547</v>
      </c>
      <c r="H417" s="796">
        <f t="shared" si="72"/>
        <v>11200</v>
      </c>
      <c r="I417" s="808"/>
      <c r="J417" s="807">
        <f t="shared" si="73"/>
        <v>144.81481481481481</v>
      </c>
      <c r="K417" s="796">
        <f t="shared" si="74"/>
        <v>11730</v>
      </c>
      <c r="L417" s="808"/>
      <c r="M417" s="807">
        <f t="shared" si="75"/>
        <v>144.62184873949579</v>
      </c>
      <c r="N417" s="796">
        <f t="shared" si="76"/>
        <v>17210</v>
      </c>
      <c r="O417" s="808"/>
      <c r="P417" s="807">
        <f t="shared" si="77"/>
        <v>144.63414634146341</v>
      </c>
      <c r="Q417" s="796">
        <f t="shared" si="78"/>
        <v>17790</v>
      </c>
      <c r="R417" s="808"/>
      <c r="S417" s="807">
        <f t="shared" si="79"/>
        <v>144.453125</v>
      </c>
      <c r="T417" s="796">
        <f t="shared" si="80"/>
        <v>18490</v>
      </c>
      <c r="U417" s="808"/>
      <c r="V417" s="807">
        <f t="shared" si="81"/>
        <v>145.67796610169492</v>
      </c>
      <c r="W417" s="796">
        <f t="shared" si="82"/>
        <v>17190</v>
      </c>
      <c r="X417" s="808"/>
      <c r="Y417" s="807">
        <f t="shared" si="83"/>
        <v>146.66666666666666</v>
      </c>
      <c r="Z417" s="796">
        <f t="shared" si="84"/>
        <v>15840</v>
      </c>
      <c r="AA417" s="808"/>
      <c r="AB417" s="807">
        <f t="shared" si="85"/>
        <v>146.56862745098039</v>
      </c>
      <c r="AC417" s="796">
        <f t="shared" si="86"/>
        <v>14950</v>
      </c>
      <c r="AD417" s="808"/>
      <c r="AE417" s="807">
        <f t="shared" si="87"/>
        <v>147.1</v>
      </c>
      <c r="AF417" s="796">
        <f t="shared" si="88"/>
        <v>14710</v>
      </c>
      <c r="AG417" s="808"/>
      <c r="AH417" s="807">
        <f t="shared" si="89"/>
        <v>147.14285714285714</v>
      </c>
      <c r="AI417" s="796">
        <f t="shared" si="90"/>
        <v>14420</v>
      </c>
      <c r="AJ417" s="808"/>
      <c r="AK417" s="807">
        <f t="shared" si="91"/>
        <v>147.70114942528735</v>
      </c>
      <c r="AL417" s="796">
        <f t="shared" si="92"/>
        <v>12850</v>
      </c>
      <c r="AM417" s="808"/>
      <c r="AN417" s="807">
        <f t="shared" si="93"/>
        <v>146.53333333333333</v>
      </c>
      <c r="AO417" s="796">
        <f t="shared" si="94"/>
        <v>10990</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Publicité 1</v>
      </c>
      <c r="B418" s="805" t="s">
        <v>116</v>
      </c>
      <c r="C418" s="805"/>
      <c r="D418" s="804">
        <f>IF(E418=0,0,E418/($C$27+C$100))</f>
        <v>133.10907643312103</v>
      </c>
      <c r="E418" s="802">
        <f t="shared" si="70"/>
        <v>167185</v>
      </c>
      <c r="F418" s="805"/>
      <c r="G418" s="804">
        <f t="shared" si="71"/>
        <v>270.16558441558442</v>
      </c>
      <c r="H418" s="802">
        <f t="shared" si="72"/>
        <v>20802.75</v>
      </c>
      <c r="I418" s="805"/>
      <c r="J418" s="804">
        <f t="shared" si="73"/>
        <v>172.03395061728395</v>
      </c>
      <c r="K418" s="802">
        <f t="shared" si="74"/>
        <v>13934.75</v>
      </c>
      <c r="L418" s="805"/>
      <c r="M418" s="804">
        <f t="shared" si="75"/>
        <v>74.661764705882348</v>
      </c>
      <c r="N418" s="802">
        <f t="shared" si="76"/>
        <v>8884.75</v>
      </c>
      <c r="O418" s="805"/>
      <c r="P418" s="804">
        <f t="shared" si="77"/>
        <v>165.72967479674796</v>
      </c>
      <c r="Q418" s="802">
        <f t="shared" si="78"/>
        <v>20384.75</v>
      </c>
      <c r="R418" s="805"/>
      <c r="S418" s="804">
        <f t="shared" si="79"/>
        <v>60.427734375</v>
      </c>
      <c r="T418" s="802">
        <f t="shared" si="80"/>
        <v>7734.75</v>
      </c>
      <c r="U418" s="805"/>
      <c r="V418" s="804">
        <f t="shared" si="81"/>
        <v>77.413135593220332</v>
      </c>
      <c r="W418" s="802">
        <f t="shared" si="82"/>
        <v>9134.75</v>
      </c>
      <c r="X418" s="805"/>
      <c r="Y418" s="804">
        <f t="shared" si="83"/>
        <v>97.081018518518519</v>
      </c>
      <c r="Z418" s="802">
        <f t="shared" si="84"/>
        <v>10484.75</v>
      </c>
      <c r="AA418" s="805"/>
      <c r="AB418" s="804">
        <f t="shared" si="85"/>
        <v>112.59558823529412</v>
      </c>
      <c r="AC418" s="802">
        <f t="shared" si="86"/>
        <v>11484.75</v>
      </c>
      <c r="AD418" s="805"/>
      <c r="AE418" s="804">
        <f t="shared" si="87"/>
        <v>117.8475</v>
      </c>
      <c r="AF418" s="802">
        <f t="shared" si="88"/>
        <v>11784.75</v>
      </c>
      <c r="AG418" s="805"/>
      <c r="AH418" s="804">
        <f t="shared" si="89"/>
        <v>122.80357142857143</v>
      </c>
      <c r="AI418" s="802">
        <f t="shared" si="90"/>
        <v>12034.75</v>
      </c>
      <c r="AJ418" s="805"/>
      <c r="AK418" s="804">
        <f t="shared" si="91"/>
        <v>292.35344827586209</v>
      </c>
      <c r="AL418" s="802">
        <f t="shared" si="92"/>
        <v>25434.75</v>
      </c>
      <c r="AM418" s="805"/>
      <c r="AN418" s="804">
        <f t="shared" si="93"/>
        <v>201.13</v>
      </c>
      <c r="AO418" s="802">
        <f t="shared" si="94"/>
        <v>15084.75</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Intérêt de gros</v>
      </c>
      <c r="B419" s="805" t="s">
        <v>117</v>
      </c>
      <c r="C419" s="805"/>
      <c r="D419" s="804">
        <f>IF(E419=0,0,E419/($C$27+C$100))</f>
        <v>202.86060009188716</v>
      </c>
      <c r="E419" s="802">
        <f t="shared" si="70"/>
        <v>254792.91371541028</v>
      </c>
      <c r="F419" s="805"/>
      <c r="G419" s="804">
        <f t="shared" si="71"/>
        <v>250.99398442130033</v>
      </c>
      <c r="H419" s="802">
        <f t="shared" si="72"/>
        <v>19326.536800440124</v>
      </c>
      <c r="I419" s="805"/>
      <c r="J419" s="804">
        <f t="shared" si="73"/>
        <v>264.33050816385065</v>
      </c>
      <c r="K419" s="802">
        <f t="shared" si="74"/>
        <v>21410.771161271903</v>
      </c>
      <c r="L419" s="805"/>
      <c r="M419" s="804">
        <f t="shared" si="75"/>
        <v>200.2234307674531</v>
      </c>
      <c r="N419" s="802">
        <f t="shared" si="76"/>
        <v>23826.588261326917</v>
      </c>
      <c r="O419" s="805"/>
      <c r="P419" s="804">
        <f t="shared" si="77"/>
        <v>196.98556459080834</v>
      </c>
      <c r="Q419" s="802">
        <f t="shared" si="78"/>
        <v>24229.224444669424</v>
      </c>
      <c r="R419" s="805"/>
      <c r="S419" s="804">
        <f t="shared" si="79"/>
        <v>187.07039584525285</v>
      </c>
      <c r="T419" s="802">
        <f t="shared" si="80"/>
        <v>23945.010668192364</v>
      </c>
      <c r="U419" s="805"/>
      <c r="V419" s="804">
        <f t="shared" si="81"/>
        <v>191.68372636694414</v>
      </c>
      <c r="W419" s="802">
        <f t="shared" si="82"/>
        <v>22618.67971129941</v>
      </c>
      <c r="X419" s="805"/>
      <c r="Y419" s="804">
        <f t="shared" si="83"/>
        <v>198.46718187634252</v>
      </c>
      <c r="Z419" s="802">
        <f t="shared" si="84"/>
        <v>21434.455642644993</v>
      </c>
      <c r="AA419" s="805"/>
      <c r="AB419" s="804">
        <f t="shared" si="85"/>
        <v>203.17569805345431</v>
      </c>
      <c r="AC419" s="802">
        <f t="shared" si="86"/>
        <v>20723.92120145234</v>
      </c>
      <c r="AD419" s="805"/>
      <c r="AE419" s="804">
        <f t="shared" si="87"/>
        <v>204.63391906348369</v>
      </c>
      <c r="AF419" s="802">
        <f t="shared" si="88"/>
        <v>20463.39190634837</v>
      </c>
      <c r="AG419" s="805"/>
      <c r="AH419" s="804">
        <f t="shared" si="89"/>
        <v>202.76816195939958</v>
      </c>
      <c r="AI419" s="802">
        <f t="shared" si="90"/>
        <v>19871.279872021158</v>
      </c>
      <c r="AJ419" s="805"/>
      <c r="AK419" s="804">
        <f t="shared" si="91"/>
        <v>215.06598028436582</v>
      </c>
      <c r="AL419" s="802">
        <f t="shared" si="92"/>
        <v>18710.740284739826</v>
      </c>
      <c r="AM419" s="805"/>
      <c r="AN419" s="804">
        <f t="shared" si="93"/>
        <v>243.0975168133792</v>
      </c>
      <c r="AO419" s="802">
        <f t="shared" si="94"/>
        <v>18232.313761003439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39" t="s">
        <v>59</v>
      </c>
      <c r="C420" s="805"/>
      <c r="D420" s="804"/>
      <c r="E420" s="802">
        <f t="shared" si="70"/>
        <v>0</v>
      </c>
      <c r="F420" s="805"/>
      <c r="G420" s="804"/>
      <c r="H420" s="802">
        <f t="shared" si="72"/>
        <v>0</v>
      </c>
      <c r="I420" s="805"/>
      <c r="J420" s="804"/>
      <c r="K420" s="802">
        <f t="shared" si="74"/>
        <v>0</v>
      </c>
      <c r="L420" s="805"/>
      <c r="M420" s="804"/>
      <c r="N420" s="802">
        <f t="shared" si="76"/>
        <v>0</v>
      </c>
      <c r="O420" s="805"/>
      <c r="P420" s="804"/>
      <c r="Q420" s="802">
        <f t="shared" si="78"/>
        <v>0</v>
      </c>
      <c r="R420" s="805"/>
      <c r="S420" s="804"/>
      <c r="T420" s="802">
        <f t="shared" si="80"/>
        <v>0</v>
      </c>
      <c r="U420" s="805"/>
      <c r="V420" s="804"/>
      <c r="W420" s="802">
        <f t="shared" si="82"/>
        <v>0</v>
      </c>
      <c r="X420" s="805"/>
      <c r="Y420" s="804"/>
      <c r="Z420" s="802">
        <f t="shared" si="84"/>
        <v>0</v>
      </c>
      <c r="AA420" s="805"/>
      <c r="AB420" s="804"/>
      <c r="AC420" s="802">
        <f t="shared" si="86"/>
        <v>0</v>
      </c>
      <c r="AD420" s="805"/>
      <c r="AE420" s="804"/>
      <c r="AF420" s="802">
        <f t="shared" si="88"/>
        <v>0</v>
      </c>
      <c r="AG420" s="805"/>
      <c r="AH420" s="804"/>
      <c r="AI420" s="802">
        <f t="shared" si="90"/>
        <v>0</v>
      </c>
      <c r="AJ420" s="805"/>
      <c r="AK420" s="804"/>
      <c r="AL420" s="802">
        <f t="shared" si="92"/>
        <v>0</v>
      </c>
      <c r="AM420" s="805"/>
      <c r="AN420" s="804"/>
      <c r="AO420" s="802">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839" t="s">
        <v>59</v>
      </c>
      <c r="C421" s="805"/>
      <c r="D421" s="804"/>
      <c r="E421" s="802">
        <f t="shared" si="70"/>
        <v>0</v>
      </c>
      <c r="F421" s="805"/>
      <c r="G421" s="804"/>
      <c r="H421" s="802">
        <f t="shared" si="72"/>
        <v>0</v>
      </c>
      <c r="I421" s="805"/>
      <c r="J421" s="804"/>
      <c r="K421" s="802">
        <f t="shared" si="74"/>
        <v>0</v>
      </c>
      <c r="L421" s="805"/>
      <c r="M421" s="804"/>
      <c r="N421" s="802">
        <f t="shared" si="76"/>
        <v>0</v>
      </c>
      <c r="O421" s="805"/>
      <c r="P421" s="804"/>
      <c r="Q421" s="802">
        <f t="shared" si="78"/>
        <v>0</v>
      </c>
      <c r="R421" s="805"/>
      <c r="S421" s="804"/>
      <c r="T421" s="802">
        <f t="shared" si="80"/>
        <v>0</v>
      </c>
      <c r="U421" s="805"/>
      <c r="V421" s="804"/>
      <c r="W421" s="802">
        <f t="shared" si="82"/>
        <v>0</v>
      </c>
      <c r="X421" s="805"/>
      <c r="Y421" s="804"/>
      <c r="Z421" s="802">
        <f t="shared" si="84"/>
        <v>0</v>
      </c>
      <c r="AA421" s="805"/>
      <c r="AB421" s="804"/>
      <c r="AC421" s="802">
        <f t="shared" si="86"/>
        <v>0</v>
      </c>
      <c r="AD421" s="805"/>
      <c r="AE421" s="804"/>
      <c r="AF421" s="802">
        <f t="shared" si="88"/>
        <v>0</v>
      </c>
      <c r="AG421" s="805"/>
      <c r="AH421" s="804"/>
      <c r="AI421" s="802">
        <f t="shared" si="90"/>
        <v>0</v>
      </c>
      <c r="AJ421" s="805"/>
      <c r="AK421" s="804"/>
      <c r="AL421" s="802">
        <f t="shared" si="92"/>
        <v>0</v>
      </c>
      <c r="AM421" s="805"/>
      <c r="AN421" s="804"/>
      <c r="AO421" s="802">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v>
      </c>
      <c r="B422" s="1080" t="s">
        <v>59</v>
      </c>
      <c r="C422" s="805"/>
      <c r="D422" s="804"/>
      <c r="E422" s="802">
        <f t="shared" si="70"/>
        <v>0</v>
      </c>
      <c r="F422" s="805"/>
      <c r="G422" s="804"/>
      <c r="H422" s="802">
        <f t="shared" si="72"/>
        <v>0</v>
      </c>
      <c r="I422" s="805"/>
      <c r="J422" s="804"/>
      <c r="K422" s="802">
        <f t="shared" si="74"/>
        <v>0</v>
      </c>
      <c r="L422" s="805"/>
      <c r="M422" s="804"/>
      <c r="N422" s="802">
        <f t="shared" si="76"/>
        <v>0</v>
      </c>
      <c r="O422" s="805"/>
      <c r="P422" s="804"/>
      <c r="Q422" s="802">
        <f t="shared" si="78"/>
        <v>0</v>
      </c>
      <c r="R422" s="805"/>
      <c r="S422" s="804"/>
      <c r="T422" s="802">
        <f t="shared" si="80"/>
        <v>0</v>
      </c>
      <c r="U422" s="805"/>
      <c r="V422" s="804"/>
      <c r="W422" s="802">
        <f t="shared" si="82"/>
        <v>0</v>
      </c>
      <c r="X422" s="805"/>
      <c r="Y422" s="804"/>
      <c r="Z422" s="802">
        <f t="shared" si="84"/>
        <v>0</v>
      </c>
      <c r="AA422" s="805"/>
      <c r="AB422" s="804"/>
      <c r="AC422" s="802">
        <f t="shared" si="86"/>
        <v>0</v>
      </c>
      <c r="AD422" s="805"/>
      <c r="AE422" s="804"/>
      <c r="AF422" s="802">
        <f t="shared" si="88"/>
        <v>0</v>
      </c>
      <c r="AG422" s="805"/>
      <c r="AH422" s="804"/>
      <c r="AI422" s="802">
        <f t="shared" si="90"/>
        <v>0</v>
      </c>
      <c r="AJ422" s="805"/>
      <c r="AK422" s="804"/>
      <c r="AL422" s="802">
        <f t="shared" si="92"/>
        <v>0</v>
      </c>
      <c r="AM422" s="805"/>
      <c r="AN422" s="804"/>
      <c r="AO422" s="802">
        <f t="shared" si="94"/>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TOTAL VARIABLES</v>
      </c>
      <c r="B423" s="1083" t="s">
        <v>118</v>
      </c>
      <c r="C423" s="1084">
        <f>IFERROR(E423/E411,0)</f>
        <v>0.2057744397519021</v>
      </c>
      <c r="D423" s="1085">
        <f>SUM(D413:D419)</f>
        <v>1541.5845250440068</v>
      </c>
      <c r="E423" s="1086">
        <f>SUM(E413:E419)</f>
        <v>1950764.7723015603</v>
      </c>
      <c r="F423" s="1084">
        <f>IFERROR(H423/H411,0)</f>
        <v>0.22878074504712775</v>
      </c>
      <c r="G423" s="1087"/>
      <c r="H423" s="1086">
        <f>SUM(H413:H419)</f>
        <v>138808.8009291786</v>
      </c>
      <c r="I423" s="1084">
        <f>IFERROR(K423/K411,0)</f>
        <v>0.22631980337534305</v>
      </c>
      <c r="J423" s="1087"/>
      <c r="K423" s="1086">
        <f>SUM(K413:K419)</f>
        <v>138873.77460766333</v>
      </c>
      <c r="L423" s="1084">
        <f>IFERROR(N423/N411,0)</f>
        <v>0.21559042593772595</v>
      </c>
      <c r="M423" s="1087"/>
      <c r="N423" s="1086">
        <f>SUM(N413:N419)</f>
        <v>180349.90196342472</v>
      </c>
      <c r="O423" s="1084">
        <f>IFERROR(Q423/Q411,0)</f>
        <v>0.22125001465119062</v>
      </c>
      <c r="P423" s="1087"/>
      <c r="Q423" s="1086">
        <f>SUM(Q413:Q419)</f>
        <v>196646.94974109344</v>
      </c>
      <c r="R423" s="1084">
        <f>IFERROR(T423/T411,0)</f>
        <v>0.20221463707500711</v>
      </c>
      <c r="S423" s="1087"/>
      <c r="T423" s="1086">
        <f>SUM(T413:T419)</f>
        <v>191373.2902971693</v>
      </c>
      <c r="U423" s="1084">
        <f>IFERROR(W423/W411,0)</f>
        <v>0.20840682227700794</v>
      </c>
      <c r="V423" s="1087"/>
      <c r="W423" s="1086">
        <f>SUM(W413:W419)</f>
        <v>178233.43908084428</v>
      </c>
      <c r="X423" s="1084">
        <f>IFERROR(Z423/Z411,0)</f>
        <v>0.2080422744453016</v>
      </c>
      <c r="Y423" s="1087"/>
      <c r="Z423" s="1086">
        <f>SUM(Z413:Z419)</f>
        <v>168803.14719938132</v>
      </c>
      <c r="AA423" s="1084">
        <f>IFERROR(AC423/AC411,0)</f>
        <v>0.20236296491503836</v>
      </c>
      <c r="AB423" s="1087"/>
      <c r="AC423" s="1086">
        <f>SUM(AC413:AC419)</f>
        <v>159274.80747555231</v>
      </c>
      <c r="AD423" s="1084">
        <f>IFERROR(AF423/AF411,0)</f>
        <v>0.1912605389288872</v>
      </c>
      <c r="AE423" s="1087"/>
      <c r="AF423" s="1086">
        <f>SUM(AF413:AF419)</f>
        <v>157116.49801049809</v>
      </c>
      <c r="AG423" s="1084">
        <f>IFERROR(AI423/AI411,0)</f>
        <v>0.19003277503655891</v>
      </c>
      <c r="AH423" s="1087"/>
      <c r="AI423" s="1086">
        <f>SUM(AI413:AI419)</f>
        <v>156524.61181356822</v>
      </c>
      <c r="AJ423" s="1084">
        <f>IFERROR(AL423/AL411,0)</f>
        <v>0.18067687326816614</v>
      </c>
      <c r="AK423" s="1087"/>
      <c r="AL423" s="1086">
        <f>SUM(AL413:AL419)</f>
        <v>154028.77857608098</v>
      </c>
      <c r="AM423" s="1084">
        <f>IFERROR(AO423/AO411,0)</f>
        <v>0.20532775845657164</v>
      </c>
      <c r="AN423" s="1087"/>
      <c r="AO423" s="1086">
        <f>SUM(AO413:AO419)</f>
        <v>130730.77260710555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propriétaire</v>
      </c>
      <c r="B424" s="805" t="s">
        <v>204</v>
      </c>
      <c r="C424" s="805"/>
      <c r="D424" s="804"/>
      <c r="E424" s="802">
        <f t="shared" ref="E424:E436" si="95">+SUM(H424,K424,N424,Q424,T424,W424,Z424,AC424,AF424,AI424,AL424,AO424)</f>
        <v>169692.29</v>
      </c>
      <c r="F424" s="805"/>
      <c r="G424" s="804"/>
      <c r="H424" s="809">
        <f>[1]Salaire!$E$15</f>
        <v>13053.253076923074</v>
      </c>
      <c r="I424" s="805"/>
      <c r="J424" s="804"/>
      <c r="K424" s="809">
        <f>[1]Salaire!$F$15</f>
        <v>13053.253076923074</v>
      </c>
      <c r="L424" s="805"/>
      <c r="M424" s="804"/>
      <c r="N424" s="809">
        <f>[1]Salaire!$G$15</f>
        <v>13053.253076923074</v>
      </c>
      <c r="O424" s="805"/>
      <c r="P424" s="804"/>
      <c r="Q424" s="809">
        <f>[1]Salaire!$H$15</f>
        <v>13053.253076923074</v>
      </c>
      <c r="R424" s="805"/>
      <c r="S424" s="804"/>
      <c r="T424" s="809">
        <f>[1]Salaire!$I$15</f>
        <v>16316.566346153846</v>
      </c>
      <c r="U424" s="805"/>
      <c r="V424" s="804"/>
      <c r="W424" s="809">
        <f>[1]Salaire!$J$15</f>
        <v>13053.253076923074</v>
      </c>
      <c r="X424" s="805"/>
      <c r="Y424" s="804"/>
      <c r="Z424" s="809">
        <f>[1]Salaire!$K$15</f>
        <v>16316.566346153846</v>
      </c>
      <c r="AA424" s="805"/>
      <c r="AB424" s="804"/>
      <c r="AC424" s="809">
        <f>[1]Salaire!$L$15</f>
        <v>13053.253076923074</v>
      </c>
      <c r="AD424" s="805"/>
      <c r="AE424" s="804"/>
      <c r="AF424" s="809">
        <f>[1]Salaire!$M$15</f>
        <v>13053.253076923074</v>
      </c>
      <c r="AG424" s="805"/>
      <c r="AH424" s="804"/>
      <c r="AI424" s="809">
        <f>[1]Salaire!$N$15</f>
        <v>16316.566346153846</v>
      </c>
      <c r="AJ424" s="805"/>
      <c r="AK424" s="804"/>
      <c r="AL424" s="809">
        <f>[1]Salaire!$O$15</f>
        <v>13053.253076923074</v>
      </c>
      <c r="AM424" s="805"/>
      <c r="AN424" s="804"/>
      <c r="AO424" s="809">
        <f>[1]Salaire!$P$15</f>
        <v>16316.566346153846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cadres</v>
      </c>
      <c r="B425" s="805" t="s">
        <v>120</v>
      </c>
      <c r="C425" s="805"/>
      <c r="D425" s="804"/>
      <c r="E425" s="802">
        <f t="shared" si="95"/>
        <v>561384.08333333326</v>
      </c>
      <c r="F425" s="805"/>
      <c r="G425" s="804"/>
      <c r="H425" s="802">
        <f t="shared" ref="H425:H436" si="96">+SUMIF($B$4:$B$403,$B425,H$4:H$403)</f>
        <v>56733.442307692305</v>
      </c>
      <c r="I425" s="805"/>
      <c r="J425" s="804"/>
      <c r="K425" s="802">
        <f t="shared" ref="K425:K436" si="97">+SUMIF($B$4:$B$403,$B425,K$4:K$403)</f>
        <v>43849.358974358969</v>
      </c>
      <c r="L425" s="805"/>
      <c r="M425" s="804"/>
      <c r="N425" s="802">
        <f t="shared" ref="N425:N436" si="98">+SUMIF($B$4:$B$403,$B425,N$4:N$403)</f>
        <v>43849.358974358969</v>
      </c>
      <c r="O425" s="805"/>
      <c r="P425" s="804"/>
      <c r="Q425" s="802">
        <f t="shared" ref="Q425:Q436" si="99">+SUMIF($B$4:$B$403,$B425,Q$4:Q$403)</f>
        <v>43849.358974358969</v>
      </c>
      <c r="R425" s="805"/>
      <c r="S425" s="804"/>
      <c r="T425" s="802">
        <f t="shared" ref="T425:T436" si="100">+SUMIF($B$4:$B$403,$B425,T$4:T$403)</f>
        <v>49426.282051282054</v>
      </c>
      <c r="U425" s="805"/>
      <c r="V425" s="804"/>
      <c r="W425" s="802">
        <f t="shared" ref="W425:W436" si="101">+SUMIF($B$4:$B$403,$B425,W$4:W$403)</f>
        <v>43849.358974358969</v>
      </c>
      <c r="X425" s="805"/>
      <c r="Y425" s="804"/>
      <c r="Z425" s="802">
        <f t="shared" ref="Z425:Z436" si="102">+SUMIF($B$4:$B$403,$B425,Z$4:Z$403)</f>
        <v>49426.282051282054</v>
      </c>
      <c r="AA425" s="805"/>
      <c r="AB425" s="804"/>
      <c r="AC425" s="802">
        <f t="shared" ref="AC425:AC436" si="103">+SUMIF($B$4:$B$403,$B425,AC$4:AC$403)</f>
        <v>43849.358974358969</v>
      </c>
      <c r="AD425" s="805"/>
      <c r="AE425" s="804"/>
      <c r="AF425" s="802">
        <f t="shared" ref="AF425:AF436" si="104">+SUMIF($B$4:$B$403,$B425,AF$4:AF$403)</f>
        <v>43849.358974358969</v>
      </c>
      <c r="AG425" s="805"/>
      <c r="AH425" s="804"/>
      <c r="AI425" s="802">
        <f t="shared" ref="AI425:AI436" si="105">+SUMIF($B$4:$B$403,$B425,AI$4:AI$403)</f>
        <v>49426.282051282054</v>
      </c>
      <c r="AJ425" s="805"/>
      <c r="AK425" s="804"/>
      <c r="AL425" s="802">
        <f t="shared" ref="AL425:AL436" si="106">+SUMIF($B$4:$B$403,$B425,AL$4:AL$403)</f>
        <v>43849.358974358969</v>
      </c>
      <c r="AM425" s="805"/>
      <c r="AN425" s="804"/>
      <c r="AO425" s="802">
        <f t="shared" ref="AO425:AO436" si="107">+SUMIF($B$4:$B$403,$B425,AO$4:AO$403)</f>
        <v>49426.282051282054</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commis</v>
      </c>
      <c r="B426" s="808" t="s">
        <v>121</v>
      </c>
      <c r="C426" s="808"/>
      <c r="D426" s="807"/>
      <c r="E426" s="796">
        <f t="shared" si="95"/>
        <v>942302.30421893334</v>
      </c>
      <c r="F426" s="808"/>
      <c r="G426" s="807"/>
      <c r="H426" s="796">
        <f t="shared" si="96"/>
        <v>65834.93365786667</v>
      </c>
      <c r="I426" s="808"/>
      <c r="J426" s="807"/>
      <c r="K426" s="796">
        <f t="shared" si="97"/>
        <v>73396.516991199998</v>
      </c>
      <c r="L426" s="808"/>
      <c r="M426" s="807"/>
      <c r="N426" s="796">
        <f t="shared" si="98"/>
        <v>73396.516991199998</v>
      </c>
      <c r="O426" s="808"/>
      <c r="P426" s="807"/>
      <c r="Q426" s="796">
        <f t="shared" si="99"/>
        <v>73396.516991199998</v>
      </c>
      <c r="R426" s="808"/>
      <c r="S426" s="807"/>
      <c r="T426" s="796">
        <f t="shared" si="100"/>
        <v>90672.937905666651</v>
      </c>
      <c r="U426" s="808"/>
      <c r="V426" s="807"/>
      <c r="W426" s="796">
        <f t="shared" si="101"/>
        <v>73396.516991199998</v>
      </c>
      <c r="X426" s="808"/>
      <c r="Y426" s="807"/>
      <c r="Z426" s="796">
        <f t="shared" si="102"/>
        <v>90672.937905666651</v>
      </c>
      <c r="AA426" s="808"/>
      <c r="AB426" s="807"/>
      <c r="AC426" s="796">
        <f t="shared" si="103"/>
        <v>73396.516991199998</v>
      </c>
      <c r="AD426" s="808"/>
      <c r="AE426" s="807"/>
      <c r="AF426" s="796">
        <f t="shared" si="104"/>
        <v>73396.516991199998</v>
      </c>
      <c r="AG426" s="808"/>
      <c r="AH426" s="807"/>
      <c r="AI426" s="796">
        <f t="shared" si="105"/>
        <v>90672.937905666651</v>
      </c>
      <c r="AJ426" s="808"/>
      <c r="AK426" s="807"/>
      <c r="AL426" s="796">
        <f t="shared" si="106"/>
        <v>73396.516991199998</v>
      </c>
      <c r="AM426" s="808"/>
      <c r="AN426" s="807"/>
      <c r="AO426" s="796">
        <f t="shared" si="107"/>
        <v>90672.937905666651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autres</v>
      </c>
      <c r="B427" s="805" t="s">
        <v>122</v>
      </c>
      <c r="C427" s="805"/>
      <c r="D427" s="804"/>
      <c r="E427" s="802">
        <f t="shared" si="95"/>
        <v>323527.80847400002</v>
      </c>
      <c r="F427" s="805"/>
      <c r="G427" s="804"/>
      <c r="H427" s="802">
        <f t="shared" si="96"/>
        <v>24198.78543133333</v>
      </c>
      <c r="I427" s="805"/>
      <c r="J427" s="804"/>
      <c r="K427" s="802">
        <f t="shared" si="97"/>
        <v>19891.452097999998</v>
      </c>
      <c r="L427" s="805"/>
      <c r="M427" s="804"/>
      <c r="N427" s="802">
        <f t="shared" si="98"/>
        <v>35049.351564666664</v>
      </c>
      <c r="O427" s="805"/>
      <c r="P427" s="804"/>
      <c r="Q427" s="802">
        <f t="shared" si="99"/>
        <v>35049.351564666664</v>
      </c>
      <c r="R427" s="805"/>
      <c r="S427" s="804"/>
      <c r="T427" s="802">
        <f t="shared" si="100"/>
        <v>24864.315122499997</v>
      </c>
      <c r="U427" s="805"/>
      <c r="V427" s="804"/>
      <c r="W427" s="802">
        <f t="shared" si="101"/>
        <v>19891.452097999998</v>
      </c>
      <c r="X427" s="805"/>
      <c r="Y427" s="804"/>
      <c r="Z427" s="802">
        <f t="shared" si="102"/>
        <v>24864.315122499997</v>
      </c>
      <c r="AA427" s="805"/>
      <c r="AB427" s="804"/>
      <c r="AC427" s="802">
        <f t="shared" si="103"/>
        <v>19891.452097999998</v>
      </c>
      <c r="AD427" s="805"/>
      <c r="AE427" s="804"/>
      <c r="AF427" s="802">
        <f t="shared" si="104"/>
        <v>19891.452097999998</v>
      </c>
      <c r="AG427" s="805"/>
      <c r="AH427" s="804"/>
      <c r="AI427" s="802">
        <f t="shared" si="105"/>
        <v>40022.214589166659</v>
      </c>
      <c r="AJ427" s="805"/>
      <c r="AK427" s="804"/>
      <c r="AL427" s="802">
        <f t="shared" si="106"/>
        <v>35049.351564666664</v>
      </c>
      <c r="AM427" s="805"/>
      <c r="AN427" s="804"/>
      <c r="AO427" s="802">
        <f t="shared" si="107"/>
        <v>24864.315122499997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Salaires spécialistes</v>
      </c>
      <c r="B428" s="805" t="s">
        <v>123</v>
      </c>
      <c r="C428" s="805"/>
      <c r="D428" s="804"/>
      <c r="E428" s="802">
        <f t="shared" si="95"/>
        <v>443650.36281249998</v>
      </c>
      <c r="F428" s="805"/>
      <c r="G428" s="804"/>
      <c r="H428" s="802">
        <f t="shared" si="96"/>
        <v>26582.196004975034</v>
      </c>
      <c r="I428" s="805"/>
      <c r="J428" s="804"/>
      <c r="K428" s="802">
        <f t="shared" si="97"/>
        <v>26214.917022316586</v>
      </c>
      <c r="L428" s="805"/>
      <c r="M428" s="804"/>
      <c r="N428" s="802">
        <f t="shared" si="98"/>
        <v>29097.697573702389</v>
      </c>
      <c r="O428" s="805"/>
      <c r="P428" s="804"/>
      <c r="Q428" s="802">
        <f t="shared" si="99"/>
        <v>42074.212906812798</v>
      </c>
      <c r="R428" s="805"/>
      <c r="S428" s="804"/>
      <c r="T428" s="802">
        <f t="shared" si="100"/>
        <v>45535.035739912259</v>
      </c>
      <c r="U428" s="805"/>
      <c r="V428" s="804"/>
      <c r="W428" s="802">
        <f t="shared" si="101"/>
        <v>34250.336052268896</v>
      </c>
      <c r="X428" s="805"/>
      <c r="Y428" s="804"/>
      <c r="Z428" s="802">
        <f t="shared" si="102"/>
        <v>38569.755532328607</v>
      </c>
      <c r="AA428" s="805"/>
      <c r="AB428" s="804"/>
      <c r="AC428" s="802">
        <f t="shared" si="103"/>
        <v>33775.083626791886</v>
      </c>
      <c r="AD428" s="805"/>
      <c r="AE428" s="804"/>
      <c r="AF428" s="802">
        <f t="shared" si="104"/>
        <v>33080.915935609577</v>
      </c>
      <c r="AG428" s="805"/>
      <c r="AH428" s="804"/>
      <c r="AI428" s="802">
        <f t="shared" si="105"/>
        <v>44587.883258591624</v>
      </c>
      <c r="AJ428" s="805"/>
      <c r="AK428" s="804"/>
      <c r="AL428" s="802">
        <f t="shared" si="106"/>
        <v>49632.426279108688</v>
      </c>
      <c r="AM428" s="805"/>
      <c r="AN428" s="804"/>
      <c r="AO428" s="802">
        <f t="shared" si="107"/>
        <v>40249.902880081616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39" t="s">
        <v>59</v>
      </c>
      <c r="C429" s="805"/>
      <c r="D429" s="804"/>
      <c r="E429" s="802">
        <f t="shared" si="95"/>
        <v>0</v>
      </c>
      <c r="F429" s="805"/>
      <c r="G429" s="804"/>
      <c r="H429" s="802">
        <f t="shared" si="96"/>
        <v>0</v>
      </c>
      <c r="I429" s="805"/>
      <c r="J429" s="804"/>
      <c r="K429" s="802">
        <f t="shared" si="97"/>
        <v>0</v>
      </c>
      <c r="L429" s="805"/>
      <c r="M429" s="804"/>
      <c r="N429" s="802">
        <f t="shared" si="98"/>
        <v>0</v>
      </c>
      <c r="O429" s="805"/>
      <c r="P429" s="804"/>
      <c r="Q429" s="802">
        <f t="shared" si="99"/>
        <v>0</v>
      </c>
      <c r="R429" s="805"/>
      <c r="S429" s="804"/>
      <c r="T429" s="802">
        <f t="shared" si="100"/>
        <v>0</v>
      </c>
      <c r="U429" s="805"/>
      <c r="V429" s="804"/>
      <c r="W429" s="802">
        <f t="shared" si="101"/>
        <v>0</v>
      </c>
      <c r="X429" s="805"/>
      <c r="Y429" s="804"/>
      <c r="Z429" s="802">
        <f t="shared" si="102"/>
        <v>0</v>
      </c>
      <c r="AA429" s="805"/>
      <c r="AB429" s="804"/>
      <c r="AC429" s="802">
        <f t="shared" si="103"/>
        <v>0</v>
      </c>
      <c r="AD429" s="805"/>
      <c r="AE429" s="804"/>
      <c r="AF429" s="802">
        <f t="shared" si="104"/>
        <v>0</v>
      </c>
      <c r="AG429" s="805"/>
      <c r="AH429" s="804"/>
      <c r="AI429" s="802">
        <f t="shared" si="105"/>
        <v>0</v>
      </c>
      <c r="AJ429" s="805"/>
      <c r="AK429" s="804"/>
      <c r="AL429" s="802">
        <f t="shared" si="106"/>
        <v>0</v>
      </c>
      <c r="AM429" s="805"/>
      <c r="AN429" s="804"/>
      <c r="AO429" s="802">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39" t="s">
        <v>59</v>
      </c>
      <c r="C430" s="805"/>
      <c r="D430" s="804"/>
      <c r="E430" s="802">
        <f t="shared" si="95"/>
        <v>0</v>
      </c>
      <c r="F430" s="805"/>
      <c r="G430" s="804"/>
      <c r="H430" s="802">
        <f t="shared" si="96"/>
        <v>0</v>
      </c>
      <c r="I430" s="805"/>
      <c r="J430" s="804"/>
      <c r="K430" s="802">
        <f t="shared" si="97"/>
        <v>0</v>
      </c>
      <c r="L430" s="805"/>
      <c r="M430" s="804"/>
      <c r="N430" s="802">
        <f t="shared" si="98"/>
        <v>0</v>
      </c>
      <c r="O430" s="805"/>
      <c r="P430" s="804"/>
      <c r="Q430" s="802">
        <f t="shared" si="99"/>
        <v>0</v>
      </c>
      <c r="R430" s="805"/>
      <c r="S430" s="804"/>
      <c r="T430" s="802">
        <f t="shared" si="100"/>
        <v>0</v>
      </c>
      <c r="U430" s="805"/>
      <c r="V430" s="804"/>
      <c r="W430" s="802">
        <f t="shared" si="101"/>
        <v>0</v>
      </c>
      <c r="X430" s="805"/>
      <c r="Y430" s="804"/>
      <c r="Z430" s="802">
        <f t="shared" si="102"/>
        <v>0</v>
      </c>
      <c r="AA430" s="805"/>
      <c r="AB430" s="804"/>
      <c r="AC430" s="802">
        <f t="shared" si="103"/>
        <v>0</v>
      </c>
      <c r="AD430" s="805"/>
      <c r="AE430" s="804"/>
      <c r="AF430" s="802">
        <f t="shared" si="104"/>
        <v>0</v>
      </c>
      <c r="AG430" s="805"/>
      <c r="AH430" s="804"/>
      <c r="AI430" s="802">
        <f t="shared" si="105"/>
        <v>0</v>
      </c>
      <c r="AJ430" s="805"/>
      <c r="AK430" s="804"/>
      <c r="AL430" s="802">
        <f t="shared" si="106"/>
        <v>0</v>
      </c>
      <c r="AM430" s="805"/>
      <c r="AN430" s="804"/>
      <c r="AO430" s="802">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v>
      </c>
      <c r="B431" s="839" t="s">
        <v>59</v>
      </c>
      <c r="C431" s="805"/>
      <c r="D431" s="804"/>
      <c r="E431" s="802">
        <f t="shared" si="95"/>
        <v>0</v>
      </c>
      <c r="F431" s="805"/>
      <c r="G431" s="804"/>
      <c r="H431" s="802">
        <f t="shared" si="96"/>
        <v>0</v>
      </c>
      <c r="I431" s="805"/>
      <c r="J431" s="804"/>
      <c r="K431" s="802">
        <f t="shared" si="97"/>
        <v>0</v>
      </c>
      <c r="L431" s="805"/>
      <c r="M431" s="804"/>
      <c r="N431" s="802">
        <f t="shared" si="98"/>
        <v>0</v>
      </c>
      <c r="O431" s="805"/>
      <c r="P431" s="804"/>
      <c r="Q431" s="802">
        <f t="shared" si="99"/>
        <v>0</v>
      </c>
      <c r="R431" s="805"/>
      <c r="S431" s="804"/>
      <c r="T431" s="802">
        <f t="shared" si="100"/>
        <v>0</v>
      </c>
      <c r="U431" s="805"/>
      <c r="V431" s="804"/>
      <c r="W431" s="802">
        <f t="shared" si="101"/>
        <v>0</v>
      </c>
      <c r="X431" s="805"/>
      <c r="Y431" s="804"/>
      <c r="Z431" s="802">
        <f t="shared" si="102"/>
        <v>0</v>
      </c>
      <c r="AA431" s="805"/>
      <c r="AB431" s="804"/>
      <c r="AC431" s="802">
        <f t="shared" si="103"/>
        <v>0</v>
      </c>
      <c r="AD431" s="805"/>
      <c r="AE431" s="804"/>
      <c r="AF431" s="802">
        <f t="shared" si="104"/>
        <v>0</v>
      </c>
      <c r="AG431" s="805"/>
      <c r="AH431" s="804"/>
      <c r="AI431" s="802">
        <f t="shared" si="105"/>
        <v>0</v>
      </c>
      <c r="AJ431" s="805"/>
      <c r="AK431" s="804"/>
      <c r="AL431" s="802">
        <f t="shared" si="106"/>
        <v>0</v>
      </c>
      <c r="AM431" s="805"/>
      <c r="AN431" s="804"/>
      <c r="AO431" s="802">
        <f t="shared" si="107"/>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Salaires en absences</v>
      </c>
      <c r="B432" s="808" t="s">
        <v>124</v>
      </c>
      <c r="C432" s="808"/>
      <c r="D432" s="810">
        <f>+E432/(SUM(E$424:E$428,E$413:E$414)+D$198-E$198)</f>
        <v>0.10981677069170581</v>
      </c>
      <c r="E432" s="796">
        <f t="shared" si="95"/>
        <v>540304.00894794601</v>
      </c>
      <c r="F432" s="808"/>
      <c r="G432" s="807"/>
      <c r="H432" s="796">
        <f t="shared" si="96"/>
        <v>39962.056021023025</v>
      </c>
      <c r="I432" s="808"/>
      <c r="J432" s="807"/>
      <c r="K432" s="796">
        <f t="shared" si="97"/>
        <v>36975.584803543505</v>
      </c>
      <c r="L432" s="808"/>
      <c r="M432" s="807"/>
      <c r="N432" s="796">
        <f t="shared" si="98"/>
        <v>44273.264722337386</v>
      </c>
      <c r="O432" s="808"/>
      <c r="P432" s="807"/>
      <c r="Q432" s="796">
        <f t="shared" si="99"/>
        <v>48951.061701426923</v>
      </c>
      <c r="R432" s="808"/>
      <c r="S432" s="807"/>
      <c r="T432" s="796">
        <f t="shared" si="100"/>
        <v>52145.808222932275</v>
      </c>
      <c r="U432" s="808"/>
      <c r="V432" s="807"/>
      <c r="W432" s="796">
        <f t="shared" si="101"/>
        <v>42126.315484455015</v>
      </c>
      <c r="X432" s="808"/>
      <c r="Y432" s="807"/>
      <c r="Z432" s="796">
        <f t="shared" si="102"/>
        <v>46596.231715034242</v>
      </c>
      <c r="AA432" s="808"/>
      <c r="AB432" s="807"/>
      <c r="AC432" s="796">
        <f t="shared" si="103"/>
        <v>43344.28868950122</v>
      </c>
      <c r="AD432" s="808"/>
      <c r="AE432" s="807"/>
      <c r="AF432" s="796">
        <f t="shared" si="104"/>
        <v>43632.246377594391</v>
      </c>
      <c r="AG432" s="808"/>
      <c r="AH432" s="807"/>
      <c r="AI432" s="796">
        <f t="shared" si="105"/>
        <v>51646.651814801051</v>
      </c>
      <c r="AJ432" s="808"/>
      <c r="AK432" s="807"/>
      <c r="AL432" s="796">
        <f t="shared" si="106"/>
        <v>49577.056426335628</v>
      </c>
      <c r="AM432" s="808"/>
      <c r="AN432" s="807"/>
      <c r="AO432" s="796">
        <f t="shared" si="107"/>
        <v>41073.442968961375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Déduction à la source</v>
      </c>
      <c r="B433" s="805" t="s">
        <v>125</v>
      </c>
      <c r="C433" s="805"/>
      <c r="D433" s="811">
        <f>+E433/(SUM(E$424:E$428,E$413:E$414)+D$198-E$198)</f>
        <v>0.133521712382867</v>
      </c>
      <c r="E433" s="802">
        <f t="shared" si="95"/>
        <v>656933.50867679785</v>
      </c>
      <c r="F433" s="805"/>
      <c r="G433" s="804"/>
      <c r="H433" s="802">
        <f t="shared" si="96"/>
        <v>48588.226703975131</v>
      </c>
      <c r="I433" s="805"/>
      <c r="J433" s="804"/>
      <c r="K433" s="802">
        <f t="shared" si="97"/>
        <v>44957.09870386788</v>
      </c>
      <c r="L433" s="805"/>
      <c r="M433" s="804"/>
      <c r="N433" s="802">
        <f t="shared" si="98"/>
        <v>53830.048737291276</v>
      </c>
      <c r="O433" s="805"/>
      <c r="P433" s="804"/>
      <c r="Q433" s="802">
        <f t="shared" si="99"/>
        <v>59517.590438739338</v>
      </c>
      <c r="R433" s="805"/>
      <c r="S433" s="804"/>
      <c r="T433" s="802">
        <f t="shared" si="100"/>
        <v>63401.951848146724</v>
      </c>
      <c r="U433" s="805"/>
      <c r="V433" s="804"/>
      <c r="W433" s="802">
        <f t="shared" si="101"/>
        <v>51219.661117663367</v>
      </c>
      <c r="X433" s="805"/>
      <c r="Y433" s="804"/>
      <c r="Z433" s="802">
        <f t="shared" si="102"/>
        <v>56654.449133698028</v>
      </c>
      <c r="AA433" s="805"/>
      <c r="AB433" s="804"/>
      <c r="AC433" s="802">
        <f t="shared" si="103"/>
        <v>52700.544838336289</v>
      </c>
      <c r="AD433" s="805"/>
      <c r="AE433" s="804"/>
      <c r="AF433" s="802">
        <f t="shared" si="104"/>
        <v>53050.660793903313</v>
      </c>
      <c r="AG433" s="805"/>
      <c r="AH433" s="804"/>
      <c r="AI433" s="802">
        <f t="shared" si="105"/>
        <v>62795.048021520226</v>
      </c>
      <c r="AJ433" s="805"/>
      <c r="AK433" s="804"/>
      <c r="AL433" s="802">
        <f t="shared" si="106"/>
        <v>60278.711778275923</v>
      </c>
      <c r="AM433" s="805"/>
      <c r="AN433" s="804"/>
      <c r="AO433" s="802">
        <f t="shared" si="107"/>
        <v>49939.516561380355</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Bénéfices marginaux</v>
      </c>
      <c r="B434" s="1088" t="s">
        <v>126</v>
      </c>
      <c r="C434" s="805"/>
      <c r="D434" s="811">
        <f>+E434/(SUM(E$424:E$428,E$413:E$414)+D$198-E$198)</f>
        <v>6.879270833639016E-2</v>
      </c>
      <c r="E434" s="802">
        <f t="shared" si="95"/>
        <v>338463.56860087189</v>
      </c>
      <c r="F434" s="805"/>
      <c r="G434" s="804"/>
      <c r="H434" s="802">
        <f t="shared" si="96"/>
        <v>25033.499410526318</v>
      </c>
      <c r="I434" s="805"/>
      <c r="J434" s="804"/>
      <c r="K434" s="802">
        <f t="shared" si="97"/>
        <v>23162.679114818882</v>
      </c>
      <c r="L434" s="805"/>
      <c r="M434" s="804"/>
      <c r="N434" s="802">
        <f t="shared" si="98"/>
        <v>27734.177284213107</v>
      </c>
      <c r="O434" s="805"/>
      <c r="P434" s="804"/>
      <c r="Q434" s="802">
        <f t="shared" si="99"/>
        <v>30664.497682567871</v>
      </c>
      <c r="R434" s="805"/>
      <c r="S434" s="804"/>
      <c r="T434" s="802">
        <f t="shared" si="100"/>
        <v>32665.78823480603</v>
      </c>
      <c r="U434" s="805"/>
      <c r="V434" s="804"/>
      <c r="W434" s="802">
        <f t="shared" si="101"/>
        <v>26389.260184535251</v>
      </c>
      <c r="X434" s="805"/>
      <c r="Y434" s="804"/>
      <c r="Z434" s="802">
        <f t="shared" si="102"/>
        <v>29189.357488448764</v>
      </c>
      <c r="AA434" s="805"/>
      <c r="AB434" s="804"/>
      <c r="AC434" s="802">
        <f t="shared" si="103"/>
        <v>27152.237231925432</v>
      </c>
      <c r="AD434" s="805"/>
      <c r="AE434" s="804"/>
      <c r="AF434" s="802">
        <f t="shared" si="104"/>
        <v>27332.623061206701</v>
      </c>
      <c r="AG434" s="805"/>
      <c r="AH434" s="804"/>
      <c r="AI434" s="802">
        <f t="shared" si="105"/>
        <v>32353.100828478895</v>
      </c>
      <c r="AJ434" s="805"/>
      <c r="AK434" s="804"/>
      <c r="AL434" s="802">
        <f t="shared" si="106"/>
        <v>31056.640633589981</v>
      </c>
      <c r="AM434" s="805"/>
      <c r="AN434" s="804"/>
      <c r="AO434" s="802">
        <f t="shared" si="107"/>
        <v>25729.707445754659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Csst</v>
      </c>
      <c r="B435" s="805" t="s">
        <v>127</v>
      </c>
      <c r="C435" s="805"/>
      <c r="D435" s="811">
        <f>+E435/(SUM(E$424:E$428,E$413:E$414)+D$198-E$198)</f>
        <v>2.9994007854122297E-2</v>
      </c>
      <c r="E435" s="802">
        <f t="shared" si="95"/>
        <v>147572.02006507778</v>
      </c>
      <c r="F435" s="805"/>
      <c r="G435" s="804"/>
      <c r="H435" s="802">
        <f t="shared" si="96"/>
        <v>10914.746578429194</v>
      </c>
      <c r="I435" s="805"/>
      <c r="J435" s="804"/>
      <c r="K435" s="802">
        <f t="shared" si="97"/>
        <v>10099.05840449206</v>
      </c>
      <c r="L435" s="805"/>
      <c r="M435" s="804"/>
      <c r="N435" s="802">
        <f t="shared" si="98"/>
        <v>12092.257325043693</v>
      </c>
      <c r="O435" s="805"/>
      <c r="P435" s="804"/>
      <c r="Q435" s="802">
        <f t="shared" si="99"/>
        <v>13369.89350435449</v>
      </c>
      <c r="R435" s="805"/>
      <c r="S435" s="804"/>
      <c r="T435" s="802">
        <f t="shared" si="100"/>
        <v>14242.467444148902</v>
      </c>
      <c r="U435" s="805"/>
      <c r="V435" s="804"/>
      <c r="W435" s="802">
        <f t="shared" si="101"/>
        <v>11505.865903243219</v>
      </c>
      <c r="X435" s="805"/>
      <c r="Y435" s="804"/>
      <c r="Z435" s="802">
        <f t="shared" si="102"/>
        <v>12726.724080758249</v>
      </c>
      <c r="AA435" s="805"/>
      <c r="AB435" s="804"/>
      <c r="AC435" s="802">
        <f t="shared" si="103"/>
        <v>11838.528188321921</v>
      </c>
      <c r="AD435" s="805"/>
      <c r="AE435" s="804"/>
      <c r="AF435" s="802">
        <f t="shared" si="104"/>
        <v>11917.177424717411</v>
      </c>
      <c r="AG435" s="805"/>
      <c r="AH435" s="804"/>
      <c r="AI435" s="802">
        <f t="shared" si="105"/>
        <v>14106.133975848743</v>
      </c>
      <c r="AJ435" s="805"/>
      <c r="AK435" s="804"/>
      <c r="AL435" s="802">
        <f t="shared" si="106"/>
        <v>13540.870037148939</v>
      </c>
      <c r="AM435" s="805"/>
      <c r="AN435" s="804"/>
      <c r="AO435" s="802">
        <f t="shared" si="107"/>
        <v>11218.297198570946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v>
      </c>
      <c r="B436" s="839" t="s">
        <v>59</v>
      </c>
      <c r="C436" s="805"/>
      <c r="D436" s="804"/>
      <c r="E436" s="802">
        <f t="shared" si="95"/>
        <v>0</v>
      </c>
      <c r="F436" s="805"/>
      <c r="G436" s="804"/>
      <c r="H436" s="802">
        <f t="shared" si="96"/>
        <v>0</v>
      </c>
      <c r="I436" s="805"/>
      <c r="J436" s="804"/>
      <c r="K436" s="802">
        <f t="shared" si="97"/>
        <v>0</v>
      </c>
      <c r="L436" s="805"/>
      <c r="M436" s="804"/>
      <c r="N436" s="802">
        <f t="shared" si="98"/>
        <v>0</v>
      </c>
      <c r="O436" s="805"/>
      <c r="P436" s="804"/>
      <c r="Q436" s="802">
        <f t="shared" si="99"/>
        <v>0</v>
      </c>
      <c r="R436" s="805"/>
      <c r="S436" s="804"/>
      <c r="T436" s="802">
        <f t="shared" si="100"/>
        <v>0</v>
      </c>
      <c r="U436" s="805"/>
      <c r="V436" s="804"/>
      <c r="W436" s="802">
        <f t="shared" si="101"/>
        <v>0</v>
      </c>
      <c r="X436" s="805"/>
      <c r="Y436" s="804"/>
      <c r="Z436" s="802">
        <f t="shared" si="102"/>
        <v>0</v>
      </c>
      <c r="AA436" s="805"/>
      <c r="AB436" s="804"/>
      <c r="AC436" s="802">
        <f t="shared" si="103"/>
        <v>0</v>
      </c>
      <c r="AD436" s="805"/>
      <c r="AE436" s="804"/>
      <c r="AF436" s="802">
        <f t="shared" si="104"/>
        <v>0</v>
      </c>
      <c r="AG436" s="805"/>
      <c r="AH436" s="804"/>
      <c r="AI436" s="802">
        <f t="shared" si="105"/>
        <v>0</v>
      </c>
      <c r="AJ436" s="805"/>
      <c r="AK436" s="804"/>
      <c r="AL436" s="802">
        <f t="shared" si="106"/>
        <v>0</v>
      </c>
      <c r="AM436" s="805"/>
      <c r="AN436" s="804"/>
      <c r="AO436" s="802">
        <f t="shared" si="107"/>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TOTAL PERSONNEL</v>
      </c>
      <c r="B437" s="1083" t="s">
        <v>128</v>
      </c>
      <c r="C437" s="1084">
        <f>IFERROR(E437/E411,0)</f>
        <v>0.43499801241935593</v>
      </c>
      <c r="D437" s="1089"/>
      <c r="E437" s="1086">
        <f>SUM(E424:E435)</f>
        <v>4123829.95512946</v>
      </c>
      <c r="F437" s="1084">
        <f>IFERROR(H437/H411,0)</f>
        <v>0.51241847623773473</v>
      </c>
      <c r="G437" s="1089"/>
      <c r="H437" s="1086">
        <f>SUM(H424:H435)</f>
        <v>310901.13919274404</v>
      </c>
      <c r="I437" s="1084">
        <f>IFERROR(K437/K411,0)</f>
        <v>0.47521453608993047</v>
      </c>
      <c r="J437" s="1089"/>
      <c r="K437" s="1086">
        <f>SUM(K424:K435)</f>
        <v>291599.91918952094</v>
      </c>
      <c r="L437" s="1084">
        <f>IFERROR(N437/N411,0)</f>
        <v>0.39732246445112607</v>
      </c>
      <c r="M437" s="1089"/>
      <c r="N437" s="1086">
        <f>SUM(N424:N435)</f>
        <v>332375.92624973657</v>
      </c>
      <c r="O437" s="1084">
        <f>IFERROR(Q437/Q411,0)</f>
        <v>0.40495707995607844</v>
      </c>
      <c r="P437" s="1089"/>
      <c r="Q437" s="1086">
        <f>SUM(Q424:Q435)</f>
        <v>359925.73684105009</v>
      </c>
      <c r="R437" s="1084">
        <f>IFERROR(T437/T411,0)</f>
        <v>0.41132346519388668</v>
      </c>
      <c r="S437" s="1089"/>
      <c r="T437" s="1086">
        <f>SUM(T424:T435)</f>
        <v>389271.15291554877</v>
      </c>
      <c r="U437" s="1084">
        <f>IFERROR(W437/W411,0)</f>
        <v>0.36912426171549256</v>
      </c>
      <c r="V437" s="1089"/>
      <c r="W437" s="1086">
        <f>SUM(W424:W435)</f>
        <v>315682.01988264779</v>
      </c>
      <c r="X437" s="1084">
        <f>IFERROR(Z437/Z411,0)</f>
        <v>0.44986653960661083</v>
      </c>
      <c r="Y437" s="1089"/>
      <c r="Z437" s="1086">
        <f>SUM(Z424:Z435)</f>
        <v>365016.61937587045</v>
      </c>
      <c r="AA437" s="1084">
        <f>IFERROR(AC437/AC411,0)</f>
        <v>0.40529976184082156</v>
      </c>
      <c r="AB437" s="1089"/>
      <c r="AC437" s="1086">
        <f>SUM(AC424:AC435)</f>
        <v>319001.2637153588</v>
      </c>
      <c r="AD437" s="1084">
        <f>IFERROR(AF437/AF411,0)</f>
        <v>0.38857261330773396</v>
      </c>
      <c r="AE437" s="1089"/>
      <c r="AF437" s="1086">
        <f>SUM(AF424:AF435)</f>
        <v>319204.20473351341</v>
      </c>
      <c r="AG437" s="1084">
        <f>IFERROR(AI437/AI411,0)</f>
        <v>0.4879697055408756</v>
      </c>
      <c r="AH437" s="1089"/>
      <c r="AI437" s="1086">
        <f>SUM(AI424:AI435)</f>
        <v>401926.81879150972</v>
      </c>
      <c r="AJ437" s="1084">
        <f>IFERROR(AL437/AL411,0)</f>
        <v>0.43334897659276417</v>
      </c>
      <c r="AK437" s="1089"/>
      <c r="AL437" s="1086">
        <f>SUM(AL424:AL435)</f>
        <v>369434.18576160783</v>
      </c>
      <c r="AM437" s="1084">
        <f>IFERROR(AO437/AO411,0)</f>
        <v>0.54891588053681073</v>
      </c>
      <c r="AN437" s="1089"/>
      <c r="AO437" s="1086">
        <f>SUM(AO424:AO435)</f>
        <v>349490.96848035156</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Publicité 2</v>
      </c>
      <c r="B438" s="1090" t="s">
        <v>129</v>
      </c>
      <c r="C438" s="1090"/>
      <c r="D438" s="1091"/>
      <c r="E438" s="1092">
        <f t="shared" ref="E438:E455" si="108">+SUM(H438,K438,N438,Q438,T438,W438,Z438,AC438,AF438,AI438,AL438,AO438)</f>
        <v>169155.5</v>
      </c>
      <c r="F438" s="1090"/>
      <c r="G438" s="1091"/>
      <c r="H438" s="1092">
        <f t="shared" ref="H438:H455" si="109">+SUMIF($B$4:$B$403,$B438,H$4:H$403)</f>
        <v>23533</v>
      </c>
      <c r="I438" s="1090"/>
      <c r="J438" s="1091"/>
      <c r="K438" s="1092">
        <f t="shared" ref="K438:K455" si="110">+SUMIF($B$4:$B$403,$B438,K$4:K$403)</f>
        <v>7412.5</v>
      </c>
      <c r="L438" s="1090"/>
      <c r="M438" s="1091"/>
      <c r="N438" s="1092">
        <f t="shared" ref="N438:N455" si="111">+SUMIF($B$4:$B$403,$B438,N$4:N$403)</f>
        <v>9895</v>
      </c>
      <c r="O438" s="1090"/>
      <c r="P438" s="1091"/>
      <c r="Q438" s="1092">
        <f t="shared" ref="Q438:Q455" si="112">+SUMIF($B$4:$B$403,$B438,Q$4:Q$403)</f>
        <v>29100</v>
      </c>
      <c r="R438" s="1090"/>
      <c r="S438" s="1091"/>
      <c r="T438" s="1092">
        <f t="shared" ref="T438:T455" si="113">+SUMIF($B$4:$B$403,$B438,T$4:T$403)</f>
        <v>18310</v>
      </c>
      <c r="U438" s="1090"/>
      <c r="V438" s="1091"/>
      <c r="W438" s="1092">
        <f t="shared" ref="W438:W455" si="114">+SUMIF($B$4:$B$403,$B438,W$4:W$403)</f>
        <v>9930</v>
      </c>
      <c r="X438" s="1090"/>
      <c r="Y438" s="1091"/>
      <c r="Z438" s="1092">
        <f t="shared" ref="Z438:Z455" si="115">+SUMIF($B$4:$B$403,$B438,Z$4:Z$403)</f>
        <v>13160</v>
      </c>
      <c r="AA438" s="1090"/>
      <c r="AB438" s="1091"/>
      <c r="AC438" s="1092">
        <f t="shared" ref="AC438:AC455" si="116">+SUMIF($B$4:$B$403,$B438,AC$4:AC$403)</f>
        <v>5740</v>
      </c>
      <c r="AD438" s="1090"/>
      <c r="AE438" s="1091"/>
      <c r="AF438" s="1092">
        <f t="shared" ref="AF438:AF455" si="117">+SUMIF($B$4:$B$403,$B438,AF$4:AF$403)</f>
        <v>7125</v>
      </c>
      <c r="AG438" s="1090"/>
      <c r="AH438" s="1091"/>
      <c r="AI438" s="1092">
        <f t="shared" ref="AI438:AI455" si="118">+SUMIF($B$4:$B$403,$B438,AI$4:AI$403)</f>
        <v>12750</v>
      </c>
      <c r="AJ438" s="1090"/>
      <c r="AK438" s="1091"/>
      <c r="AL438" s="1092">
        <f t="shared" ref="AL438:AL455" si="119">+SUMIF($B$4:$B$403,$B438,AL$4:AL$403)</f>
        <v>21250</v>
      </c>
      <c r="AM438" s="1090"/>
      <c r="AN438" s="1091"/>
      <c r="AO438" s="1092">
        <f t="shared" ref="AO438:AO455" si="120">+SUMIF($B$4:$B$403,$B438,AO$4:AO$403)</f>
        <v>10950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Service gratuit 2</v>
      </c>
      <c r="B439" s="805" t="s">
        <v>130</v>
      </c>
      <c r="C439" s="805"/>
      <c r="D439" s="804"/>
      <c r="E439" s="802">
        <f t="shared" si="108"/>
        <v>54544.5739536685</v>
      </c>
      <c r="F439" s="805"/>
      <c r="G439" s="804"/>
      <c r="H439" s="802">
        <f t="shared" si="109"/>
        <v>4545.3811628057083</v>
      </c>
      <c r="I439" s="805"/>
      <c r="J439" s="804"/>
      <c r="K439" s="802">
        <f t="shared" si="110"/>
        <v>4545.3811628057083</v>
      </c>
      <c r="L439" s="805"/>
      <c r="M439" s="804"/>
      <c r="N439" s="802">
        <f t="shared" si="111"/>
        <v>4545.3811628057083</v>
      </c>
      <c r="O439" s="805"/>
      <c r="P439" s="804"/>
      <c r="Q439" s="802">
        <f t="shared" si="112"/>
        <v>4545.3811628057083</v>
      </c>
      <c r="R439" s="805"/>
      <c r="S439" s="804"/>
      <c r="T439" s="802">
        <f t="shared" si="113"/>
        <v>4545.3811628057083</v>
      </c>
      <c r="U439" s="805"/>
      <c r="V439" s="804"/>
      <c r="W439" s="802">
        <f t="shared" si="114"/>
        <v>4545.3811628057083</v>
      </c>
      <c r="X439" s="805"/>
      <c r="Y439" s="804"/>
      <c r="Z439" s="802">
        <f t="shared" si="115"/>
        <v>4545.3811628057083</v>
      </c>
      <c r="AA439" s="805"/>
      <c r="AB439" s="804"/>
      <c r="AC439" s="802">
        <f t="shared" si="116"/>
        <v>4545.3811628057083</v>
      </c>
      <c r="AD439" s="805"/>
      <c r="AE439" s="804"/>
      <c r="AF439" s="802">
        <f t="shared" si="117"/>
        <v>4545.3811628057083</v>
      </c>
      <c r="AG439" s="805"/>
      <c r="AH439" s="804"/>
      <c r="AI439" s="802">
        <f t="shared" si="118"/>
        <v>4545.3811628057083</v>
      </c>
      <c r="AJ439" s="805"/>
      <c r="AK439" s="804"/>
      <c r="AL439" s="802">
        <f t="shared" si="119"/>
        <v>4545.3811628057083</v>
      </c>
      <c r="AM439" s="805"/>
      <c r="AN439" s="804"/>
      <c r="AO439" s="802">
        <f t="shared" si="120"/>
        <v>4545.3811628057083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Frais véhicules de cie</v>
      </c>
      <c r="B440" s="808" t="s">
        <v>131</v>
      </c>
      <c r="C440" s="808"/>
      <c r="D440" s="807"/>
      <c r="E440" s="796">
        <f t="shared" si="108"/>
        <v>296511.17600000009</v>
      </c>
      <c r="F440" s="808"/>
      <c r="G440" s="807"/>
      <c r="H440" s="796">
        <f t="shared" si="109"/>
        <v>22709.26466666667</v>
      </c>
      <c r="I440" s="808"/>
      <c r="J440" s="807"/>
      <c r="K440" s="796">
        <f t="shared" si="110"/>
        <v>22709.26466666667</v>
      </c>
      <c r="L440" s="808"/>
      <c r="M440" s="807"/>
      <c r="N440" s="796">
        <f t="shared" si="111"/>
        <v>25709.26466666667</v>
      </c>
      <c r="O440" s="808"/>
      <c r="P440" s="807"/>
      <c r="Q440" s="796">
        <f t="shared" si="112"/>
        <v>27709.26466666667</v>
      </c>
      <c r="R440" s="808"/>
      <c r="S440" s="807"/>
      <c r="T440" s="796">
        <f t="shared" si="113"/>
        <v>27709.26466666667</v>
      </c>
      <c r="U440" s="808"/>
      <c r="V440" s="807"/>
      <c r="W440" s="796">
        <f t="shared" si="114"/>
        <v>22709.26466666667</v>
      </c>
      <c r="X440" s="808"/>
      <c r="Y440" s="807"/>
      <c r="Z440" s="796">
        <f t="shared" si="115"/>
        <v>22709.26466666667</v>
      </c>
      <c r="AA440" s="808"/>
      <c r="AB440" s="807"/>
      <c r="AC440" s="796">
        <f t="shared" si="116"/>
        <v>22709.26466666667</v>
      </c>
      <c r="AD440" s="808"/>
      <c r="AE440" s="807"/>
      <c r="AF440" s="796">
        <f t="shared" si="117"/>
        <v>22709.26466666667</v>
      </c>
      <c r="AG440" s="808"/>
      <c r="AH440" s="807"/>
      <c r="AI440" s="796">
        <f t="shared" si="118"/>
        <v>25709.26466666667</v>
      </c>
      <c r="AJ440" s="808"/>
      <c r="AK440" s="807"/>
      <c r="AL440" s="796">
        <f t="shared" si="119"/>
        <v>30709.264666666666</v>
      </c>
      <c r="AM440" s="808"/>
      <c r="AN440" s="807"/>
      <c r="AO440" s="796">
        <f t="shared" si="120"/>
        <v>22709.26466666667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Informatique</v>
      </c>
      <c r="B441" s="805" t="s">
        <v>132</v>
      </c>
      <c r="C441" s="805"/>
      <c r="D441" s="804"/>
      <c r="E441" s="802">
        <f t="shared" si="108"/>
        <v>292230</v>
      </c>
      <c r="F441" s="805"/>
      <c r="G441" s="804"/>
      <c r="H441" s="802">
        <f t="shared" si="109"/>
        <v>34390</v>
      </c>
      <c r="I441" s="805"/>
      <c r="J441" s="804"/>
      <c r="K441" s="802">
        <f t="shared" si="110"/>
        <v>23440</v>
      </c>
      <c r="L441" s="805"/>
      <c r="M441" s="804"/>
      <c r="N441" s="802">
        <f t="shared" si="111"/>
        <v>23440</v>
      </c>
      <c r="O441" s="805"/>
      <c r="P441" s="804"/>
      <c r="Q441" s="802">
        <f t="shared" si="112"/>
        <v>23440</v>
      </c>
      <c r="R441" s="805"/>
      <c r="S441" s="804"/>
      <c r="T441" s="802">
        <f t="shared" si="113"/>
        <v>23440</v>
      </c>
      <c r="U441" s="805"/>
      <c r="V441" s="804"/>
      <c r="W441" s="802">
        <f t="shared" si="114"/>
        <v>23440</v>
      </c>
      <c r="X441" s="805"/>
      <c r="Y441" s="804"/>
      <c r="Z441" s="802">
        <f t="shared" si="115"/>
        <v>23440</v>
      </c>
      <c r="AA441" s="805"/>
      <c r="AB441" s="804"/>
      <c r="AC441" s="802">
        <f t="shared" si="116"/>
        <v>23440</v>
      </c>
      <c r="AD441" s="805"/>
      <c r="AE441" s="804"/>
      <c r="AF441" s="802">
        <f t="shared" si="117"/>
        <v>23440</v>
      </c>
      <c r="AG441" s="805"/>
      <c r="AH441" s="804"/>
      <c r="AI441" s="802">
        <f t="shared" si="118"/>
        <v>23440</v>
      </c>
      <c r="AJ441" s="805"/>
      <c r="AK441" s="804"/>
      <c r="AL441" s="802">
        <f t="shared" si="119"/>
        <v>23440</v>
      </c>
      <c r="AM441" s="805"/>
      <c r="AN441" s="804"/>
      <c r="AO441" s="802">
        <f t="shared" si="120"/>
        <v>23440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Frais de déplacement</v>
      </c>
      <c r="B442" s="805" t="s">
        <v>133</v>
      </c>
      <c r="C442" s="805"/>
      <c r="D442" s="804"/>
      <c r="E442" s="802">
        <f t="shared" si="108"/>
        <v>57000</v>
      </c>
      <c r="F442" s="805"/>
      <c r="G442" s="804"/>
      <c r="H442" s="802">
        <f t="shared" si="109"/>
        <v>4750</v>
      </c>
      <c r="I442" s="805"/>
      <c r="J442" s="804"/>
      <c r="K442" s="802">
        <f t="shared" si="110"/>
        <v>4750</v>
      </c>
      <c r="L442" s="805"/>
      <c r="M442" s="804"/>
      <c r="N442" s="802">
        <f t="shared" si="111"/>
        <v>4750</v>
      </c>
      <c r="O442" s="805"/>
      <c r="P442" s="804"/>
      <c r="Q442" s="802">
        <f t="shared" si="112"/>
        <v>4750</v>
      </c>
      <c r="R442" s="805"/>
      <c r="S442" s="804"/>
      <c r="T442" s="802">
        <f t="shared" si="113"/>
        <v>4750</v>
      </c>
      <c r="U442" s="805"/>
      <c r="V442" s="804"/>
      <c r="W442" s="802">
        <f t="shared" si="114"/>
        <v>4750</v>
      </c>
      <c r="X442" s="805"/>
      <c r="Y442" s="804"/>
      <c r="Z442" s="802">
        <f t="shared" si="115"/>
        <v>4750</v>
      </c>
      <c r="AA442" s="805"/>
      <c r="AB442" s="804"/>
      <c r="AC442" s="802">
        <f t="shared" si="116"/>
        <v>4750</v>
      </c>
      <c r="AD442" s="805"/>
      <c r="AE442" s="804"/>
      <c r="AF442" s="802">
        <f t="shared" si="117"/>
        <v>4750</v>
      </c>
      <c r="AG442" s="805"/>
      <c r="AH442" s="804"/>
      <c r="AI442" s="802">
        <f t="shared" si="118"/>
        <v>4750</v>
      </c>
      <c r="AJ442" s="805"/>
      <c r="AK442" s="804"/>
      <c r="AL442" s="802">
        <f t="shared" si="119"/>
        <v>4750</v>
      </c>
      <c r="AM442" s="805"/>
      <c r="AN442" s="804"/>
      <c r="AO442" s="802">
        <f t="shared" si="120"/>
        <v>4750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9"/>
        <v>Services extérieurs</v>
      </c>
      <c r="B443" s="805" t="s">
        <v>134</v>
      </c>
      <c r="C443" s="805"/>
      <c r="D443" s="804"/>
      <c r="E443" s="802">
        <f t="shared" si="108"/>
        <v>474592</v>
      </c>
      <c r="F443" s="805"/>
      <c r="G443" s="804"/>
      <c r="H443" s="802">
        <f t="shared" si="109"/>
        <v>41625.695350967435</v>
      </c>
      <c r="I443" s="805"/>
      <c r="J443" s="804"/>
      <c r="K443" s="802">
        <f t="shared" si="110"/>
        <v>37183.201815916793</v>
      </c>
      <c r="L443" s="805"/>
      <c r="M443" s="804"/>
      <c r="N443" s="802">
        <f t="shared" si="111"/>
        <v>36945.776346529616</v>
      </c>
      <c r="O443" s="805"/>
      <c r="P443" s="804"/>
      <c r="Q443" s="802">
        <f t="shared" si="112"/>
        <v>34872.261139771297</v>
      </c>
      <c r="R443" s="805"/>
      <c r="S443" s="804"/>
      <c r="T443" s="802">
        <f t="shared" si="113"/>
        <v>38534.809416782649</v>
      </c>
      <c r="U443" s="805"/>
      <c r="V443" s="804"/>
      <c r="W443" s="802">
        <f t="shared" si="114"/>
        <v>37576.658137768012</v>
      </c>
      <c r="X443" s="805"/>
      <c r="Y443" s="804"/>
      <c r="Z443" s="802">
        <f t="shared" si="115"/>
        <v>37935.628112932754</v>
      </c>
      <c r="AA443" s="805"/>
      <c r="AB443" s="804"/>
      <c r="AC443" s="802">
        <f t="shared" si="116"/>
        <v>35726.434774047739</v>
      </c>
      <c r="AD443" s="805"/>
      <c r="AE443" s="804"/>
      <c r="AF443" s="802">
        <f t="shared" si="117"/>
        <v>35341.529442293468</v>
      </c>
      <c r="AG443" s="805"/>
      <c r="AH443" s="804"/>
      <c r="AI443" s="802">
        <f t="shared" si="118"/>
        <v>43468.873848883632</v>
      </c>
      <c r="AJ443" s="805"/>
      <c r="AK443" s="804"/>
      <c r="AL443" s="802">
        <f t="shared" si="119"/>
        <v>41351.589150026848</v>
      </c>
      <c r="AM443" s="805"/>
      <c r="AN443" s="804"/>
      <c r="AO443" s="802">
        <f t="shared" si="120"/>
        <v>54029.542464079801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700" t="s">
        <v>489</v>
      </c>
      <c r="C444" s="805"/>
      <c r="D444" s="804"/>
      <c r="E444" s="802">
        <f t="shared" si="108"/>
        <v>0</v>
      </c>
      <c r="F444" s="805"/>
      <c r="G444" s="804"/>
      <c r="H444" s="802">
        <f t="shared" si="109"/>
        <v>0</v>
      </c>
      <c r="I444" s="805"/>
      <c r="J444" s="804"/>
      <c r="K444" s="802">
        <f t="shared" si="110"/>
        <v>0</v>
      </c>
      <c r="L444" s="805"/>
      <c r="M444" s="804"/>
      <c r="N444" s="802">
        <f t="shared" si="111"/>
        <v>0</v>
      </c>
      <c r="O444" s="805"/>
      <c r="P444" s="804"/>
      <c r="Q444" s="802">
        <f t="shared" si="112"/>
        <v>0</v>
      </c>
      <c r="R444" s="805"/>
      <c r="S444" s="804"/>
      <c r="T444" s="802">
        <f t="shared" si="113"/>
        <v>0</v>
      </c>
      <c r="U444" s="805"/>
      <c r="V444" s="804"/>
      <c r="W444" s="802">
        <f t="shared" si="114"/>
        <v>0</v>
      </c>
      <c r="X444" s="805"/>
      <c r="Y444" s="804"/>
      <c r="Z444" s="802">
        <f t="shared" si="115"/>
        <v>0</v>
      </c>
      <c r="AA444" s="805"/>
      <c r="AB444" s="804"/>
      <c r="AC444" s="802">
        <f t="shared" si="116"/>
        <v>0</v>
      </c>
      <c r="AD444" s="805"/>
      <c r="AE444" s="804"/>
      <c r="AF444" s="802">
        <f t="shared" si="117"/>
        <v>0</v>
      </c>
      <c r="AG444" s="805"/>
      <c r="AH444" s="804"/>
      <c r="AI444" s="802">
        <f t="shared" si="118"/>
        <v>0</v>
      </c>
      <c r="AJ444" s="805"/>
      <c r="AK444" s="804"/>
      <c r="AL444" s="802">
        <f t="shared" si="119"/>
        <v>0</v>
      </c>
      <c r="AM444" s="805"/>
      <c r="AN444" s="804"/>
      <c r="AO444" s="802">
        <f t="shared" si="120"/>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121">B445</f>
        <v>Fournitures autres</v>
      </c>
      <c r="B445" s="1090" t="s">
        <v>135</v>
      </c>
      <c r="C445" s="1090"/>
      <c r="D445" s="1091"/>
      <c r="E445" s="1092">
        <f t="shared" si="108"/>
        <v>62040</v>
      </c>
      <c r="F445" s="1090"/>
      <c r="G445" s="1091"/>
      <c r="H445" s="1092">
        <f t="shared" si="109"/>
        <v>5170</v>
      </c>
      <c r="I445" s="1090"/>
      <c r="J445" s="1091"/>
      <c r="K445" s="1092">
        <f t="shared" si="110"/>
        <v>5170</v>
      </c>
      <c r="L445" s="1090"/>
      <c r="M445" s="1091"/>
      <c r="N445" s="1092">
        <f t="shared" si="111"/>
        <v>5170</v>
      </c>
      <c r="O445" s="1090"/>
      <c r="P445" s="1091"/>
      <c r="Q445" s="1092">
        <f t="shared" si="112"/>
        <v>5170</v>
      </c>
      <c r="R445" s="1090"/>
      <c r="S445" s="1091"/>
      <c r="T445" s="1092">
        <f t="shared" si="113"/>
        <v>5170</v>
      </c>
      <c r="U445" s="1090"/>
      <c r="V445" s="1091"/>
      <c r="W445" s="1092">
        <f t="shared" si="114"/>
        <v>5170</v>
      </c>
      <c r="X445" s="1090"/>
      <c r="Y445" s="1091"/>
      <c r="Z445" s="1092">
        <f t="shared" si="115"/>
        <v>5170</v>
      </c>
      <c r="AA445" s="1090"/>
      <c r="AB445" s="1091"/>
      <c r="AC445" s="1092">
        <f t="shared" si="116"/>
        <v>5170</v>
      </c>
      <c r="AD445" s="1090"/>
      <c r="AE445" s="1091"/>
      <c r="AF445" s="1092">
        <f t="shared" si="117"/>
        <v>5170</v>
      </c>
      <c r="AG445" s="1090"/>
      <c r="AH445" s="1091"/>
      <c r="AI445" s="1092">
        <f t="shared" si="118"/>
        <v>5170</v>
      </c>
      <c r="AJ445" s="1090"/>
      <c r="AK445" s="1091"/>
      <c r="AL445" s="1092">
        <f t="shared" si="119"/>
        <v>5170</v>
      </c>
      <c r="AM445" s="1090"/>
      <c r="AN445" s="1091"/>
      <c r="AO445" s="1092">
        <f t="shared" si="120"/>
        <v>5170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1"/>
        <v>Uniformes</v>
      </c>
      <c r="B446" s="805" t="s">
        <v>136</v>
      </c>
      <c r="C446" s="805"/>
      <c r="D446" s="804"/>
      <c r="E446" s="802">
        <f t="shared" si="108"/>
        <v>27000</v>
      </c>
      <c r="F446" s="805"/>
      <c r="G446" s="804"/>
      <c r="H446" s="802">
        <f t="shared" si="109"/>
        <v>1000</v>
      </c>
      <c r="I446" s="805"/>
      <c r="J446" s="804"/>
      <c r="K446" s="802">
        <f t="shared" si="110"/>
        <v>1000</v>
      </c>
      <c r="L446" s="805"/>
      <c r="M446" s="804"/>
      <c r="N446" s="802">
        <f t="shared" si="111"/>
        <v>1000</v>
      </c>
      <c r="O446" s="805"/>
      <c r="P446" s="804"/>
      <c r="Q446" s="802">
        <f t="shared" si="112"/>
        <v>16000</v>
      </c>
      <c r="R446" s="805"/>
      <c r="S446" s="804"/>
      <c r="T446" s="802">
        <f t="shared" si="113"/>
        <v>1000</v>
      </c>
      <c r="U446" s="805"/>
      <c r="V446" s="804"/>
      <c r="W446" s="802">
        <f t="shared" si="114"/>
        <v>1000</v>
      </c>
      <c r="X446" s="805"/>
      <c r="Y446" s="804"/>
      <c r="Z446" s="802">
        <f t="shared" si="115"/>
        <v>1000</v>
      </c>
      <c r="AA446" s="805"/>
      <c r="AB446" s="804"/>
      <c r="AC446" s="802">
        <f t="shared" si="116"/>
        <v>1000</v>
      </c>
      <c r="AD446" s="805"/>
      <c r="AE446" s="804"/>
      <c r="AF446" s="802">
        <f t="shared" si="117"/>
        <v>1000</v>
      </c>
      <c r="AG446" s="805"/>
      <c r="AH446" s="804"/>
      <c r="AI446" s="802">
        <f t="shared" si="118"/>
        <v>1000</v>
      </c>
      <c r="AJ446" s="805"/>
      <c r="AK446" s="804"/>
      <c r="AL446" s="802">
        <f t="shared" si="119"/>
        <v>1000</v>
      </c>
      <c r="AM446" s="805"/>
      <c r="AN446" s="804"/>
      <c r="AO446" s="802">
        <f t="shared" si="120"/>
        <v>1000</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1"/>
        <v>Papeterie</v>
      </c>
      <c r="B447" s="805" t="s">
        <v>137</v>
      </c>
      <c r="C447" s="805"/>
      <c r="D447" s="804"/>
      <c r="E447" s="802">
        <f t="shared" si="108"/>
        <v>27642</v>
      </c>
      <c r="F447" s="805"/>
      <c r="G447" s="804"/>
      <c r="H447" s="802">
        <f t="shared" si="109"/>
        <v>2303.5</v>
      </c>
      <c r="I447" s="805"/>
      <c r="J447" s="804"/>
      <c r="K447" s="802">
        <f t="shared" si="110"/>
        <v>2303.5</v>
      </c>
      <c r="L447" s="805"/>
      <c r="M447" s="804"/>
      <c r="N447" s="802">
        <f t="shared" si="111"/>
        <v>2303.5</v>
      </c>
      <c r="O447" s="805"/>
      <c r="P447" s="804"/>
      <c r="Q447" s="802">
        <f t="shared" si="112"/>
        <v>2303.5</v>
      </c>
      <c r="R447" s="805"/>
      <c r="S447" s="804"/>
      <c r="T447" s="802">
        <f t="shared" si="113"/>
        <v>2303.5</v>
      </c>
      <c r="U447" s="805"/>
      <c r="V447" s="804"/>
      <c r="W447" s="802">
        <f t="shared" si="114"/>
        <v>2303.5</v>
      </c>
      <c r="X447" s="805"/>
      <c r="Y447" s="804"/>
      <c r="Z447" s="802">
        <f t="shared" si="115"/>
        <v>2303.5</v>
      </c>
      <c r="AA447" s="805"/>
      <c r="AB447" s="804"/>
      <c r="AC447" s="802">
        <f t="shared" si="116"/>
        <v>2303.5</v>
      </c>
      <c r="AD447" s="805"/>
      <c r="AE447" s="804"/>
      <c r="AF447" s="802">
        <f t="shared" si="117"/>
        <v>2303.5</v>
      </c>
      <c r="AG447" s="805"/>
      <c r="AH447" s="804"/>
      <c r="AI447" s="802">
        <f t="shared" si="118"/>
        <v>2303.5</v>
      </c>
      <c r="AJ447" s="805"/>
      <c r="AK447" s="804"/>
      <c r="AL447" s="802">
        <f t="shared" si="119"/>
        <v>2303.5</v>
      </c>
      <c r="AM447" s="805"/>
      <c r="AN447" s="804"/>
      <c r="AO447" s="802">
        <f t="shared" si="120"/>
        <v>2303.5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1"/>
        <v>Téléphone</v>
      </c>
      <c r="B448" s="805" t="s">
        <v>138</v>
      </c>
      <c r="C448" s="805"/>
      <c r="D448" s="804"/>
      <c r="E448" s="802">
        <f t="shared" si="108"/>
        <v>10762.5</v>
      </c>
      <c r="F448" s="805"/>
      <c r="G448" s="804"/>
      <c r="H448" s="802">
        <f t="shared" si="109"/>
        <v>896.875</v>
      </c>
      <c r="I448" s="805"/>
      <c r="J448" s="804"/>
      <c r="K448" s="802">
        <f t="shared" si="110"/>
        <v>896.875</v>
      </c>
      <c r="L448" s="805"/>
      <c r="M448" s="804"/>
      <c r="N448" s="802">
        <f t="shared" si="111"/>
        <v>896.875</v>
      </c>
      <c r="O448" s="805"/>
      <c r="P448" s="804"/>
      <c r="Q448" s="802">
        <f t="shared" si="112"/>
        <v>896.875</v>
      </c>
      <c r="R448" s="805"/>
      <c r="S448" s="804"/>
      <c r="T448" s="802">
        <f t="shared" si="113"/>
        <v>896.875</v>
      </c>
      <c r="U448" s="805"/>
      <c r="V448" s="804"/>
      <c r="W448" s="802">
        <f t="shared" si="114"/>
        <v>896.875</v>
      </c>
      <c r="X448" s="805"/>
      <c r="Y448" s="804"/>
      <c r="Z448" s="802">
        <f t="shared" si="115"/>
        <v>896.875</v>
      </c>
      <c r="AA448" s="805"/>
      <c r="AB448" s="804"/>
      <c r="AC448" s="802">
        <f t="shared" si="116"/>
        <v>896.875</v>
      </c>
      <c r="AD448" s="805"/>
      <c r="AE448" s="804"/>
      <c r="AF448" s="802">
        <f t="shared" si="117"/>
        <v>896.875</v>
      </c>
      <c r="AG448" s="805"/>
      <c r="AH448" s="804"/>
      <c r="AI448" s="802">
        <f t="shared" si="118"/>
        <v>896.875</v>
      </c>
      <c r="AJ448" s="805"/>
      <c r="AK448" s="804"/>
      <c r="AL448" s="802">
        <f t="shared" si="119"/>
        <v>896.875</v>
      </c>
      <c r="AM448" s="805"/>
      <c r="AN448" s="804"/>
      <c r="AO448" s="802">
        <f t="shared" si="120"/>
        <v>896.875</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1"/>
        <v>Frais postaux</v>
      </c>
      <c r="B449" s="805" t="s">
        <v>139</v>
      </c>
      <c r="C449" s="805"/>
      <c r="D449" s="804"/>
      <c r="E449" s="802">
        <f t="shared" si="108"/>
        <v>8546.9999999999982</v>
      </c>
      <c r="F449" s="805"/>
      <c r="G449" s="804"/>
      <c r="H449" s="802">
        <f t="shared" si="109"/>
        <v>712.24999999999989</v>
      </c>
      <c r="I449" s="805"/>
      <c r="J449" s="804"/>
      <c r="K449" s="802">
        <f t="shared" si="110"/>
        <v>712.24999999999989</v>
      </c>
      <c r="L449" s="805"/>
      <c r="M449" s="804"/>
      <c r="N449" s="802">
        <f t="shared" si="111"/>
        <v>712.24999999999989</v>
      </c>
      <c r="O449" s="805"/>
      <c r="P449" s="804"/>
      <c r="Q449" s="802">
        <f t="shared" si="112"/>
        <v>712.24999999999989</v>
      </c>
      <c r="R449" s="805"/>
      <c r="S449" s="804"/>
      <c r="T449" s="802">
        <f t="shared" si="113"/>
        <v>712.24999999999989</v>
      </c>
      <c r="U449" s="805"/>
      <c r="V449" s="804"/>
      <c r="W449" s="802">
        <f t="shared" si="114"/>
        <v>712.24999999999989</v>
      </c>
      <c r="X449" s="805"/>
      <c r="Y449" s="804"/>
      <c r="Z449" s="802">
        <f t="shared" si="115"/>
        <v>712.24999999999989</v>
      </c>
      <c r="AA449" s="805"/>
      <c r="AB449" s="804"/>
      <c r="AC449" s="802">
        <f t="shared" si="116"/>
        <v>712.24999999999989</v>
      </c>
      <c r="AD449" s="805"/>
      <c r="AE449" s="804"/>
      <c r="AF449" s="802">
        <f t="shared" si="117"/>
        <v>712.24999999999989</v>
      </c>
      <c r="AG449" s="805"/>
      <c r="AH449" s="804"/>
      <c r="AI449" s="802">
        <f t="shared" si="118"/>
        <v>712.24999999999989</v>
      </c>
      <c r="AJ449" s="805"/>
      <c r="AK449" s="804"/>
      <c r="AL449" s="802">
        <f t="shared" si="119"/>
        <v>712.24999999999989</v>
      </c>
      <c r="AM449" s="805"/>
      <c r="AN449" s="804"/>
      <c r="AO449" s="802">
        <f t="shared" si="120"/>
        <v>712.24999999999989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1"/>
        <v>Divers</v>
      </c>
      <c r="B450" s="805" t="s">
        <v>140</v>
      </c>
      <c r="C450" s="805"/>
      <c r="D450" s="804"/>
      <c r="E450" s="802">
        <f t="shared" si="108"/>
        <v>4500</v>
      </c>
      <c r="F450" s="805"/>
      <c r="G450" s="804"/>
      <c r="H450" s="802">
        <f t="shared" si="109"/>
        <v>375</v>
      </c>
      <c r="I450" s="805"/>
      <c r="J450" s="804"/>
      <c r="K450" s="802">
        <f t="shared" si="110"/>
        <v>375</v>
      </c>
      <c r="L450" s="805"/>
      <c r="M450" s="804"/>
      <c r="N450" s="802">
        <f t="shared" si="111"/>
        <v>375</v>
      </c>
      <c r="O450" s="805"/>
      <c r="P450" s="804"/>
      <c r="Q450" s="802">
        <f t="shared" si="112"/>
        <v>375</v>
      </c>
      <c r="R450" s="805"/>
      <c r="S450" s="804"/>
      <c r="T450" s="802">
        <f t="shared" si="113"/>
        <v>375</v>
      </c>
      <c r="U450" s="805"/>
      <c r="V450" s="804"/>
      <c r="W450" s="802">
        <f t="shared" si="114"/>
        <v>375</v>
      </c>
      <c r="X450" s="805"/>
      <c r="Y450" s="804"/>
      <c r="Z450" s="802">
        <f t="shared" si="115"/>
        <v>375</v>
      </c>
      <c r="AA450" s="805"/>
      <c r="AB450" s="804"/>
      <c r="AC450" s="802">
        <f t="shared" si="116"/>
        <v>375</v>
      </c>
      <c r="AD450" s="805"/>
      <c r="AE450" s="804"/>
      <c r="AF450" s="802">
        <f t="shared" si="117"/>
        <v>375</v>
      </c>
      <c r="AG450" s="805"/>
      <c r="AH450" s="804"/>
      <c r="AI450" s="802">
        <f t="shared" si="118"/>
        <v>375</v>
      </c>
      <c r="AJ450" s="805"/>
      <c r="AK450" s="804"/>
      <c r="AL450" s="802">
        <f t="shared" si="119"/>
        <v>375</v>
      </c>
      <c r="AM450" s="805"/>
      <c r="AN450" s="804"/>
      <c r="AO450" s="802">
        <f t="shared" si="120"/>
        <v>375</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1"/>
        <v>Formation</v>
      </c>
      <c r="B451" s="805" t="s">
        <v>141</v>
      </c>
      <c r="C451" s="805"/>
      <c r="D451" s="804"/>
      <c r="E451" s="802">
        <f t="shared" si="108"/>
        <v>54000</v>
      </c>
      <c r="F451" s="805"/>
      <c r="G451" s="804"/>
      <c r="H451" s="802">
        <f t="shared" si="109"/>
        <v>4500</v>
      </c>
      <c r="I451" s="805"/>
      <c r="J451" s="804"/>
      <c r="K451" s="802">
        <f t="shared" si="110"/>
        <v>4500</v>
      </c>
      <c r="L451" s="805"/>
      <c r="M451" s="804"/>
      <c r="N451" s="802">
        <f t="shared" si="111"/>
        <v>4500</v>
      </c>
      <c r="O451" s="805"/>
      <c r="P451" s="804"/>
      <c r="Q451" s="802">
        <f t="shared" si="112"/>
        <v>4500</v>
      </c>
      <c r="R451" s="805"/>
      <c r="S451" s="804"/>
      <c r="T451" s="802">
        <f t="shared" si="113"/>
        <v>4500</v>
      </c>
      <c r="U451" s="805"/>
      <c r="V451" s="804"/>
      <c r="W451" s="802">
        <f t="shared" si="114"/>
        <v>4500</v>
      </c>
      <c r="X451" s="805"/>
      <c r="Y451" s="804"/>
      <c r="Z451" s="802">
        <f t="shared" si="115"/>
        <v>4500</v>
      </c>
      <c r="AA451" s="805"/>
      <c r="AB451" s="804"/>
      <c r="AC451" s="802">
        <f t="shared" si="116"/>
        <v>4500</v>
      </c>
      <c r="AD451" s="805"/>
      <c r="AE451" s="804"/>
      <c r="AF451" s="802">
        <f t="shared" si="117"/>
        <v>4500</v>
      </c>
      <c r="AG451" s="805"/>
      <c r="AH451" s="804"/>
      <c r="AI451" s="802">
        <f t="shared" si="118"/>
        <v>4500</v>
      </c>
      <c r="AJ451" s="805"/>
      <c r="AK451" s="804"/>
      <c r="AL451" s="802">
        <f t="shared" si="119"/>
        <v>4500</v>
      </c>
      <c r="AM451" s="805"/>
      <c r="AN451" s="804"/>
      <c r="AO451" s="802">
        <f t="shared" si="120"/>
        <v>4500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1"/>
        <v>Frais bancaires</v>
      </c>
      <c r="B452" s="805" t="s">
        <v>142</v>
      </c>
      <c r="C452" s="805"/>
      <c r="D452" s="804"/>
      <c r="E452" s="802">
        <f t="shared" si="108"/>
        <v>99084.945900144638</v>
      </c>
      <c r="F452" s="805"/>
      <c r="G452" s="804"/>
      <c r="H452" s="802">
        <f t="shared" si="109"/>
        <v>6343.6460926935779</v>
      </c>
      <c r="I452" s="805"/>
      <c r="J452" s="804"/>
      <c r="K452" s="802">
        <f t="shared" si="110"/>
        <v>6419.4076382719613</v>
      </c>
      <c r="L452" s="805"/>
      <c r="M452" s="804"/>
      <c r="N452" s="802">
        <f t="shared" si="111"/>
        <v>8758.4530820832806</v>
      </c>
      <c r="O452" s="805"/>
      <c r="P452" s="804"/>
      <c r="Q452" s="802">
        <f t="shared" si="112"/>
        <v>9300.4877333164586</v>
      </c>
      <c r="R452" s="805"/>
      <c r="S452" s="804"/>
      <c r="T452" s="802">
        <f t="shared" si="113"/>
        <v>9900.6556835894953</v>
      </c>
      <c r="U452" s="805"/>
      <c r="V452" s="804"/>
      <c r="W452" s="802">
        <f t="shared" si="114"/>
        <v>8947.0931687321008</v>
      </c>
      <c r="X452" s="805"/>
      <c r="Y452" s="804"/>
      <c r="Z452" s="802">
        <f t="shared" si="115"/>
        <v>8483.1364627937146</v>
      </c>
      <c r="AA452" s="805"/>
      <c r="AB452" s="804"/>
      <c r="AC452" s="802">
        <f t="shared" si="116"/>
        <v>8224.0705039813256</v>
      </c>
      <c r="AD452" s="805"/>
      <c r="AE452" s="804"/>
      <c r="AF452" s="802">
        <f t="shared" si="117"/>
        <v>8576.8660091462734</v>
      </c>
      <c r="AG452" s="805"/>
      <c r="AH452" s="804"/>
      <c r="AI452" s="802">
        <f t="shared" si="118"/>
        <v>8598.026452038388</v>
      </c>
      <c r="AJ452" s="805"/>
      <c r="AK452" s="804"/>
      <c r="AL452" s="802">
        <f t="shared" si="119"/>
        <v>8887.178724094967</v>
      </c>
      <c r="AM452" s="805"/>
      <c r="AN452" s="804"/>
      <c r="AO452" s="802">
        <f t="shared" si="120"/>
        <v>6645.9243494031098</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1"/>
        <v>[...]</v>
      </c>
      <c r="B453" s="805" t="s">
        <v>59</v>
      </c>
      <c r="C453" s="805"/>
      <c r="D453" s="804"/>
      <c r="E453" s="802">
        <f t="shared" si="108"/>
        <v>0</v>
      </c>
      <c r="F453" s="805"/>
      <c r="G453" s="804"/>
      <c r="H453" s="802">
        <f t="shared" si="109"/>
        <v>0</v>
      </c>
      <c r="I453" s="805"/>
      <c r="J453" s="804"/>
      <c r="K453" s="802">
        <f t="shared" si="110"/>
        <v>0</v>
      </c>
      <c r="L453" s="805"/>
      <c r="M453" s="804"/>
      <c r="N453" s="802">
        <f t="shared" si="111"/>
        <v>0</v>
      </c>
      <c r="O453" s="805"/>
      <c r="P453" s="804"/>
      <c r="Q453" s="802">
        <f t="shared" si="112"/>
        <v>0</v>
      </c>
      <c r="R453" s="805"/>
      <c r="S453" s="804"/>
      <c r="T453" s="802">
        <f t="shared" si="113"/>
        <v>0</v>
      </c>
      <c r="U453" s="805"/>
      <c r="V453" s="804"/>
      <c r="W453" s="802">
        <f t="shared" si="114"/>
        <v>0</v>
      </c>
      <c r="X453" s="805"/>
      <c r="Y453" s="804"/>
      <c r="Z453" s="802">
        <f t="shared" si="115"/>
        <v>0</v>
      </c>
      <c r="AA453" s="805"/>
      <c r="AB453" s="804"/>
      <c r="AC453" s="802">
        <f t="shared" si="116"/>
        <v>0</v>
      </c>
      <c r="AD453" s="805"/>
      <c r="AE453" s="804"/>
      <c r="AF453" s="802">
        <f t="shared" si="117"/>
        <v>0</v>
      </c>
      <c r="AG453" s="805"/>
      <c r="AH453" s="804"/>
      <c r="AI453" s="802">
        <f t="shared" si="118"/>
        <v>0</v>
      </c>
      <c r="AJ453" s="805"/>
      <c r="AK453" s="804"/>
      <c r="AL453" s="802">
        <f t="shared" si="119"/>
        <v>0</v>
      </c>
      <c r="AM453" s="805"/>
      <c r="AN453" s="804"/>
      <c r="AO453" s="802">
        <f t="shared" si="120"/>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1"/>
        <v>[...]</v>
      </c>
      <c r="B454" s="805" t="s">
        <v>59</v>
      </c>
      <c r="C454" s="805"/>
      <c r="D454" s="804"/>
      <c r="E454" s="802">
        <f t="shared" si="108"/>
        <v>0</v>
      </c>
      <c r="F454" s="805"/>
      <c r="G454" s="804"/>
      <c r="H454" s="802">
        <f t="shared" si="109"/>
        <v>0</v>
      </c>
      <c r="I454" s="805"/>
      <c r="J454" s="804"/>
      <c r="K454" s="802">
        <f t="shared" si="110"/>
        <v>0</v>
      </c>
      <c r="L454" s="805"/>
      <c r="M454" s="804"/>
      <c r="N454" s="802">
        <f t="shared" si="111"/>
        <v>0</v>
      </c>
      <c r="O454" s="805"/>
      <c r="P454" s="804"/>
      <c r="Q454" s="802">
        <f t="shared" si="112"/>
        <v>0</v>
      </c>
      <c r="R454" s="805"/>
      <c r="S454" s="804"/>
      <c r="T454" s="802">
        <f t="shared" si="113"/>
        <v>0</v>
      </c>
      <c r="U454" s="805"/>
      <c r="V454" s="804"/>
      <c r="W454" s="802">
        <f t="shared" si="114"/>
        <v>0</v>
      </c>
      <c r="X454" s="805"/>
      <c r="Y454" s="804"/>
      <c r="Z454" s="802">
        <f t="shared" si="115"/>
        <v>0</v>
      </c>
      <c r="AA454" s="805"/>
      <c r="AB454" s="804"/>
      <c r="AC454" s="802">
        <f t="shared" si="116"/>
        <v>0</v>
      </c>
      <c r="AD454" s="805"/>
      <c r="AE454" s="804"/>
      <c r="AF454" s="802">
        <f t="shared" si="117"/>
        <v>0</v>
      </c>
      <c r="AG454" s="805"/>
      <c r="AH454" s="804"/>
      <c r="AI454" s="802">
        <f t="shared" si="118"/>
        <v>0</v>
      </c>
      <c r="AJ454" s="805"/>
      <c r="AK454" s="804"/>
      <c r="AL454" s="802">
        <f t="shared" si="119"/>
        <v>0</v>
      </c>
      <c r="AM454" s="805"/>
      <c r="AN454" s="804"/>
      <c r="AO454" s="802">
        <f t="shared" si="120"/>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1"/>
        <v>[...]</v>
      </c>
      <c r="B455" s="805" t="s">
        <v>59</v>
      </c>
      <c r="C455" s="805"/>
      <c r="D455" s="804"/>
      <c r="E455" s="802">
        <f t="shared" si="108"/>
        <v>0</v>
      </c>
      <c r="F455" s="805"/>
      <c r="G455" s="804"/>
      <c r="H455" s="802">
        <f t="shared" si="109"/>
        <v>0</v>
      </c>
      <c r="I455" s="805"/>
      <c r="J455" s="804"/>
      <c r="K455" s="802">
        <f t="shared" si="110"/>
        <v>0</v>
      </c>
      <c r="L455" s="805"/>
      <c r="M455" s="804"/>
      <c r="N455" s="802">
        <f t="shared" si="111"/>
        <v>0</v>
      </c>
      <c r="O455" s="805"/>
      <c r="P455" s="804"/>
      <c r="Q455" s="802">
        <f t="shared" si="112"/>
        <v>0</v>
      </c>
      <c r="R455" s="805"/>
      <c r="S455" s="804"/>
      <c r="T455" s="802">
        <f t="shared" si="113"/>
        <v>0</v>
      </c>
      <c r="U455" s="805"/>
      <c r="V455" s="804"/>
      <c r="W455" s="802">
        <f t="shared" si="114"/>
        <v>0</v>
      </c>
      <c r="X455" s="805"/>
      <c r="Y455" s="804"/>
      <c r="Z455" s="802">
        <f t="shared" si="115"/>
        <v>0</v>
      </c>
      <c r="AA455" s="805"/>
      <c r="AB455" s="804"/>
      <c r="AC455" s="802">
        <f t="shared" si="116"/>
        <v>0</v>
      </c>
      <c r="AD455" s="805"/>
      <c r="AE455" s="804"/>
      <c r="AF455" s="802">
        <f t="shared" si="117"/>
        <v>0</v>
      </c>
      <c r="AG455" s="805"/>
      <c r="AH455" s="804"/>
      <c r="AI455" s="802">
        <f t="shared" si="118"/>
        <v>0</v>
      </c>
      <c r="AJ455" s="805"/>
      <c r="AK455" s="804"/>
      <c r="AL455" s="802">
        <f t="shared" si="119"/>
        <v>0</v>
      </c>
      <c r="AM455" s="805"/>
      <c r="AN455" s="804"/>
      <c r="AO455" s="802">
        <f t="shared" si="120"/>
        <v>0</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1"/>
        <v>TOTAL SEMI-FIXES</v>
      </c>
      <c r="B456" s="1083" t="s">
        <v>143</v>
      </c>
      <c r="C456" s="1084">
        <f>IFERROR(E456/E411,0)</f>
        <v>0.17274159472288705</v>
      </c>
      <c r="D456" s="1087"/>
      <c r="E456" s="1086">
        <f>+SUM(E438:E455)</f>
        <v>1637609.6958538131</v>
      </c>
      <c r="F456" s="1084">
        <f>IFERROR(H456/H411,0)</f>
        <v>0.25193065458132857</v>
      </c>
      <c r="G456" s="1087"/>
      <c r="H456" s="1086">
        <f>+SUM(H438:H455)</f>
        <v>152854.61227313339</v>
      </c>
      <c r="I456" s="1084">
        <f>IFERROR(K456/K411,0)</f>
        <v>0.19787146788354873</v>
      </c>
      <c r="J456" s="1087"/>
      <c r="K456" s="1086">
        <f>+SUM(K438:K455)</f>
        <v>121417.38028366114</v>
      </c>
      <c r="L456" s="1084">
        <f>IFERROR(N456/N411,0)</f>
        <v>0.15420850294050331</v>
      </c>
      <c r="M456" s="1087"/>
      <c r="N456" s="1086">
        <f>+SUM(N438:N455)</f>
        <v>129001.50025808526</v>
      </c>
      <c r="O456" s="1084">
        <f>IFERROR(Q456/Q411,0)</f>
        <v>0.18415287170690278</v>
      </c>
      <c r="P456" s="1087"/>
      <c r="Q456" s="1086">
        <f>+SUM(Q438:Q455)</f>
        <v>163675.01970256012</v>
      </c>
      <c r="R456" s="1084">
        <f>IFERROR(T456/T411,0)</f>
        <v>0.15020044222186127</v>
      </c>
      <c r="S456" s="1087"/>
      <c r="T456" s="1086">
        <f>+SUM(T438:T455)</f>
        <v>142147.73592984452</v>
      </c>
      <c r="U456" s="1084">
        <f>IFERROR(W456/W411,0)</f>
        <v>0.14833165199751341</v>
      </c>
      <c r="V456" s="1087"/>
      <c r="W456" s="1086">
        <f>+SUM(W438:W455)</f>
        <v>126856.02213597248</v>
      </c>
      <c r="X456" s="1084">
        <f>IFERROR(Z456/Z411,0)</f>
        <v>0.16019577057122517</v>
      </c>
      <c r="Y456" s="1087"/>
      <c r="Z456" s="1086">
        <f>+SUM(Z438:Z455)</f>
        <v>129981.03540519884</v>
      </c>
      <c r="AA456" s="1084">
        <f>IFERROR(AC456/AC411,0)</f>
        <v>0.15258113083402802</v>
      </c>
      <c r="AB456" s="1087"/>
      <c r="AC456" s="1086">
        <f>+SUM(AC438:AC455)</f>
        <v>120092.77610750144</v>
      </c>
      <c r="AD456" s="1084">
        <f>IFERROR(AF456/AF411,0)</f>
        <v>0.14783783929497349</v>
      </c>
      <c r="AE456" s="1087"/>
      <c r="AF456" s="1086">
        <f>+SUM(AF438:AF455)</f>
        <v>121445.66628091212</v>
      </c>
      <c r="AG456" s="1084">
        <f>IFERROR(AI456/AI411,0)</f>
        <v>0.16780857878406194</v>
      </c>
      <c r="AH456" s="1087"/>
      <c r="AI456" s="1086">
        <f>+SUM(AI438:AI455)</f>
        <v>138219.17113039439</v>
      </c>
      <c r="AJ456" s="1084">
        <f>IFERROR(AL456/AL411,0)</f>
        <v>0.17582327441820406</v>
      </c>
      <c r="AK456" s="1087"/>
      <c r="AL456" s="1086">
        <f>+SUM(AL438:AL455)</f>
        <v>149891.03870359418</v>
      </c>
      <c r="AM456" s="1084">
        <f>IFERROR(AO456/AO411,0)</f>
        <v>0.22307094517470177</v>
      </c>
      <c r="AN456" s="1087"/>
      <c r="AO456" s="1086">
        <f>+SUM(AO438:AO455)</f>
        <v>142027.73764295527</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1"/>
        <v>Loyer</v>
      </c>
      <c r="B457" s="805" t="s">
        <v>205</v>
      </c>
      <c r="C457" s="805"/>
      <c r="D457" s="804"/>
      <c r="E457" s="802">
        <f t="shared" ref="E457:E469" si="122">+SUM(H457,K457,N457,Q457,T457,W457,Z457,AC457,AF457,AI457,AL457,AO457)</f>
        <v>954000</v>
      </c>
      <c r="F457" s="805"/>
      <c r="G457" s="804"/>
      <c r="H457" s="809">
        <f>SUM([1]DEPA!$C$193:$C$197)</f>
        <v>79500</v>
      </c>
      <c r="I457" s="805"/>
      <c r="J457" s="804"/>
      <c r="K457" s="809">
        <f>SUM([1]DEPA!$D$193:$D$197)</f>
        <v>79500</v>
      </c>
      <c r="L457" s="805"/>
      <c r="M457" s="804"/>
      <c r="N457" s="809">
        <f>SUM([1]DEPA!$E$193:$E$197)</f>
        <v>79500</v>
      </c>
      <c r="O457" s="805"/>
      <c r="P457" s="804"/>
      <c r="Q457" s="809">
        <f>SUM([1]DEPA!$F$193:$F$197)</f>
        <v>79500</v>
      </c>
      <c r="R457" s="805"/>
      <c r="S457" s="804"/>
      <c r="T457" s="809">
        <f>SUM([1]DEPA!$G$193:$G$197)</f>
        <v>79500</v>
      </c>
      <c r="U457" s="805"/>
      <c r="V457" s="804"/>
      <c r="W457" s="809">
        <f>SUM([1]DEPA!$H$193:$H$197)</f>
        <v>79500</v>
      </c>
      <c r="X457" s="805"/>
      <c r="Y457" s="804"/>
      <c r="Z457" s="809">
        <f>SUM([1]DEPA!$I$193:$I$197)</f>
        <v>79500</v>
      </c>
      <c r="AA457" s="805"/>
      <c r="AB457" s="804"/>
      <c r="AC457" s="809">
        <f>SUM([1]DEPA!$J$193:$J$197)</f>
        <v>79500</v>
      </c>
      <c r="AD457" s="805"/>
      <c r="AE457" s="804"/>
      <c r="AF457" s="809">
        <f>SUM([1]DEPA!$K$193:$K$197)</f>
        <v>79500</v>
      </c>
      <c r="AG457" s="805"/>
      <c r="AH457" s="804"/>
      <c r="AI457" s="809">
        <f>SUM([1]DEPA!$L$193:$L$197)</f>
        <v>79500</v>
      </c>
      <c r="AJ457" s="805"/>
      <c r="AK457" s="804"/>
      <c r="AL457" s="809">
        <f>SUM([1]DEPA!$M$193:$M$197)</f>
        <v>79500</v>
      </c>
      <c r="AM457" s="805"/>
      <c r="AN457" s="804"/>
      <c r="AO457" s="809">
        <f>SUM([1]DEPA!$N$193:$N$197)</f>
        <v>79500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1"/>
        <v>Taxes foncières</v>
      </c>
      <c r="B458" s="805" t="s">
        <v>206</v>
      </c>
      <c r="C458" s="805"/>
      <c r="D458" s="804"/>
      <c r="E458" s="802">
        <f t="shared" si="122"/>
        <v>192000</v>
      </c>
      <c r="F458" s="805"/>
      <c r="G458" s="804"/>
      <c r="H458" s="809">
        <f>SUM([1]DEPA!$C$206:$C$210)</f>
        <v>16000</v>
      </c>
      <c r="I458" s="805"/>
      <c r="J458" s="804"/>
      <c r="K458" s="809">
        <f>SUM([1]DEPA!$D$206:$D$210)</f>
        <v>16000</v>
      </c>
      <c r="L458" s="805"/>
      <c r="M458" s="804"/>
      <c r="N458" s="809">
        <f>SUM([1]DEPA!$E$206:$E$210)</f>
        <v>16000</v>
      </c>
      <c r="O458" s="805"/>
      <c r="P458" s="804"/>
      <c r="Q458" s="809">
        <f>SUM([1]DEPA!$F$206:$F$210)</f>
        <v>16000</v>
      </c>
      <c r="R458" s="805"/>
      <c r="S458" s="804"/>
      <c r="T458" s="809">
        <f>SUM([1]DEPA!$G$206:$G$210)</f>
        <v>16000</v>
      </c>
      <c r="U458" s="805"/>
      <c r="V458" s="804"/>
      <c r="W458" s="809">
        <f>SUM([1]DEPA!$H$206:$H$210)</f>
        <v>16000</v>
      </c>
      <c r="X458" s="805"/>
      <c r="Y458" s="804"/>
      <c r="Z458" s="809">
        <f>SUM([1]DEPA!$I$206:$I$210)</f>
        <v>16000</v>
      </c>
      <c r="AA458" s="805"/>
      <c r="AB458" s="804"/>
      <c r="AC458" s="809">
        <f>SUM([1]DEPA!$J$206:$J$210)</f>
        <v>16000</v>
      </c>
      <c r="AD458" s="805"/>
      <c r="AE458" s="804"/>
      <c r="AF458" s="809">
        <f>SUM([1]DEPA!$K$206:$K$210)</f>
        <v>16000</v>
      </c>
      <c r="AG458" s="805"/>
      <c r="AH458" s="804"/>
      <c r="AI458" s="809">
        <f>SUM([1]DEPA!$L$206:$L$210)</f>
        <v>16000</v>
      </c>
      <c r="AJ458" s="805"/>
      <c r="AK458" s="804"/>
      <c r="AL458" s="809">
        <f>SUM([1]DEPA!$M$206:$M$210)</f>
        <v>16000</v>
      </c>
      <c r="AM458" s="805"/>
      <c r="AN458" s="804"/>
      <c r="AO458" s="809">
        <f>SUM([1]DEPA!$N$206:$N$210)</f>
        <v>16000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1"/>
        <v>Taxes d`affaires</v>
      </c>
      <c r="B459" s="808" t="s">
        <v>207</v>
      </c>
      <c r="C459" s="808"/>
      <c r="D459" s="807"/>
      <c r="E459" s="796">
        <f t="shared" si="122"/>
        <v>18000</v>
      </c>
      <c r="F459" s="808"/>
      <c r="G459" s="807"/>
      <c r="H459" s="815">
        <f>SUM([1]DEPA!$C$215:$C$219)</f>
        <v>1500</v>
      </c>
      <c r="I459" s="808"/>
      <c r="J459" s="807"/>
      <c r="K459" s="815">
        <f>SUM([1]DEPA!$D$215:$D$219)</f>
        <v>1500</v>
      </c>
      <c r="L459" s="808"/>
      <c r="M459" s="807"/>
      <c r="N459" s="815">
        <f>SUM([1]DEPA!$E$215:$E$219)</f>
        <v>1500</v>
      </c>
      <c r="O459" s="808"/>
      <c r="P459" s="807"/>
      <c r="Q459" s="815">
        <f>SUM([1]DEPA!$F$215:$F$219)</f>
        <v>1500</v>
      </c>
      <c r="R459" s="808"/>
      <c r="S459" s="807"/>
      <c r="T459" s="815">
        <f>SUM([1]DEPA!$G$215:$G$219)</f>
        <v>1500</v>
      </c>
      <c r="U459" s="808"/>
      <c r="V459" s="807"/>
      <c r="W459" s="815">
        <f>SUM([1]DEPA!$H$215:$H$219)</f>
        <v>1500</v>
      </c>
      <c r="X459" s="808"/>
      <c r="Y459" s="807"/>
      <c r="Z459" s="815">
        <f>SUM([1]DEPA!$I$215:$I$219)</f>
        <v>1500</v>
      </c>
      <c r="AA459" s="808"/>
      <c r="AB459" s="807"/>
      <c r="AC459" s="815">
        <f>SUM([1]DEPA!$J$215:$J$219)</f>
        <v>1500</v>
      </c>
      <c r="AD459" s="808"/>
      <c r="AE459" s="807"/>
      <c r="AF459" s="815">
        <f>SUM([1]DEPA!$K$215:$K$219)</f>
        <v>1500</v>
      </c>
      <c r="AG459" s="808"/>
      <c r="AH459" s="807"/>
      <c r="AI459" s="815">
        <f>SUM([1]DEPA!$L$215:$L$219)</f>
        <v>1500</v>
      </c>
      <c r="AJ459" s="808"/>
      <c r="AK459" s="807"/>
      <c r="AL459" s="815">
        <f>SUM([1]DEPA!$M$215:$M$219)</f>
        <v>1500</v>
      </c>
      <c r="AM459" s="808"/>
      <c r="AN459" s="807"/>
      <c r="AO459" s="815">
        <f>SUM([1]DEPA!$N$215:$N$219)</f>
        <v>1500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1"/>
        <v>Taxe sur le capital</v>
      </c>
      <c r="B460" s="805" t="s">
        <v>208</v>
      </c>
      <c r="C460" s="805"/>
      <c r="D460" s="804"/>
      <c r="E460" s="802">
        <f t="shared" si="122"/>
        <v>0</v>
      </c>
      <c r="F460" s="805"/>
      <c r="G460" s="804"/>
      <c r="H460" s="809"/>
      <c r="I460" s="805"/>
      <c r="J460" s="804"/>
      <c r="K460" s="809"/>
      <c r="L460" s="805"/>
      <c r="M460" s="804"/>
      <c r="N460" s="809"/>
      <c r="O460" s="805"/>
      <c r="P460" s="804"/>
      <c r="Q460" s="809"/>
      <c r="R460" s="805"/>
      <c r="S460" s="804"/>
      <c r="T460" s="809"/>
      <c r="U460" s="805"/>
      <c r="V460" s="804"/>
      <c r="W460" s="809"/>
      <c r="X460" s="805"/>
      <c r="Y460" s="804"/>
      <c r="Z460" s="809"/>
      <c r="AA460" s="805"/>
      <c r="AB460" s="804"/>
      <c r="AC460" s="809"/>
      <c r="AD460" s="805"/>
      <c r="AE460" s="804"/>
      <c r="AF460" s="809"/>
      <c r="AG460" s="805"/>
      <c r="AH460" s="804"/>
      <c r="AI460" s="809"/>
      <c r="AJ460" s="805"/>
      <c r="AK460" s="804"/>
      <c r="AL460" s="809"/>
      <c r="AM460" s="805"/>
      <c r="AN460" s="804"/>
      <c r="AO460" s="809"/>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1"/>
        <v>Assurances</v>
      </c>
      <c r="B461" s="808" t="s">
        <v>209</v>
      </c>
      <c r="C461" s="808"/>
      <c r="D461" s="807"/>
      <c r="E461" s="796">
        <f t="shared" si="122"/>
        <v>52131</v>
      </c>
      <c r="F461" s="808"/>
      <c r="G461" s="807"/>
      <c r="H461" s="815">
        <f>SUM([1]DEPA!$C$227:$C$231)</f>
        <v>4344.25</v>
      </c>
      <c r="I461" s="808"/>
      <c r="J461" s="807"/>
      <c r="K461" s="815">
        <f>SUM([1]DEPA!$D$227:$D$231)</f>
        <v>4344.25</v>
      </c>
      <c r="L461" s="808"/>
      <c r="M461" s="807"/>
      <c r="N461" s="815">
        <f>SUM([1]DEPA!$E$227:$E$231)</f>
        <v>4344.25</v>
      </c>
      <c r="O461" s="808"/>
      <c r="P461" s="807"/>
      <c r="Q461" s="815">
        <f>SUM([1]DEPA!$F$227:$F$231)</f>
        <v>4344.25</v>
      </c>
      <c r="R461" s="808"/>
      <c r="S461" s="807"/>
      <c r="T461" s="815">
        <f>SUM([1]DEPA!$G$227:$G$231)</f>
        <v>4344.25</v>
      </c>
      <c r="U461" s="808"/>
      <c r="V461" s="807"/>
      <c r="W461" s="815">
        <f>SUM([1]DEPA!$H$227:$H$231)</f>
        <v>4344.25</v>
      </c>
      <c r="X461" s="808"/>
      <c r="Y461" s="807"/>
      <c r="Z461" s="815">
        <f>SUM([1]DEPA!$I$227:$I$231)</f>
        <v>4344.25</v>
      </c>
      <c r="AA461" s="808"/>
      <c r="AB461" s="807"/>
      <c r="AC461" s="815">
        <f>SUM([1]DEPA!$J$227:$J$231)</f>
        <v>4344.25</v>
      </c>
      <c r="AD461" s="808"/>
      <c r="AE461" s="807"/>
      <c r="AF461" s="815">
        <f>SUM([1]DEPA!$K$227:$K$231)</f>
        <v>4344.25</v>
      </c>
      <c r="AG461" s="808"/>
      <c r="AH461" s="807"/>
      <c r="AI461" s="815">
        <f>SUM([1]DEPA!$L$227:$L$231)</f>
        <v>4344.25</v>
      </c>
      <c r="AJ461" s="808"/>
      <c r="AK461" s="807"/>
      <c r="AL461" s="815">
        <f>SUM([1]DEPA!$M$227:$M$231)</f>
        <v>4344.25</v>
      </c>
      <c r="AM461" s="808"/>
      <c r="AN461" s="807"/>
      <c r="AO461" s="815">
        <f>SUM([1]DEPA!$N$227:$N$231)</f>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1"/>
        <v>Chauffage, éclairage</v>
      </c>
      <c r="B462" s="805" t="s">
        <v>210</v>
      </c>
      <c r="C462" s="805"/>
      <c r="D462" s="804"/>
      <c r="E462" s="802">
        <f t="shared" si="122"/>
        <v>90399.999999999956</v>
      </c>
      <c r="F462" s="805"/>
      <c r="G462" s="804"/>
      <c r="H462" s="809">
        <f>SUM([1]DEPA!$C$237:$C$241)</f>
        <v>7533.3333333333321</v>
      </c>
      <c r="I462" s="805"/>
      <c r="J462" s="804"/>
      <c r="K462" s="809">
        <f>SUM([1]DEPA!$D$237:$D$241)</f>
        <v>7533.3333333333321</v>
      </c>
      <c r="L462" s="805"/>
      <c r="M462" s="804"/>
      <c r="N462" s="809">
        <f>SUM([1]DEPA!$E$237:$E$241)</f>
        <v>7533.3333333333321</v>
      </c>
      <c r="O462" s="805"/>
      <c r="P462" s="804"/>
      <c r="Q462" s="809">
        <f>SUM([1]DEPA!$F$237:$F$241)</f>
        <v>7533.3333333333321</v>
      </c>
      <c r="R462" s="805"/>
      <c r="S462" s="804"/>
      <c r="T462" s="809">
        <f>SUM([1]DEPA!$G$237:$G$241)</f>
        <v>7533.3333333333321</v>
      </c>
      <c r="U462" s="805"/>
      <c r="V462" s="804"/>
      <c r="W462" s="809">
        <f>SUM([1]DEPA!$H$237:$H$241)</f>
        <v>7533.3333333333321</v>
      </c>
      <c r="X462" s="805"/>
      <c r="Y462" s="804"/>
      <c r="Z462" s="809">
        <f>SUM([1]DEPA!$I$237:$I$241)</f>
        <v>7533.3333333333321</v>
      </c>
      <c r="AA462" s="805"/>
      <c r="AB462" s="804"/>
      <c r="AC462" s="809">
        <f>SUM([1]DEPA!$J$237:$J$241)</f>
        <v>7533.3333333333321</v>
      </c>
      <c r="AD462" s="805"/>
      <c r="AE462" s="804"/>
      <c r="AF462" s="809">
        <f>SUM([1]DEPA!$K$237:$K$241)</f>
        <v>7533.3333333333321</v>
      </c>
      <c r="AG462" s="805"/>
      <c r="AH462" s="804"/>
      <c r="AI462" s="809">
        <f>SUM([1]DEPA!$L$237:$L$241)</f>
        <v>7533.3333333333321</v>
      </c>
      <c r="AJ462" s="805"/>
      <c r="AK462" s="804"/>
      <c r="AL462" s="809">
        <f>SUM([1]DEPA!$M$237:$M$241)</f>
        <v>7533.3333333333321</v>
      </c>
      <c r="AM462" s="805"/>
      <c r="AN462" s="804"/>
      <c r="AO462" s="809">
        <f>SUM([1]DEPA!$N$237:$N$241)</f>
        <v>7533.3333333333321</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1"/>
        <v>Honoraires</v>
      </c>
      <c r="B463" s="805" t="s">
        <v>211</v>
      </c>
      <c r="C463" s="805"/>
      <c r="D463" s="804"/>
      <c r="E463" s="802">
        <f t="shared" si="122"/>
        <v>37360.33</v>
      </c>
      <c r="F463" s="805"/>
      <c r="G463" s="804"/>
      <c r="H463" s="809">
        <f>SUM([1]DEPA!$C$250:$C$254)</f>
        <v>6923.33</v>
      </c>
      <c r="I463" s="805"/>
      <c r="J463" s="804"/>
      <c r="K463" s="809">
        <f>SUM([1]DEPA!$D$250:$D$254)</f>
        <v>2767</v>
      </c>
      <c r="L463" s="805"/>
      <c r="M463" s="804"/>
      <c r="N463" s="809">
        <f>SUM([1]DEPA!$E$250:$E$254)</f>
        <v>2767</v>
      </c>
      <c r="O463" s="805"/>
      <c r="P463" s="804"/>
      <c r="Q463" s="809">
        <f>SUM([1]DEPA!$F$250:$F$254)</f>
        <v>2767</v>
      </c>
      <c r="R463" s="805"/>
      <c r="S463" s="804"/>
      <c r="T463" s="809">
        <f>SUM([1]DEPA!$G$250:$G$254)</f>
        <v>2767</v>
      </c>
      <c r="U463" s="805"/>
      <c r="V463" s="804"/>
      <c r="W463" s="809">
        <f>SUM([1]DEPA!$H$250:$H$254)</f>
        <v>2767</v>
      </c>
      <c r="X463" s="805"/>
      <c r="Y463" s="804"/>
      <c r="Z463" s="809">
        <f>SUM([1]DEPA!$I$250:$I$254)</f>
        <v>2767</v>
      </c>
      <c r="AA463" s="805"/>
      <c r="AB463" s="804"/>
      <c r="AC463" s="809">
        <f>SUM([1]DEPA!$J$250:$J$254)</f>
        <v>2767</v>
      </c>
      <c r="AD463" s="805"/>
      <c r="AE463" s="804"/>
      <c r="AF463" s="809">
        <f>SUM([1]DEPA!$K$250:$K$254)</f>
        <v>2767</v>
      </c>
      <c r="AG463" s="805"/>
      <c r="AH463" s="804"/>
      <c r="AI463" s="809">
        <f>SUM([1]DEPA!$L$250:$L$254)</f>
        <v>2767</v>
      </c>
      <c r="AJ463" s="805"/>
      <c r="AK463" s="804"/>
      <c r="AL463" s="809">
        <f>SUM([1]DEPA!$M$250:$M$254)</f>
        <v>2767</v>
      </c>
      <c r="AM463" s="805"/>
      <c r="AN463" s="804"/>
      <c r="AO463" s="809">
        <f>SUM([1]DEPA!$N$250:$N$254)</f>
        <v>2767</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1"/>
        <v>Réparation équipement</v>
      </c>
      <c r="B464" s="808" t="s">
        <v>212</v>
      </c>
      <c r="C464" s="808"/>
      <c r="D464" s="807"/>
      <c r="E464" s="796">
        <f t="shared" si="122"/>
        <v>16374.74808917444</v>
      </c>
      <c r="F464" s="808"/>
      <c r="G464" s="807"/>
      <c r="H464" s="815">
        <f>SUM([1]DEPA!$C$266:$C$270)</f>
        <v>1364.5623407645369</v>
      </c>
      <c r="I464" s="808"/>
      <c r="J464" s="807"/>
      <c r="K464" s="815">
        <f>SUM([1]DEPA!$D$266:$D$270)</f>
        <v>1364.5623407645369</v>
      </c>
      <c r="L464" s="808"/>
      <c r="M464" s="807"/>
      <c r="N464" s="815">
        <f>SUM([1]DEPA!$E$266:$E$270)</f>
        <v>1364.5623407645369</v>
      </c>
      <c r="O464" s="808"/>
      <c r="P464" s="807"/>
      <c r="Q464" s="815">
        <f>SUM([1]DEPA!$F$266:$F$270)</f>
        <v>1364.5623407645369</v>
      </c>
      <c r="R464" s="808"/>
      <c r="S464" s="807"/>
      <c r="T464" s="815">
        <f>SUM([1]DEPA!$G$266:$G$270)</f>
        <v>1364.5623407645369</v>
      </c>
      <c r="U464" s="808"/>
      <c r="V464" s="807"/>
      <c r="W464" s="815">
        <f>SUM([1]DEPA!$H$266:$H$270)</f>
        <v>1364.5623407645369</v>
      </c>
      <c r="X464" s="808"/>
      <c r="Y464" s="807"/>
      <c r="Z464" s="815">
        <f>SUM([1]DEPA!$I$266:$I$270)</f>
        <v>1364.5623407645369</v>
      </c>
      <c r="AA464" s="808"/>
      <c r="AB464" s="807"/>
      <c r="AC464" s="815">
        <f>SUM([1]DEPA!$J$266:$J$270)</f>
        <v>1364.5623407645369</v>
      </c>
      <c r="AD464" s="808"/>
      <c r="AE464" s="807"/>
      <c r="AF464" s="815">
        <f>SUM([1]DEPA!$K$266:$K$270)</f>
        <v>1364.5623407645369</v>
      </c>
      <c r="AG464" s="808"/>
      <c r="AH464" s="807"/>
      <c r="AI464" s="815">
        <f>SUM([1]DEPA!$L$266:$L$270)</f>
        <v>1364.5623407645369</v>
      </c>
      <c r="AJ464" s="808"/>
      <c r="AK464" s="807"/>
      <c r="AL464" s="815">
        <f>SUM([1]DEPA!$M$266:$M$270)</f>
        <v>1364.5623407645369</v>
      </c>
      <c r="AM464" s="808"/>
      <c r="AN464" s="807"/>
      <c r="AO464" s="815">
        <f>SUM([1]DEPA!$N$266:$N$270)</f>
        <v>1364.5623407645369</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1"/>
        <v>Location équipement</v>
      </c>
      <c r="B465" s="805" t="s">
        <v>213</v>
      </c>
      <c r="C465" s="805"/>
      <c r="D465" s="804"/>
      <c r="E465" s="802">
        <f t="shared" si="122"/>
        <v>15000</v>
      </c>
      <c r="F465" s="805"/>
      <c r="G465" s="804"/>
      <c r="H465" s="809">
        <f>SUM([1]DEPA!$C$275:$C$279)</f>
        <v>1250</v>
      </c>
      <c r="I465" s="805"/>
      <c r="J465" s="804"/>
      <c r="K465" s="809">
        <f>SUM([1]DEPA!$D$275:$D$279)</f>
        <v>1250</v>
      </c>
      <c r="L465" s="805"/>
      <c r="M465" s="804"/>
      <c r="N465" s="809">
        <f>SUM([1]DEPA!$E$275:$E$279)</f>
        <v>1250</v>
      </c>
      <c r="O465" s="805"/>
      <c r="P465" s="804"/>
      <c r="Q465" s="809">
        <f>SUM([1]DEPA!$F$275:$F$279)</f>
        <v>1250</v>
      </c>
      <c r="R465" s="805"/>
      <c r="S465" s="804"/>
      <c r="T465" s="809">
        <f>SUM([1]DEPA!$G$275:$G$279)</f>
        <v>1250</v>
      </c>
      <c r="U465" s="805"/>
      <c r="V465" s="804"/>
      <c r="W465" s="809">
        <f>SUM([1]DEPA!$H$275:$H$279)</f>
        <v>1250</v>
      </c>
      <c r="X465" s="805"/>
      <c r="Y465" s="804"/>
      <c r="Z465" s="809">
        <f>SUM([1]DEPA!$I$275:$I$279)</f>
        <v>1250</v>
      </c>
      <c r="AA465" s="805"/>
      <c r="AB465" s="804"/>
      <c r="AC465" s="809">
        <f>SUM([1]DEPA!$J$275:$J$279)</f>
        <v>1250</v>
      </c>
      <c r="AD465" s="805"/>
      <c r="AE465" s="804"/>
      <c r="AF465" s="809">
        <f>SUM([1]DEPA!$K$275:$K$279)</f>
        <v>1250</v>
      </c>
      <c r="AG465" s="805"/>
      <c r="AH465" s="804"/>
      <c r="AI465" s="809">
        <f>SUM([1]DEPA!$L$275:$L$279)</f>
        <v>1250</v>
      </c>
      <c r="AJ465" s="805"/>
      <c r="AK465" s="804"/>
      <c r="AL465" s="809">
        <f>SUM([1]DEPA!$M$275:$M$279)</f>
        <v>1250</v>
      </c>
      <c r="AM465" s="805"/>
      <c r="AN465" s="804"/>
      <c r="AO465" s="809">
        <f>SUM([1]DEPA!$N$275:$N$279)</f>
        <v>1250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1"/>
        <v>Dons</v>
      </c>
      <c r="B466" s="805" t="s">
        <v>214</v>
      </c>
      <c r="C466" s="805"/>
      <c r="D466" s="804"/>
      <c r="E466" s="802">
        <f t="shared" si="122"/>
        <v>0</v>
      </c>
      <c r="F466" s="805"/>
      <c r="G466" s="804"/>
      <c r="H466" s="809"/>
      <c r="I466" s="805"/>
      <c r="J466" s="804"/>
      <c r="K466" s="809"/>
      <c r="L466" s="805"/>
      <c r="M466" s="804"/>
      <c r="N466" s="809"/>
      <c r="O466" s="805"/>
      <c r="P466" s="804"/>
      <c r="Q466" s="809"/>
      <c r="R466" s="805"/>
      <c r="S466" s="804"/>
      <c r="T466" s="809"/>
      <c r="U466" s="805"/>
      <c r="V466" s="804"/>
      <c r="W466" s="809"/>
      <c r="X466" s="805"/>
      <c r="Y466" s="804"/>
      <c r="Z466" s="809"/>
      <c r="AA466" s="805"/>
      <c r="AB466" s="804"/>
      <c r="AC466" s="809"/>
      <c r="AD466" s="805"/>
      <c r="AE466" s="804"/>
      <c r="AF466" s="809"/>
      <c r="AG466" s="805"/>
      <c r="AH466" s="804"/>
      <c r="AI466" s="809"/>
      <c r="AJ466" s="805"/>
      <c r="AK466" s="804"/>
      <c r="AL466" s="809"/>
      <c r="AM466" s="805"/>
      <c r="AN466" s="804"/>
      <c r="AO466" s="809"/>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1"/>
        <v>[...]</v>
      </c>
      <c r="B467" s="805" t="s">
        <v>59</v>
      </c>
      <c r="C467" s="805"/>
      <c r="D467" s="804"/>
      <c r="E467" s="802">
        <f t="shared" si="122"/>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1"/>
        <v>[...]</v>
      </c>
      <c r="B468" s="805" t="s">
        <v>59</v>
      </c>
      <c r="C468" s="805"/>
      <c r="D468" s="804"/>
      <c r="E468" s="802">
        <f t="shared" si="122"/>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1"/>
        <v>[...]</v>
      </c>
      <c r="B469" s="805" t="s">
        <v>59</v>
      </c>
      <c r="C469" s="805"/>
      <c r="D469" s="804"/>
      <c r="E469" s="802">
        <f t="shared" si="122"/>
        <v>0</v>
      </c>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21"/>
        <v>TOTAL DÉPENSES FIXES</v>
      </c>
      <c r="B470" s="1083" t="s">
        <v>215</v>
      </c>
      <c r="C470" s="1084">
        <f>IFERROR(E470/E411,0)</f>
        <v>0.14506854478139439</v>
      </c>
      <c r="D470" s="1087"/>
      <c r="E470" s="1086">
        <f>SUM(E457:E469)</f>
        <v>1375266.0780891746</v>
      </c>
      <c r="F470" s="1084">
        <f>IFERROR(H470/H411,0)</f>
        <v>0.19516904236967139</v>
      </c>
      <c r="G470" s="1087"/>
      <c r="H470" s="1086">
        <f>SUM(H457:H469)</f>
        <v>118415.47567409786</v>
      </c>
      <c r="I470" s="1084">
        <f>IFERROR(K470/K411,0)</f>
        <v>0.18620583660127249</v>
      </c>
      <c r="J470" s="1087"/>
      <c r="K470" s="1086">
        <f>SUM(K457:K469)</f>
        <v>114259.14567409786</v>
      </c>
      <c r="L470" s="1084">
        <f>IFERROR(N470/N411,0)</f>
        <v>0.13658547975343555</v>
      </c>
      <c r="M470" s="1087"/>
      <c r="N470" s="1086">
        <f>SUM(N457:N469)</f>
        <v>114259.14567409786</v>
      </c>
      <c r="O470" s="1084">
        <f>IFERROR(Q470/Q411,0)</f>
        <v>0.12855443569152872</v>
      </c>
      <c r="P470" s="1087"/>
      <c r="Q470" s="1086">
        <f>SUM(Q457:Q469)</f>
        <v>114259.14567409786</v>
      </c>
      <c r="R470" s="1084">
        <f>IFERROR(T470/T411,0)</f>
        <v>0.12073195605881175</v>
      </c>
      <c r="S470" s="1087"/>
      <c r="T470" s="1086">
        <f>SUM(T457:T469)</f>
        <v>114259.14567409786</v>
      </c>
      <c r="U470" s="1084">
        <f>IFERROR(W470/W411,0)</f>
        <v>0.13360223305360502</v>
      </c>
      <c r="V470" s="1087"/>
      <c r="W470" s="1086">
        <f>SUM(W457:W469)</f>
        <v>114259.14567409786</v>
      </c>
      <c r="X470" s="1084">
        <f>IFERROR(Z470/Z411,0)</f>
        <v>0.1408192497391037</v>
      </c>
      <c r="Y470" s="1087"/>
      <c r="Z470" s="1086">
        <f>SUM(Z457:Z469)</f>
        <v>114259.14567409786</v>
      </c>
      <c r="AA470" s="1084">
        <f>IFERROR(AC470/AC411,0)</f>
        <v>0.14516934506933105</v>
      </c>
      <c r="AB470" s="1087"/>
      <c r="AC470" s="1086">
        <f>SUM(AC457:AC469)</f>
        <v>114259.14567409786</v>
      </c>
      <c r="AD470" s="1084">
        <f>IFERROR(AF470/AF411,0)</f>
        <v>0.13908956765139974</v>
      </c>
      <c r="AE470" s="1087"/>
      <c r="AF470" s="1086">
        <f>SUM(AF457:AF469)</f>
        <v>114259.14567409786</v>
      </c>
      <c r="AG470" s="1084">
        <f>IFERROR(AI470/AI411,0)</f>
        <v>0.13871928685321983</v>
      </c>
      <c r="AH470" s="1087"/>
      <c r="AI470" s="1086">
        <f>SUM(AI457:AI469)</f>
        <v>114259.14567409786</v>
      </c>
      <c r="AJ470" s="1084">
        <f>IFERROR(AL470/AL411,0)</f>
        <v>0.13402680572767786</v>
      </c>
      <c r="AK470" s="1087"/>
      <c r="AL470" s="1086">
        <f>SUM(AL457:AL469)</f>
        <v>114259.14567409786</v>
      </c>
      <c r="AM470" s="1084">
        <f>IFERROR(AO470/AO411,0)</f>
        <v>0.1794571683205233</v>
      </c>
      <c r="AN470" s="1087"/>
      <c r="AO470" s="1086">
        <f>SUM(AO457:AO469)</f>
        <v>114259.14567409786</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121"/>
        <v>0</v>
      </c>
      <c r="B471" s="805"/>
      <c r="C471" s="805"/>
      <c r="D471" s="801"/>
      <c r="E471" s="1093"/>
      <c r="F471" s="805"/>
      <c r="G471" s="801"/>
      <c r="H471" s="1093"/>
      <c r="I471" s="805"/>
      <c r="J471" s="801"/>
      <c r="K471" s="1093"/>
      <c r="L471" s="805"/>
      <c r="M471" s="801"/>
      <c r="N471" s="1093"/>
      <c r="O471" s="805"/>
      <c r="P471" s="801"/>
      <c r="Q471" s="1093"/>
      <c r="R471" s="805"/>
      <c r="S471" s="801"/>
      <c r="T471" s="1093"/>
      <c r="U471" s="805"/>
      <c r="V471" s="801"/>
      <c r="W471" s="1093"/>
      <c r="X471" s="805"/>
      <c r="Y471" s="801"/>
      <c r="Z471" s="1093"/>
      <c r="AA471" s="805"/>
      <c r="AB471" s="801"/>
      <c r="AC471" s="1093"/>
      <c r="AD471" s="805"/>
      <c r="AE471" s="801"/>
      <c r="AF471" s="1093"/>
      <c r="AG471" s="805"/>
      <c r="AH471" s="801"/>
      <c r="AI471" s="1093"/>
      <c r="AJ471" s="805"/>
      <c r="AK471" s="801"/>
      <c r="AL471" s="1093"/>
      <c r="AM471" s="805"/>
      <c r="AN471" s="801"/>
      <c r="AO471" s="1093"/>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121"/>
        <v>TOTAL DES DÉPENSES</v>
      </c>
      <c r="B472" s="1083" t="s">
        <v>144</v>
      </c>
      <c r="C472" s="1084">
        <f>IFERROR(E472/E411,0)</f>
        <v>0.95858259167553928</v>
      </c>
      <c r="D472" s="1087"/>
      <c r="E472" s="1086">
        <f>E423+E437+E456+E470</f>
        <v>9087470.5013740063</v>
      </c>
      <c r="F472" s="1084">
        <f>IFERROR(H472/H411,0)</f>
        <v>1.1882989182358623</v>
      </c>
      <c r="G472" s="1087"/>
      <c r="H472" s="1086">
        <f>H423+H437+H456+H470</f>
        <v>720980.02806915389</v>
      </c>
      <c r="I472" s="1084">
        <f>IFERROR(K472/K411,0)</f>
        <v>1.0856116439500947</v>
      </c>
      <c r="J472" s="1087"/>
      <c r="K472" s="1086">
        <f>K423+K437+K456+K470</f>
        <v>666150.21975494327</v>
      </c>
      <c r="L472" s="1084">
        <f>IFERROR(N472/N411,0)</f>
        <v>0.90370687308279096</v>
      </c>
      <c r="M472" s="1087"/>
      <c r="N472" s="1086">
        <f>N423+N437+N456+N470</f>
        <v>755986.47414534446</v>
      </c>
      <c r="O472" s="1084">
        <f>IFERROR(Q472/Q411,0)</f>
        <v>0.93891440200570053</v>
      </c>
      <c r="P472" s="1087"/>
      <c r="Q472" s="1086">
        <f>Q423+Q437+Q456+Q470</f>
        <v>834506.8519588015</v>
      </c>
      <c r="R472" s="1084">
        <f>IFERROR(T472/T411,0)</f>
        <v>0.88447050054956677</v>
      </c>
      <c r="S472" s="1087"/>
      <c r="T472" s="1086">
        <f>T423+T437+T456+T470</f>
        <v>837051.32481666037</v>
      </c>
      <c r="U472" s="1084">
        <f>IFERROR(W472/W411,0)</f>
        <v>0.85946496904361891</v>
      </c>
      <c r="V472" s="1087"/>
      <c r="W472" s="1086">
        <f>W423+W437+W456+W470</f>
        <v>735030.6267735624</v>
      </c>
      <c r="X472" s="1084">
        <f>IFERROR(Z472/Z411,0)</f>
        <v>0.95892383436224116</v>
      </c>
      <c r="Y472" s="1087"/>
      <c r="Z472" s="1086">
        <f>Z423+Z437+Z456+Z470</f>
        <v>778059.94765454833</v>
      </c>
      <c r="AA472" s="1084">
        <f>IFERROR(AC472/AC411,0)</f>
        <v>0.90541320265921899</v>
      </c>
      <c r="AB472" s="1087"/>
      <c r="AC472" s="1086">
        <f>AC423+AC437+AC456+AC470</f>
        <v>712627.9929725104</v>
      </c>
      <c r="AD472" s="1084">
        <f>IFERROR(AF472/AF411,0)</f>
        <v>0.86676055918299433</v>
      </c>
      <c r="AE472" s="1087"/>
      <c r="AF472" s="1086">
        <f>AF423+AF437+AF456+AF470</f>
        <v>712025.51469902147</v>
      </c>
      <c r="AG472" s="1084">
        <f>IFERROR(AI472/AI411,0)</f>
        <v>0.98453034621471613</v>
      </c>
      <c r="AH472" s="1087"/>
      <c r="AI472" s="1086">
        <f>AI423+AI437+AI456+AI470</f>
        <v>810929.74740957003</v>
      </c>
      <c r="AJ472" s="1084">
        <f>IFERROR(AL472/AL411,0)</f>
        <v>0.92387593000681223</v>
      </c>
      <c r="AK472" s="1087"/>
      <c r="AL472" s="1086">
        <f>AL423+AL437+AL456+AL470</f>
        <v>787613.14871538081</v>
      </c>
      <c r="AM472" s="1084">
        <f>IFERROR(AO472/AO411,0)</f>
        <v>1.1567717524886074</v>
      </c>
      <c r="AN472" s="1087"/>
      <c r="AO472" s="1086">
        <f>AO423+AO437+AO456+AO470</f>
        <v>736508.62440451025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1"/>
        <v>Revenus autres</v>
      </c>
      <c r="B473" s="805" t="s">
        <v>216</v>
      </c>
      <c r="C473" s="1094"/>
      <c r="D473" s="1095"/>
      <c r="E473" s="1096">
        <f t="shared" ref="E473:E484" si="123">+SUM(H473,K473,N473,Q473,T473,W473,Z473,AC473,AF473,AI473,AL473,AO473)</f>
        <v>80000</v>
      </c>
      <c r="F473" s="1094"/>
      <c r="G473" s="1095"/>
      <c r="H473" s="1096">
        <f>'[1]Vehicules neuf 2026'!E66</f>
        <v>0</v>
      </c>
      <c r="I473" s="1094"/>
      <c r="J473" s="1095"/>
      <c r="K473" s="1096">
        <f>'[1]Vehicules neuf 2026'!F66</f>
        <v>0</v>
      </c>
      <c r="L473" s="1094"/>
      <c r="M473" s="1095"/>
      <c r="N473" s="1096">
        <f>'[1]Vehicules neuf 2026'!G66</f>
        <v>20000</v>
      </c>
      <c r="O473" s="1094"/>
      <c r="P473" s="1095"/>
      <c r="Q473" s="1096">
        <f>'[1]Vehicules neuf 2026'!H66</f>
        <v>0</v>
      </c>
      <c r="R473" s="1094"/>
      <c r="S473" s="1095"/>
      <c r="T473" s="1096">
        <f>'[1]Vehicules neuf 2026'!I66</f>
        <v>0</v>
      </c>
      <c r="U473" s="1094"/>
      <c r="V473" s="1095"/>
      <c r="W473" s="1096">
        <f>'[1]Vehicules neuf 2026'!J66</f>
        <v>20000</v>
      </c>
      <c r="X473" s="1094"/>
      <c r="Y473" s="1095"/>
      <c r="Z473" s="1096">
        <f>'[1]Vehicules neuf 2026'!K66</f>
        <v>0</v>
      </c>
      <c r="AA473" s="1094"/>
      <c r="AB473" s="1095"/>
      <c r="AC473" s="1096">
        <f>'[1]Vehicules neuf 2026'!L66</f>
        <v>0</v>
      </c>
      <c r="AD473" s="1094"/>
      <c r="AE473" s="1095"/>
      <c r="AF473" s="1096">
        <f>'[1]Vehicules neuf 2026'!M66</f>
        <v>20000</v>
      </c>
      <c r="AG473" s="1094"/>
      <c r="AH473" s="1095"/>
      <c r="AI473" s="1096">
        <f>'[1]Vehicules neuf 2026'!N66</f>
        <v>0</v>
      </c>
      <c r="AJ473" s="1094"/>
      <c r="AK473" s="1095"/>
      <c r="AL473" s="1096">
        <f>'[1]Vehicules neuf 2026'!O66</f>
        <v>0</v>
      </c>
      <c r="AM473" s="1094"/>
      <c r="AN473" s="1095"/>
      <c r="AO473" s="1096">
        <f>'[1]Vehicules neuf 2026'!P66</f>
        <v>20000</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1"/>
        <v>Holdbacks</v>
      </c>
      <c r="B474" s="805" t="s">
        <v>148</v>
      </c>
      <c r="C474" s="819"/>
      <c r="D474" s="820"/>
      <c r="E474" s="802">
        <f t="shared" si="123"/>
        <v>971329.00248800265</v>
      </c>
      <c r="F474" s="819"/>
      <c r="G474" s="820"/>
      <c r="H474" s="802">
        <f>H81</f>
        <v>62754.401846134992</v>
      </c>
      <c r="I474" s="819"/>
      <c r="J474" s="820"/>
      <c r="K474" s="802">
        <f>K81</f>
        <v>68211.306354494562</v>
      </c>
      <c r="L474" s="819"/>
      <c r="M474" s="820"/>
      <c r="N474" s="802">
        <f>N81</f>
        <v>100952.73340465195</v>
      </c>
      <c r="O474" s="819"/>
      <c r="P474" s="820"/>
      <c r="Q474" s="802">
        <f>Q81</f>
        <v>103681.18565883172</v>
      </c>
      <c r="R474" s="819"/>
      <c r="S474" s="820"/>
      <c r="T474" s="802">
        <f>T81</f>
        <v>107773.86404010141</v>
      </c>
      <c r="U474" s="819"/>
      <c r="V474" s="820"/>
      <c r="W474" s="802">
        <f>W81</f>
        <v>96860.055023382272</v>
      </c>
      <c r="X474" s="819"/>
      <c r="Y474" s="820"/>
      <c r="Z474" s="802">
        <f>Z81</f>
        <v>85946.246006663147</v>
      </c>
      <c r="AA474" s="819"/>
      <c r="AB474" s="820"/>
      <c r="AC474" s="802">
        <f>AC81</f>
        <v>77760.889244123799</v>
      </c>
      <c r="AD474" s="819"/>
      <c r="AE474" s="820"/>
      <c r="AF474" s="802">
        <f>AF81</f>
        <v>75032.436989944021</v>
      </c>
      <c r="AG474" s="819"/>
      <c r="AH474" s="820"/>
      <c r="AI474" s="802">
        <f>AI81</f>
        <v>73668.210862854117</v>
      </c>
      <c r="AJ474" s="819"/>
      <c r="AK474" s="820"/>
      <c r="AL474" s="802">
        <f>AL81</f>
        <v>64118.627973224888</v>
      </c>
      <c r="AM474" s="819"/>
      <c r="AN474" s="820"/>
      <c r="AO474" s="802">
        <f>AO81</f>
        <v>54569.045083595651</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1"/>
        <v>Programme neuf 1</v>
      </c>
      <c r="B475" s="805" t="s">
        <v>145</v>
      </c>
      <c r="C475" s="819"/>
      <c r="D475" s="820"/>
      <c r="E475" s="802">
        <f t="shared" si="123"/>
        <v>140000</v>
      </c>
      <c r="F475" s="819"/>
      <c r="G475" s="820"/>
      <c r="H475" s="802">
        <f>H78</f>
        <v>0</v>
      </c>
      <c r="I475" s="819"/>
      <c r="J475" s="820"/>
      <c r="K475" s="802">
        <f>K78</f>
        <v>0</v>
      </c>
      <c r="L475" s="819"/>
      <c r="M475" s="820"/>
      <c r="N475" s="802">
        <f>N78</f>
        <v>35000</v>
      </c>
      <c r="O475" s="819"/>
      <c r="P475" s="820"/>
      <c r="Q475" s="802">
        <f>Q78</f>
        <v>0</v>
      </c>
      <c r="R475" s="819"/>
      <c r="S475" s="820"/>
      <c r="T475" s="802">
        <f>T78</f>
        <v>0</v>
      </c>
      <c r="U475" s="819"/>
      <c r="V475" s="820"/>
      <c r="W475" s="802">
        <f>W78</f>
        <v>35000</v>
      </c>
      <c r="X475" s="819"/>
      <c r="Y475" s="820"/>
      <c r="Z475" s="802">
        <f>Z78</f>
        <v>0</v>
      </c>
      <c r="AA475" s="819"/>
      <c r="AB475" s="820"/>
      <c r="AC475" s="802">
        <f>AC78</f>
        <v>0</v>
      </c>
      <c r="AD475" s="819"/>
      <c r="AE475" s="820"/>
      <c r="AF475" s="802">
        <f>AF78</f>
        <v>35000</v>
      </c>
      <c r="AG475" s="819"/>
      <c r="AH475" s="820"/>
      <c r="AI475" s="802">
        <f>AI78</f>
        <v>0</v>
      </c>
      <c r="AJ475" s="819"/>
      <c r="AK475" s="820"/>
      <c r="AL475" s="802">
        <f>AL78</f>
        <v>0</v>
      </c>
      <c r="AM475" s="819"/>
      <c r="AN475" s="820"/>
      <c r="AO475" s="802">
        <f>AO78</f>
        <v>35000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1"/>
        <v>Programme neuf 2</v>
      </c>
      <c r="B476" s="805" t="s">
        <v>146</v>
      </c>
      <c r="C476" s="819"/>
      <c r="D476" s="820"/>
      <c r="E476" s="802">
        <f t="shared" si="123"/>
        <v>0</v>
      </c>
      <c r="F476" s="819"/>
      <c r="G476" s="820"/>
      <c r="H476" s="802">
        <f>H79</f>
        <v>0</v>
      </c>
      <c r="I476" s="819"/>
      <c r="J476" s="820"/>
      <c r="K476" s="802">
        <f>K79</f>
        <v>0</v>
      </c>
      <c r="L476" s="819"/>
      <c r="M476" s="820"/>
      <c r="N476" s="802">
        <f>N79</f>
        <v>0</v>
      </c>
      <c r="O476" s="819"/>
      <c r="P476" s="820"/>
      <c r="Q476" s="802">
        <f>Q79</f>
        <v>0</v>
      </c>
      <c r="R476" s="819"/>
      <c r="S476" s="820"/>
      <c r="T476" s="802">
        <f>T79</f>
        <v>0</v>
      </c>
      <c r="U476" s="819"/>
      <c r="V476" s="820"/>
      <c r="W476" s="802">
        <f>W79</f>
        <v>0</v>
      </c>
      <c r="X476" s="819"/>
      <c r="Y476" s="820"/>
      <c r="Z476" s="802">
        <f>Z79</f>
        <v>0</v>
      </c>
      <c r="AA476" s="819"/>
      <c r="AB476" s="820"/>
      <c r="AC476" s="802">
        <f>AC79</f>
        <v>0</v>
      </c>
      <c r="AD476" s="819"/>
      <c r="AE476" s="820"/>
      <c r="AF476" s="802">
        <f>AF79</f>
        <v>0</v>
      </c>
      <c r="AG476" s="819"/>
      <c r="AH476" s="820"/>
      <c r="AI476" s="802">
        <f>AI79</f>
        <v>0</v>
      </c>
      <c r="AJ476" s="819"/>
      <c r="AK476" s="820"/>
      <c r="AL476" s="802">
        <f>AL79</f>
        <v>0</v>
      </c>
      <c r="AM476" s="819"/>
      <c r="AN476" s="820"/>
      <c r="AO476" s="802">
        <f>AO79</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1"/>
        <v>Programme neuf 3</v>
      </c>
      <c r="B477" s="805" t="s">
        <v>147</v>
      </c>
      <c r="C477" s="819"/>
      <c r="D477" s="820"/>
      <c r="E477" s="802">
        <f t="shared" si="123"/>
        <v>0</v>
      </c>
      <c r="F477" s="819"/>
      <c r="G477" s="820"/>
      <c r="H477" s="802">
        <f>H80</f>
        <v>0</v>
      </c>
      <c r="I477" s="819"/>
      <c r="J477" s="820"/>
      <c r="K477" s="802">
        <f>K80</f>
        <v>0</v>
      </c>
      <c r="L477" s="819"/>
      <c r="M477" s="820"/>
      <c r="N477" s="802">
        <f>N80</f>
        <v>0</v>
      </c>
      <c r="O477" s="819"/>
      <c r="P477" s="820"/>
      <c r="Q477" s="802">
        <f>Q80</f>
        <v>0</v>
      </c>
      <c r="R477" s="819"/>
      <c r="S477" s="820"/>
      <c r="T477" s="802">
        <f>T80</f>
        <v>0</v>
      </c>
      <c r="U477" s="819"/>
      <c r="V477" s="820"/>
      <c r="W477" s="802">
        <f>W80</f>
        <v>0</v>
      </c>
      <c r="X477" s="819"/>
      <c r="Y477" s="820"/>
      <c r="Z477" s="802">
        <f>Z80</f>
        <v>0</v>
      </c>
      <c r="AA477" s="819"/>
      <c r="AB477" s="820"/>
      <c r="AC477" s="802">
        <f>AC80</f>
        <v>0</v>
      </c>
      <c r="AD477" s="819"/>
      <c r="AE477" s="820"/>
      <c r="AF477" s="802">
        <f>AF80</f>
        <v>0</v>
      </c>
      <c r="AG477" s="819"/>
      <c r="AH477" s="820"/>
      <c r="AI477" s="802">
        <f>AI80</f>
        <v>0</v>
      </c>
      <c r="AJ477" s="819"/>
      <c r="AK477" s="820"/>
      <c r="AL477" s="802">
        <f>AL80</f>
        <v>0</v>
      </c>
      <c r="AM477" s="819"/>
      <c r="AN477" s="820"/>
      <c r="AO477" s="802">
        <f>AO80</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1"/>
        <v>Programme used 1</v>
      </c>
      <c r="B478" s="805" t="s">
        <v>158</v>
      </c>
      <c r="C478" s="819"/>
      <c r="D478" s="820"/>
      <c r="E478" s="802">
        <f t="shared" si="123"/>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1"/>
        <v>Programme used 2</v>
      </c>
      <c r="B479" s="805" t="s">
        <v>159</v>
      </c>
      <c r="C479" s="819"/>
      <c r="D479" s="820"/>
      <c r="E479" s="802">
        <f t="shared" si="123"/>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1"/>
        <v>Programme used 3</v>
      </c>
      <c r="B480" s="805" t="s">
        <v>160</v>
      </c>
      <c r="C480" s="819"/>
      <c r="D480" s="820"/>
      <c r="E480" s="802">
        <f t="shared" si="123"/>
        <v>0</v>
      </c>
      <c r="F480" s="819"/>
      <c r="G480" s="820"/>
      <c r="H480" s="802">
        <f>H162</f>
        <v>0</v>
      </c>
      <c r="I480" s="819"/>
      <c r="J480" s="820"/>
      <c r="K480" s="802">
        <f>K162</f>
        <v>0</v>
      </c>
      <c r="L480" s="819"/>
      <c r="M480" s="820"/>
      <c r="N480" s="802">
        <f>N162</f>
        <v>0</v>
      </c>
      <c r="O480" s="819"/>
      <c r="P480" s="820"/>
      <c r="Q480" s="802">
        <f>Q162</f>
        <v>0</v>
      </c>
      <c r="R480" s="819"/>
      <c r="S480" s="820"/>
      <c r="T480" s="802">
        <f>T162</f>
        <v>0</v>
      </c>
      <c r="U480" s="819"/>
      <c r="V480" s="820"/>
      <c r="W480" s="802">
        <f>W162</f>
        <v>0</v>
      </c>
      <c r="X480" s="819"/>
      <c r="Y480" s="820"/>
      <c r="Z480" s="802">
        <f>Z162</f>
        <v>0</v>
      </c>
      <c r="AA480" s="819"/>
      <c r="AB480" s="820"/>
      <c r="AC480" s="802">
        <f>AC162</f>
        <v>0</v>
      </c>
      <c r="AD480" s="819"/>
      <c r="AE480" s="820"/>
      <c r="AF480" s="802">
        <f>AF162</f>
        <v>0</v>
      </c>
      <c r="AG480" s="819"/>
      <c r="AH480" s="820"/>
      <c r="AI480" s="802">
        <f>AI162</f>
        <v>0</v>
      </c>
      <c r="AJ480" s="819"/>
      <c r="AK480" s="820"/>
      <c r="AL480" s="802">
        <f>AL162</f>
        <v>0</v>
      </c>
      <c r="AM480" s="819"/>
      <c r="AN480" s="820"/>
      <c r="AO480" s="802">
        <f>AO162</f>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1"/>
        <v>[...]</v>
      </c>
      <c r="B481" s="839" t="s">
        <v>59</v>
      </c>
      <c r="C481" s="819"/>
      <c r="D481" s="820"/>
      <c r="E481" s="802">
        <f t="shared" si="123"/>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1"/>
        <v>[...]</v>
      </c>
      <c r="B482" s="839" t="s">
        <v>59</v>
      </c>
      <c r="C482" s="819"/>
      <c r="D482" s="820"/>
      <c r="E482" s="802">
        <f t="shared" si="123"/>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1"/>
        <v>[...]</v>
      </c>
      <c r="B483" s="839" t="s">
        <v>59</v>
      </c>
      <c r="C483" s="819"/>
      <c r="D483" s="820"/>
      <c r="E483" s="802">
        <f t="shared" si="123"/>
        <v>0</v>
      </c>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802"/>
      <c r="AJ483" s="819"/>
      <c r="AK483" s="820"/>
      <c r="AL483" s="802"/>
      <c r="AM483" s="819"/>
      <c r="AN483" s="820"/>
      <c r="AO483" s="802"/>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121"/>
        <v>Frais administration</v>
      </c>
      <c r="B484" s="808" t="s">
        <v>149</v>
      </c>
      <c r="C484" s="821"/>
      <c r="D484" s="820"/>
      <c r="E484" s="802">
        <f t="shared" si="123"/>
        <v>571542.79999999993</v>
      </c>
      <c r="F484" s="821"/>
      <c r="G484" s="820"/>
      <c r="H484" s="802">
        <f>H85+H166</f>
        <v>36404</v>
      </c>
      <c r="I484" s="821"/>
      <c r="J484" s="820"/>
      <c r="K484" s="802">
        <f>K85+K166</f>
        <v>38224.199999999997</v>
      </c>
      <c r="L484" s="821"/>
      <c r="M484" s="820"/>
      <c r="N484" s="802">
        <f>N85+N166</f>
        <v>55971.149999999994</v>
      </c>
      <c r="O484" s="821"/>
      <c r="P484" s="820"/>
      <c r="Q484" s="802">
        <f>Q85+Q166</f>
        <v>57791.349999999991</v>
      </c>
      <c r="R484" s="821"/>
      <c r="S484" s="820"/>
      <c r="T484" s="802">
        <f>T85+T166</f>
        <v>60066.599999999991</v>
      </c>
      <c r="U484" s="821"/>
      <c r="V484" s="820"/>
      <c r="W484" s="802">
        <f>W85+W166</f>
        <v>55516.099999999991</v>
      </c>
      <c r="X484" s="821"/>
      <c r="Y484" s="820"/>
      <c r="Z484" s="802">
        <f>Z85+Z166</f>
        <v>50965.599999999991</v>
      </c>
      <c r="AA484" s="821"/>
      <c r="AB484" s="820"/>
      <c r="AC484" s="802">
        <f>AC85+AC166</f>
        <v>47780.25</v>
      </c>
      <c r="AD484" s="821"/>
      <c r="AE484" s="820"/>
      <c r="AF484" s="802">
        <f>AF85+AF166</f>
        <v>46870.149999999994</v>
      </c>
      <c r="AG484" s="821"/>
      <c r="AH484" s="820"/>
      <c r="AI484" s="802">
        <f>AI85+AI166</f>
        <v>45960.049999999996</v>
      </c>
      <c r="AJ484" s="821"/>
      <c r="AK484" s="820"/>
      <c r="AL484" s="802">
        <f>AL85+AL166</f>
        <v>40954.5</v>
      </c>
      <c r="AM484" s="821"/>
      <c r="AN484" s="820"/>
      <c r="AO484" s="802">
        <f>AO85+AO166</f>
        <v>35038.85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21"/>
        <v>TOTAL AUTRES REVENUS</v>
      </c>
      <c r="B485" s="1083" t="s">
        <v>217</v>
      </c>
      <c r="C485" s="1084">
        <f>IFERROR(E485/+E411,0)</f>
        <v>0.18595474075708701</v>
      </c>
      <c r="D485" s="1097"/>
      <c r="E485" s="1086">
        <f>SUM(E473:E484)</f>
        <v>1762871.8024880025</v>
      </c>
      <c r="F485" s="1084">
        <f>IFERROR(H485/+H411,0)</f>
        <v>0.16343007720105296</v>
      </c>
      <c r="G485" s="1097"/>
      <c r="H485" s="1086">
        <f>SUM(H473:H484)</f>
        <v>99158.401846134992</v>
      </c>
      <c r="I485" s="1084">
        <f>IFERROR(K485/+K411,0)</f>
        <v>0.1734558086172667</v>
      </c>
      <c r="J485" s="1097"/>
      <c r="K485" s="1086">
        <f>SUM(K473:K484)</f>
        <v>106435.50635449456</v>
      </c>
      <c r="L485" s="1084">
        <f>IFERROR(N485/+N411,0)</f>
        <v>0.25333399016125691</v>
      </c>
      <c r="M485" s="1097"/>
      <c r="N485" s="1086">
        <f>SUM(N473:N484)</f>
        <v>211923.88340465195</v>
      </c>
      <c r="O485" s="1084">
        <f>IFERROR(Q485/+Q411,0)</f>
        <v>0.18167482855604025</v>
      </c>
      <c r="P485" s="1097"/>
      <c r="Q485" s="1086">
        <f>SUM(Q473:Q484)</f>
        <v>161472.53565883171</v>
      </c>
      <c r="R485" s="1084">
        <f>IFERROR(T485/+T411,0)</f>
        <v>0.17734867007651539</v>
      </c>
      <c r="S485" s="1097"/>
      <c r="T485" s="1086">
        <f>SUM(T473:T484)</f>
        <v>167840.46404010139</v>
      </c>
      <c r="U485" s="1084">
        <f>IFERROR(W485/+W411,0)</f>
        <v>0.24248314854567724</v>
      </c>
      <c r="V485" s="1097"/>
      <c r="W485" s="1086">
        <f>SUM(W473:W484)</f>
        <v>207376.15502338228</v>
      </c>
      <c r="X485" s="1084">
        <f>IFERROR(Z485/+Z411,0)</f>
        <v>0.16873768240877607</v>
      </c>
      <c r="Y485" s="1097"/>
      <c r="Z485" s="1086">
        <f>SUM(Z473:Z484)</f>
        <v>136911.84600666314</v>
      </c>
      <c r="AA485" s="1084">
        <f>IFERROR(AC485/+AC411,0)</f>
        <v>0.15950342404370546</v>
      </c>
      <c r="AB485" s="1097"/>
      <c r="AC485" s="1086">
        <f>SUM(AC473:AC484)</f>
        <v>125541.1392441238</v>
      </c>
      <c r="AD485" s="1084">
        <f>IFERROR(AF485/+AF411,0)</f>
        <v>0.21534647573006824</v>
      </c>
      <c r="AE485" s="1097"/>
      <c r="AF485" s="1086">
        <f>SUM(AF473:AF484)</f>
        <v>176902.58698994401</v>
      </c>
      <c r="AG485" s="1084">
        <f>IFERROR(AI485/+AI411,0)</f>
        <v>0.14523780075968168</v>
      </c>
      <c r="AH485" s="1097"/>
      <c r="AI485" s="1086">
        <f>SUM(AI473:AI484)</f>
        <v>119628.26086285411</v>
      </c>
      <c r="AJ485" s="1084">
        <f>IFERROR(AL485/+AL411,0)</f>
        <v>0.12325154040828194</v>
      </c>
      <c r="AK485" s="1097"/>
      <c r="AL485" s="1086">
        <f>SUM(AL473:AL484)</f>
        <v>105073.12797322488</v>
      </c>
      <c r="AM485" s="1084">
        <f>IFERROR(AO485/+AO411,0)</f>
        <v>0.22712338006196364</v>
      </c>
      <c r="AN485" s="1097"/>
      <c r="AO485" s="1086">
        <f>SUM(AO473:AO484)</f>
        <v>144607.89508359565</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f t="shared" si="121"/>
        <v>0</v>
      </c>
      <c r="B486" s="1098"/>
      <c r="C486" s="1098"/>
      <c r="D486" s="1099"/>
      <c r="E486" s="1096"/>
      <c r="F486" s="1098"/>
      <c r="G486" s="1099"/>
      <c r="H486" s="1096"/>
      <c r="I486" s="1098"/>
      <c r="J486" s="1099"/>
      <c r="K486" s="1096"/>
      <c r="L486" s="1098"/>
      <c r="M486" s="1099"/>
      <c r="N486" s="1096"/>
      <c r="O486" s="1098"/>
      <c r="P486" s="1099"/>
      <c r="Q486" s="1096"/>
      <c r="R486" s="1098"/>
      <c r="S486" s="1099"/>
      <c r="T486" s="1096"/>
      <c r="U486" s="1098"/>
      <c r="V486" s="1099"/>
      <c r="W486" s="1096"/>
      <c r="X486" s="1098"/>
      <c r="Y486" s="1099"/>
      <c r="Z486" s="1096"/>
      <c r="AA486" s="1098"/>
      <c r="AB486" s="1099"/>
      <c r="AC486" s="1096"/>
      <c r="AD486" s="1098"/>
      <c r="AE486" s="1099"/>
      <c r="AF486" s="1096"/>
      <c r="AG486" s="1098"/>
      <c r="AH486" s="1099"/>
      <c r="AI486" s="1096"/>
      <c r="AJ486" s="1098"/>
      <c r="AK486" s="1099"/>
      <c r="AL486" s="1096"/>
      <c r="AM486" s="1098"/>
      <c r="AN486" s="1099"/>
      <c r="AO486" s="1096"/>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t="str">
        <f t="shared" si="121"/>
        <v>BAIIA OPÉRATIONNEL</v>
      </c>
      <c r="B487" s="1100" t="s">
        <v>218</v>
      </c>
      <c r="C487" s="822" t="s">
        <v>219</v>
      </c>
      <c r="D487" s="823">
        <f>IFERROR(E487/E410,0)</f>
        <v>3.2491153001512826E-2</v>
      </c>
      <c r="E487" s="824">
        <f>E411-E472+E485</f>
        <v>2155513.479543719</v>
      </c>
      <c r="F487" s="825" t="s">
        <v>219</v>
      </c>
      <c r="G487" s="826">
        <f>IFERROR(H487/H410,0)</f>
        <v>-3.5590922462002063E-3</v>
      </c>
      <c r="H487" s="827">
        <f>H411-H472+H485</f>
        <v>-15088.743608336241</v>
      </c>
      <c r="I487" s="825" t="s">
        <v>219</v>
      </c>
      <c r="J487" s="826">
        <f>IFERROR(K487/K410,0)</f>
        <v>1.2387999749519794E-2</v>
      </c>
      <c r="K487" s="827">
        <f>K411-K472+K485</f>
        <v>53902.709982278015</v>
      </c>
      <c r="L487" s="825" t="s">
        <v>219</v>
      </c>
      <c r="M487" s="826">
        <f>IFERROR(N487/N410,0)</f>
        <v>4.8764795447556297E-2</v>
      </c>
      <c r="N487" s="827">
        <f>N411-N472+N485</f>
        <v>292476.8853468005</v>
      </c>
      <c r="O487" s="825" t="s">
        <v>219</v>
      </c>
      <c r="P487" s="826">
        <f>IFERROR(Q487/Q410,0)</f>
        <v>3.441779502759805E-2</v>
      </c>
      <c r="Q487" s="827">
        <f>Q411-Q472+Q485</f>
        <v>215765.39768475073</v>
      </c>
      <c r="R487" s="825" t="s">
        <v>219</v>
      </c>
      <c r="S487" s="826">
        <f>IFERROR(T487/T410,0)</f>
        <v>4.1505720469304362E-2</v>
      </c>
      <c r="T487" s="827">
        <f>T411-T472+T485</f>
        <v>277176.07275775063</v>
      </c>
      <c r="U487" s="825" t="s">
        <v>219</v>
      </c>
      <c r="V487" s="826">
        <f>IFERROR(W487/W410,0)</f>
        <v>5.1403178399448662E-2</v>
      </c>
      <c r="W487" s="827">
        <f>W411-W472+W485</f>
        <v>327564.36002079654</v>
      </c>
      <c r="X487" s="825" t="s">
        <v>219</v>
      </c>
      <c r="Y487" s="826">
        <f>IFERROR(Z487/Z410,0)</f>
        <v>2.8147877473907432E-2</v>
      </c>
      <c r="Z487" s="827">
        <f>Z411-Z472+Z485</f>
        <v>170240.58197162111</v>
      </c>
      <c r="AA487" s="825" t="s">
        <v>219</v>
      </c>
      <c r="AB487" s="826">
        <f>IFERROR(AC487/AC410,0)</f>
        <v>3.4914803230550844E-2</v>
      </c>
      <c r="AC487" s="827">
        <f>AC411-AC472+AC485</f>
        <v>199988.03194757432</v>
      </c>
      <c r="AD487" s="825" t="s">
        <v>219</v>
      </c>
      <c r="AE487" s="826">
        <f>IFERROR(AF487/AF410,0)</f>
        <v>5.1853669102398754E-2</v>
      </c>
      <c r="AF487" s="827">
        <f>AF411-AF472+AF485</f>
        <v>286355.97688041418</v>
      </c>
      <c r="AG487" s="825" t="s">
        <v>219</v>
      </c>
      <c r="AH487" s="826">
        <f>IFERROR(AI487/AI410,0)</f>
        <v>2.3176719010663163E-2</v>
      </c>
      <c r="AI487" s="827">
        <f>AI411-AI472+AI485</f>
        <v>132370.17632015367</v>
      </c>
      <c r="AJ487" s="825" t="s">
        <v>219</v>
      </c>
      <c r="AK487" s="826">
        <f>IFERROR(AL487/AL410,0)</f>
        <v>3.2719074314171905E-2</v>
      </c>
      <c r="AL487" s="827">
        <f>AL411-AL472+AL485</f>
        <v>169969.6324853866</v>
      </c>
      <c r="AM487" s="825" t="s">
        <v>219</v>
      </c>
      <c r="AN487" s="826">
        <f>IFERROR(AO487/AO410,0)</f>
        <v>1.0591331435732456E-2</v>
      </c>
      <c r="AO487" s="827">
        <f>AO411-AO472+AO485</f>
        <v>44792.397754527046</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2"/>
      <c r="C488" s="707"/>
      <c r="D488" s="707"/>
      <c r="E488" s="828"/>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2" t="str">
        <f>B4</f>
        <v>Budget 2025</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2"/>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2"/>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042"/>
      <c r="C492" s="707"/>
      <c r="D492" s="707"/>
      <c r="E492" s="828"/>
      <c r="F492" s="707"/>
      <c r="G492" s="707"/>
      <c r="H492" s="828"/>
      <c r="I492" s="707"/>
      <c r="J492" s="707"/>
      <c r="K492" s="828"/>
      <c r="L492" s="707"/>
      <c r="M492" s="707"/>
      <c r="N492" s="828"/>
      <c r="O492" s="707"/>
      <c r="P492" s="707"/>
      <c r="Q492" s="828"/>
      <c r="R492" s="707"/>
      <c r="S492" s="707"/>
      <c r="T492" s="828"/>
      <c r="U492" s="707"/>
      <c r="V492" s="707"/>
      <c r="W492" s="828"/>
      <c r="X492" s="707"/>
      <c r="Y492" s="707"/>
      <c r="Z492" s="828"/>
      <c r="AA492" s="707"/>
      <c r="AB492" s="707"/>
      <c r="AC492" s="828"/>
      <c r="AD492" s="707"/>
      <c r="AE492" s="707"/>
      <c r="AF492" s="828"/>
      <c r="AG492" s="707"/>
      <c r="AH492" s="707"/>
      <c r="AI492" s="828"/>
      <c r="AJ492" s="707"/>
      <c r="AK492" s="707"/>
      <c r="AL492" s="828"/>
      <c r="AM492" s="707"/>
      <c r="AN492" s="707"/>
      <c r="AO492" s="828"/>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1" t="s">
        <v>218</v>
      </c>
      <c r="C493" s="829" t="s">
        <v>219</v>
      </c>
      <c r="D493" s="830">
        <f>IFERROR(E493/E410,0)</f>
        <v>3.2491153001512826E-2</v>
      </c>
      <c r="E493" s="831">
        <f>E487</f>
        <v>2155513.479543719</v>
      </c>
      <c r="F493" s="832" t="s">
        <v>219</v>
      </c>
      <c r="G493" s="830">
        <f>IFERROR(H493/H410,0)</f>
        <v>-3.5590922462002063E-3</v>
      </c>
      <c r="H493" s="833">
        <f>H487</f>
        <v>-15088.743608336241</v>
      </c>
      <c r="I493" s="832" t="s">
        <v>219</v>
      </c>
      <c r="J493" s="830">
        <f>IFERROR(K493/K410,0)</f>
        <v>1.2387999749519794E-2</v>
      </c>
      <c r="K493" s="833">
        <f>K487</f>
        <v>53902.709982278015</v>
      </c>
      <c r="L493" s="832" t="s">
        <v>219</v>
      </c>
      <c r="M493" s="830">
        <f>IFERROR(N493/N410,0)</f>
        <v>4.8764795447556297E-2</v>
      </c>
      <c r="N493" s="833">
        <f>N487</f>
        <v>292476.8853468005</v>
      </c>
      <c r="O493" s="832" t="s">
        <v>219</v>
      </c>
      <c r="P493" s="830">
        <f>IFERROR(Q493/Q410,0)</f>
        <v>3.441779502759805E-2</v>
      </c>
      <c r="Q493" s="833">
        <f>Q487</f>
        <v>215765.39768475073</v>
      </c>
      <c r="R493" s="832" t="s">
        <v>219</v>
      </c>
      <c r="S493" s="830">
        <f>IFERROR(T493/T410,0)</f>
        <v>4.1505720469304362E-2</v>
      </c>
      <c r="T493" s="833">
        <f>T487</f>
        <v>277176.07275775063</v>
      </c>
      <c r="U493" s="832" t="s">
        <v>219</v>
      </c>
      <c r="V493" s="830">
        <f>IFERROR(W493/W410,0)</f>
        <v>5.1403178399448662E-2</v>
      </c>
      <c r="W493" s="833">
        <f>W487</f>
        <v>327564.36002079654</v>
      </c>
      <c r="X493" s="832" t="s">
        <v>219</v>
      </c>
      <c r="Y493" s="830">
        <f>IFERROR(Z493/Z410,0)</f>
        <v>2.8147877473907432E-2</v>
      </c>
      <c r="Z493" s="833">
        <f>Z487</f>
        <v>170240.58197162111</v>
      </c>
      <c r="AA493" s="832" t="s">
        <v>219</v>
      </c>
      <c r="AB493" s="830">
        <f>IFERROR(AC493/AC410,0)</f>
        <v>3.4914803230550844E-2</v>
      </c>
      <c r="AC493" s="833">
        <f>AC487</f>
        <v>199988.03194757432</v>
      </c>
      <c r="AD493" s="832" t="s">
        <v>219</v>
      </c>
      <c r="AE493" s="830">
        <f>IFERROR(AF493/AF410,0)</f>
        <v>5.1853669102398754E-2</v>
      </c>
      <c r="AF493" s="833">
        <f>AF487</f>
        <v>286355.97688041418</v>
      </c>
      <c r="AG493" s="832" t="s">
        <v>219</v>
      </c>
      <c r="AH493" s="830">
        <f>IFERROR(AI493/AI410,0)</f>
        <v>2.3176719010663163E-2</v>
      </c>
      <c r="AI493" s="833">
        <f>AI487</f>
        <v>132370.17632015367</v>
      </c>
      <c r="AJ493" s="832" t="s">
        <v>219</v>
      </c>
      <c r="AK493" s="830">
        <f>IFERROR(AL493/AL410,0)</f>
        <v>3.2719074314171905E-2</v>
      </c>
      <c r="AL493" s="833">
        <f>AL487</f>
        <v>169969.6324853866</v>
      </c>
      <c r="AM493" s="832" t="s">
        <v>219</v>
      </c>
      <c r="AN493" s="830">
        <f>IFERROR(AO493/AO410,0)</f>
        <v>1.0591331435732456E-2</v>
      </c>
      <c r="AO493" s="833">
        <f>AO487</f>
        <v>44792.397754527046</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1102"/>
      <c r="C494" s="834"/>
      <c r="D494" s="834"/>
      <c r="E494" s="834"/>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124">B495</f>
        <v>Amortissement</v>
      </c>
      <c r="B495" s="1103" t="s">
        <v>221</v>
      </c>
      <c r="C495" s="801"/>
      <c r="D495" s="804"/>
      <c r="E495" s="837">
        <f>+SUM(H495,K495,N495,Q495,T495,W495,Z495,AC495,AF495,AI495,AL495,AO495)</f>
        <v>114200.00000000001</v>
      </c>
      <c r="F495" s="805"/>
      <c r="G495" s="804"/>
      <c r="H495" s="809">
        <f>SUM([1]DEPA!$C$288:$C$288)</f>
        <v>9516.6666666666661</v>
      </c>
      <c r="I495" s="805"/>
      <c r="J495" s="804"/>
      <c r="K495" s="809">
        <f>SUM([1]DEPA!$D$288:$D$288)</f>
        <v>9516.6666666666661</v>
      </c>
      <c r="L495" s="805"/>
      <c r="M495" s="804"/>
      <c r="N495" s="809">
        <f>SUM([1]DEPA!$E$288:$E$288)</f>
        <v>9516.6666666666661</v>
      </c>
      <c r="O495" s="805"/>
      <c r="P495" s="804"/>
      <c r="Q495" s="809">
        <f>SUM([1]DEPA!$F$288:$F$288)</f>
        <v>9516.6666666666661</v>
      </c>
      <c r="R495" s="805"/>
      <c r="S495" s="804"/>
      <c r="T495" s="809">
        <f>SUM([1]DEPA!$G$288:$G$288)</f>
        <v>9516.6666666666661</v>
      </c>
      <c r="U495" s="805"/>
      <c r="V495" s="804"/>
      <c r="W495" s="809">
        <f>SUM([1]DEPA!$H$288:$H$288)</f>
        <v>9516.6666666666661</v>
      </c>
      <c r="X495" s="805"/>
      <c r="Y495" s="804"/>
      <c r="Z495" s="809">
        <f>SUM([1]DEPA!$I$288:$I$288)</f>
        <v>9516.6666666666661</v>
      </c>
      <c r="AA495" s="805"/>
      <c r="AB495" s="804"/>
      <c r="AC495" s="809">
        <f>SUM([1]DEPA!$J$288:$J$288)</f>
        <v>9516.6666666666661</v>
      </c>
      <c r="AD495" s="805"/>
      <c r="AE495" s="804"/>
      <c r="AF495" s="809">
        <f>SUM([1]DEPA!$K$288:$K$288)</f>
        <v>9516.6666666666661</v>
      </c>
      <c r="AG495" s="805"/>
      <c r="AH495" s="804"/>
      <c r="AI495" s="809">
        <f>SUM([1]DEPA!$L$288:$L$288)</f>
        <v>9516.6666666666661</v>
      </c>
      <c r="AJ495" s="805"/>
      <c r="AK495" s="804"/>
      <c r="AL495" s="809">
        <f>SUM([1]DEPA!$M$288:$M$288)</f>
        <v>9516.6666666666661</v>
      </c>
      <c r="AM495" s="805"/>
      <c r="AN495" s="804"/>
      <c r="AO495" s="809">
        <f>SUM([1]DEPA!$N$288:$N$288)</f>
        <v>9516.6666666666661</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4"/>
        <v>Intérêts sur marge</v>
      </c>
      <c r="B496" s="1103" t="s">
        <v>222</v>
      </c>
      <c r="C496" s="739"/>
      <c r="D496" s="707"/>
      <c r="E496" s="837">
        <f>+SUM(H496,K496,N496,Q496,T496,W496,Z496,AC496,AF496,AI496,AL496,AO496)</f>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4"/>
        <v>Intérêts sur prêt</v>
      </c>
      <c r="B497" s="1103" t="s">
        <v>223</v>
      </c>
      <c r="C497" s="707"/>
      <c r="D497" s="707"/>
      <c r="E497" s="837">
        <f>+SUM(H497,K497,N497,Q497,T497,W497,Z497,AC497,AF497,AI497,AL497,AO497)</f>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80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4"/>
        <v>Intérêts sur avance</v>
      </c>
      <c r="B498" s="1103" t="s">
        <v>224</v>
      </c>
      <c r="C498" s="748"/>
      <c r="D498" s="748"/>
      <c r="E498" s="837">
        <f>+SUM(H498,K498,N498,Q498,T498,W498,Z498,AC498,AF498,AI498,AL498,AO498)</f>
        <v>0</v>
      </c>
      <c r="F498" s="840"/>
      <c r="G498" s="748"/>
      <c r="H498" s="809"/>
      <c r="I498" s="840"/>
      <c r="J498" s="748"/>
      <c r="K498" s="809"/>
      <c r="L498" s="840"/>
      <c r="M498" s="748"/>
      <c r="N498" s="809"/>
      <c r="O498" s="840"/>
      <c r="P498" s="748"/>
      <c r="Q498" s="809"/>
      <c r="R498" s="840"/>
      <c r="S498" s="748"/>
      <c r="T498" s="809"/>
      <c r="U498" s="840"/>
      <c r="V498" s="748"/>
      <c r="W498" s="809"/>
      <c r="X498" s="840"/>
      <c r="Y498" s="748"/>
      <c r="Z498" s="809"/>
      <c r="AA498" s="840"/>
      <c r="AB498" s="748"/>
      <c r="AC498" s="809"/>
      <c r="AD498" s="840"/>
      <c r="AE498" s="748"/>
      <c r="AF498" s="809"/>
      <c r="AG498" s="840"/>
      <c r="AH498" s="748"/>
      <c r="AI498" s="809"/>
      <c r="AJ498" s="840"/>
      <c r="AK498" s="748"/>
      <c r="AL498" s="809"/>
      <c r="AM498" s="840"/>
      <c r="AN498" s="748"/>
      <c r="AO498" s="809"/>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4"/>
        <v>[...]</v>
      </c>
      <c r="B499" s="1104" t="s">
        <v>59</v>
      </c>
      <c r="C499" s="748"/>
      <c r="D499" s="748"/>
      <c r="E499" s="837"/>
      <c r="F499" s="840"/>
      <c r="G499" s="748"/>
      <c r="H499" s="802"/>
      <c r="I499" s="840"/>
      <c r="J499" s="748"/>
      <c r="K499" s="802"/>
      <c r="L499" s="840"/>
      <c r="M499" s="748"/>
      <c r="N499" s="802"/>
      <c r="O499" s="840"/>
      <c r="P499" s="748"/>
      <c r="Q499" s="802"/>
      <c r="R499" s="840"/>
      <c r="S499" s="748"/>
      <c r="T499" s="802"/>
      <c r="U499" s="840"/>
      <c r="V499" s="748"/>
      <c r="W499" s="802"/>
      <c r="X499" s="840"/>
      <c r="Y499" s="748"/>
      <c r="Z499" s="802"/>
      <c r="AA499" s="840"/>
      <c r="AB499" s="748"/>
      <c r="AC499" s="802"/>
      <c r="AD499" s="840"/>
      <c r="AE499" s="748"/>
      <c r="AF499" s="802"/>
      <c r="AG499" s="840"/>
      <c r="AH499" s="748"/>
      <c r="AI499" s="802"/>
      <c r="AJ499" s="840"/>
      <c r="AK499" s="748"/>
      <c r="AL499" s="802"/>
      <c r="AM499" s="840"/>
      <c r="AN499" s="748"/>
      <c r="AO499" s="802"/>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4"/>
        <v>Revenus d'intérêts floor plan</v>
      </c>
      <c r="B500" s="1103" t="s">
        <v>3805</v>
      </c>
      <c r="C500" s="748"/>
      <c r="D500" s="748"/>
      <c r="E500" s="837">
        <f>+SUM(H500,K500,N500,Q500,T500,W500,Z500,AC500,AF500,AI500,AL500,AO500)</f>
        <v>0</v>
      </c>
      <c r="F500" s="840"/>
      <c r="G500" s="748"/>
      <c r="H500" s="802">
        <f>-'[1]Vehicules usages 2026'!E34</f>
        <v>0</v>
      </c>
      <c r="I500" s="840"/>
      <c r="J500" s="748"/>
      <c r="K500" s="802">
        <f>-'[1]Vehicules usages 2026'!F34</f>
        <v>0</v>
      </c>
      <c r="L500" s="840"/>
      <c r="M500" s="748"/>
      <c r="N500" s="802">
        <f>-'[1]Vehicules usages 2026'!G34</f>
        <v>0</v>
      </c>
      <c r="O500" s="840"/>
      <c r="P500" s="748"/>
      <c r="Q500" s="802">
        <f>-'[1]Vehicules usages 2026'!H34</f>
        <v>0</v>
      </c>
      <c r="R500" s="840"/>
      <c r="S500" s="748"/>
      <c r="T500" s="802">
        <f>-'[1]Vehicules usages 2026'!I34</f>
        <v>0</v>
      </c>
      <c r="U500" s="840"/>
      <c r="V500" s="748"/>
      <c r="W500" s="802">
        <f>-'[1]Vehicules usages 2026'!J34</f>
        <v>0</v>
      </c>
      <c r="X500" s="840"/>
      <c r="Y500" s="748"/>
      <c r="Z500" s="802">
        <f>-'[1]Vehicules usages 2026'!K34</f>
        <v>0</v>
      </c>
      <c r="AA500" s="840"/>
      <c r="AB500" s="748"/>
      <c r="AC500" s="802">
        <f>-'[1]Vehicules usages 2026'!L34</f>
        <v>0</v>
      </c>
      <c r="AD500" s="840"/>
      <c r="AE500" s="748"/>
      <c r="AF500" s="802">
        <f>-'[1]Vehicules usages 2026'!M34</f>
        <v>0</v>
      </c>
      <c r="AG500" s="840"/>
      <c r="AH500" s="748"/>
      <c r="AI500" s="802">
        <f>-'[1]Vehicules usages 2026'!N34</f>
        <v>0</v>
      </c>
      <c r="AJ500" s="840"/>
      <c r="AK500" s="748"/>
      <c r="AL500" s="802">
        <f>-'[1]Vehicules usages 2026'!O34</f>
        <v>0</v>
      </c>
      <c r="AM500" s="840"/>
      <c r="AN500" s="748"/>
      <c r="AO500" s="802">
        <f>-'[1]Vehicules usages 2026'!P34</f>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9" t="str">
        <f t="shared" si="124"/>
        <v>[...]</v>
      </c>
      <c r="B501" s="1105" t="s">
        <v>59</v>
      </c>
      <c r="C501" s="748"/>
      <c r="D501" s="748"/>
      <c r="E501" s="837"/>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1106" t="s">
        <v>225</v>
      </c>
      <c r="C502" s="841" t="s">
        <v>219</v>
      </c>
      <c r="D502" s="842">
        <f>IFERROR(E502/E410,0)</f>
        <v>3.0769758211832268E-2</v>
      </c>
      <c r="E502" s="843">
        <f>E493-E495-E496-E497-E498-E500</f>
        <v>2041313.479543719</v>
      </c>
      <c r="F502" s="844" t="s">
        <v>219</v>
      </c>
      <c r="G502" s="842">
        <f>IFERROR(H502/H410,0)</f>
        <v>-5.8038579750242002E-3</v>
      </c>
      <c r="H502" s="845">
        <f>H493-H495-H496-H497-H498</f>
        <v>-24605.410275002905</v>
      </c>
      <c r="I502" s="844" t="s">
        <v>219</v>
      </c>
      <c r="J502" s="842">
        <f>IFERROR(K502/K410,0)</f>
        <v>1.020086547887384E-2</v>
      </c>
      <c r="K502" s="845">
        <f>K493-K495-K496-K497-K498</f>
        <v>44386.04331561135</v>
      </c>
      <c r="L502" s="844" t="s">
        <v>219</v>
      </c>
      <c r="M502" s="842">
        <f>IFERROR(N502/N410,0)</f>
        <v>4.7178077567979919E-2</v>
      </c>
      <c r="N502" s="845">
        <f>N493-N495-N496-N497-N498</f>
        <v>282960.21868013381</v>
      </c>
      <c r="O502" s="844" t="s">
        <v>219</v>
      </c>
      <c r="P502" s="842">
        <f>IFERROR(Q502/Q410,0)</f>
        <v>3.2899744931549416E-2</v>
      </c>
      <c r="Q502" s="845">
        <f>Q493-Q495-Q496-Q497-Q498</f>
        <v>206248.73101808407</v>
      </c>
      <c r="R502" s="844" t="s">
        <v>219</v>
      </c>
      <c r="S502" s="842">
        <f>IFERROR(T502/T410,0)</f>
        <v>4.0080647581387963E-2</v>
      </c>
      <c r="T502" s="845">
        <f>T493-T495-T496-T497-T498</f>
        <v>267659.40609108395</v>
      </c>
      <c r="U502" s="844" t="s">
        <v>219</v>
      </c>
      <c r="V502" s="842">
        <f>IFERROR(W502/W410,0)</f>
        <v>4.9909771380432018E-2</v>
      </c>
      <c r="W502" s="845">
        <f>W493-W495-W496-W497-W498</f>
        <v>318047.69335412985</v>
      </c>
      <c r="X502" s="844" t="s">
        <v>219</v>
      </c>
      <c r="Y502" s="842">
        <f>IFERROR(Z502/Z410,0)</f>
        <v>2.6574375056381588E-2</v>
      </c>
      <c r="Z502" s="845">
        <f>Z493-Z495-Z496-Z497-Z498</f>
        <v>160723.91530495445</v>
      </c>
      <c r="AA502" s="844" t="s">
        <v>219</v>
      </c>
      <c r="AB502" s="842">
        <f>IFERROR(AC502/AC410,0)</f>
        <v>3.325334108783367E-2</v>
      </c>
      <c r="AC502" s="845">
        <f>AC493-AC495-AC496-AC497-AC498</f>
        <v>190471.36528090766</v>
      </c>
      <c r="AD502" s="844" t="s">
        <v>219</v>
      </c>
      <c r="AE502" s="842">
        <f>IFERROR(AF502/AF410,0)</f>
        <v>5.0130380174864889E-2</v>
      </c>
      <c r="AF502" s="845">
        <f>AF493-AF495-AF496-AF497-AF498</f>
        <v>276839.31021374749</v>
      </c>
      <c r="AG502" s="844" t="s">
        <v>219</v>
      </c>
      <c r="AH502" s="842">
        <f>IFERROR(AI502/AI410,0)</f>
        <v>2.1510444058229664E-2</v>
      </c>
      <c r="AI502" s="845">
        <f>AI493-AI495-AI496-AI497-AI498</f>
        <v>122853.509653487</v>
      </c>
      <c r="AJ502" s="844" t="s">
        <v>219</v>
      </c>
      <c r="AK502" s="842">
        <f>IFERROR(AL502/AL410,0)</f>
        <v>3.0887120456669505E-2</v>
      </c>
      <c r="AL502" s="845">
        <f>AL493-AL495-AL496-AL497-AL498</f>
        <v>160452.96581871994</v>
      </c>
      <c r="AM502" s="844" t="s">
        <v>219</v>
      </c>
      <c r="AN502" s="842">
        <f>IFERROR(AO502/AO410,0)</f>
        <v>8.3410796992116776E-3</v>
      </c>
      <c r="AO502" s="845">
        <f>AO493-AO495-AO496-AO497-AO498</f>
        <v>35275.731087860382</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mergeCells count="7">
    <mergeCell ref="C408:E408"/>
    <mergeCell ref="C6:E6"/>
    <mergeCell ref="C94:E94"/>
    <mergeCell ref="C174:E174"/>
    <mergeCell ref="C242:E242"/>
    <mergeCell ref="C297:E297"/>
    <mergeCell ref="C362:E362"/>
  </mergeCells>
  <conditionalFormatting sqref="C6 C9 E9:F9 C11:C17 E11:F17 C19:C27 E19:F27 D123:E125 C169:D171 E170:E171 C214:D214 C233:D233 C237:D239 E238:E239 C270:D270 C293:D294 E294 C334:D334 C357:D359 C404:D404">
    <cfRule type="expression" priority="94" stopIfTrue="1">
      <formula>"esterreur(reference)"</formula>
    </cfRule>
  </conditionalFormatting>
  <conditionalFormatting sqref="C94">
    <cfRule type="expression" priority="26" stopIfTrue="1">
      <formula>"esterreur(reference)"</formula>
    </cfRule>
  </conditionalFormatting>
  <conditionalFormatting sqref="C174">
    <cfRule type="expression" priority="24" stopIfTrue="1">
      <formula>"esterreur(reference)"</formula>
    </cfRule>
  </conditionalFormatting>
  <conditionalFormatting sqref="C242">
    <cfRule type="expression" priority="22" stopIfTrue="1">
      <formula>"esterreur(reference)"</formula>
    </cfRule>
  </conditionalFormatting>
  <conditionalFormatting sqref="C297">
    <cfRule type="expression" priority="20" stopIfTrue="1">
      <formula>"esterreur(reference)"</formula>
    </cfRule>
  </conditionalFormatting>
  <conditionalFormatting sqref="C362">
    <cfRule type="expression" priority="18" stopIfTrue="1">
      <formula>"esterreur(reference)"</formula>
    </cfRule>
  </conditionalFormatting>
  <conditionalFormatting sqref="C408">
    <cfRule type="expression" priority="16" stopIfTrue="1">
      <formula>"esterreur(reference)"</formula>
    </cfRule>
  </conditionalFormatting>
  <conditionalFormatting sqref="C254:D258 F254:G258">
    <cfRule type="expression" priority="91" stopIfTrue="1">
      <formula>"esterreur(reference)"</formula>
    </cfRule>
  </conditionalFormatting>
  <conditionalFormatting sqref="C28:AO75 C86:AO91 C93:AO93 C97:AO122 AN123:AO125 C160:AO161 C168:AO168 AM169:AN171 AO170:AO171 C173:AO173 AM214:AN214 C215:AO232 AM233:AN233 C236:AO236 AM237:AN239 AO238:AO239 C241:AO241 AM270:AN270 C292:AO292 AM293:AN294 AO294 C296:AO296 AM334:AN334 C356:AO356 AM357:AN359 C400:AO403 AM404:AN404">
    <cfRule type="expression" priority="39" stopIfTrue="1">
      <formula>"esterreur(reference)"</formula>
    </cfRule>
  </conditionalFormatting>
  <conditionalFormatting sqref="C126:AO157">
    <cfRule type="expression" priority="28" stopIfTrue="1">
      <formula>"esterreur(reference)"</formula>
    </cfRule>
  </conditionalFormatting>
  <conditionalFormatting sqref="C175:AO213">
    <cfRule type="expression" priority="2" stopIfTrue="1">
      <formula>"esterreur(reference)"</formula>
    </cfRule>
  </conditionalFormatting>
  <conditionalFormatting sqref="C243:AO244 C247:AO247">
    <cfRule type="expression" priority="3" stopIfTrue="1">
      <formula>"esterreur(reference)"</formula>
    </cfRule>
  </conditionalFormatting>
  <conditionalFormatting sqref="C253:AO253">
    <cfRule type="expression" priority="33" stopIfTrue="1">
      <formula>"esterreur(reference)"</formula>
    </cfRule>
  </conditionalFormatting>
  <conditionalFormatting sqref="C256:AO269">
    <cfRule type="expression" priority="29" stopIfTrue="1">
      <formula>"esterreur(reference)"</formula>
    </cfRule>
  </conditionalFormatting>
  <conditionalFormatting sqref="C271:AO289">
    <cfRule type="expression" priority="38" stopIfTrue="1">
      <formula>"esterreur(reference)"</formula>
    </cfRule>
  </conditionalFormatting>
  <conditionalFormatting sqref="C298:AO333">
    <cfRule type="expression" priority="1" stopIfTrue="1">
      <formula>"esterreur(reference)"</formula>
    </cfRule>
  </conditionalFormatting>
  <conditionalFormatting sqref="C335:AO353">
    <cfRule type="expression" priority="37" stopIfTrue="1">
      <formula>"esterreur(reference)"</formula>
    </cfRule>
  </conditionalFormatting>
  <conditionalFormatting sqref="C361:AO361">
    <cfRule type="expression" priority="36" stopIfTrue="1">
      <formula>"esterreur(reference)"</formula>
    </cfRule>
  </conditionalFormatting>
  <conditionalFormatting sqref="C363:AO398">
    <cfRule type="expression" priority="35" stopIfTrue="1">
      <formula>"esterreur(reference)"</formula>
    </cfRule>
  </conditionalFormatting>
  <conditionalFormatting sqref="D399">
    <cfRule type="expression" priority="93" stopIfTrue="1">
      <formula>"esterreur(reference)"</formula>
    </cfRule>
  </conditionalFormatting>
  <conditionalFormatting sqref="E254:E255">
    <cfRule type="expression" priority="92" stopIfTrue="1">
      <formula>"esterreur(reference)"</formula>
    </cfRule>
  </conditionalFormatting>
  <conditionalFormatting sqref="E257">
    <cfRule type="expression" priority="90" stopIfTrue="1">
      <formula>"esterreur(reference)"</formula>
    </cfRule>
  </conditionalFormatting>
  <conditionalFormatting sqref="F6 I6 L6 O6 R6 U6 X6 AA6 AD6 AG6 AJ6 AM6 G123:H125 F169:G171 H170:H171 F214:G214 F233:G233 F237:G239 H238:H239 H254:H255 F270:G270 F293:G294 H294 F334:G334 F357:G359 F404:G404">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4 I174 L174 O174 R174 U174 X174 AA174 AD174 AG174 AJ174 AM174">
    <cfRule type="expression" priority="25" stopIfTrue="1">
      <formula>"esterreur(reference)"</formula>
    </cfRule>
  </conditionalFormatting>
  <conditionalFormatting sqref="F242 I242 L242 O242 R242 U242 X242 AA242 AD242 AG242 AJ242 AM242">
    <cfRule type="expression" priority="23" stopIfTrue="1">
      <formula>"esterreur(reference)"</formula>
    </cfRule>
  </conditionalFormatting>
  <conditionalFormatting sqref="F297 I297 L297 O297 R297 U297 X297 AA297 AD297 AG297 AJ297 AM297">
    <cfRule type="expression" priority="21" stopIfTrue="1">
      <formula>"esterreur(reference)"</formula>
    </cfRule>
  </conditionalFormatting>
  <conditionalFormatting sqref="F362 I362 L362 O362 R362 U362 X362 AA362 AD362 AG362 AJ362 AM362">
    <cfRule type="expression" priority="19" stopIfTrue="1">
      <formula>"esterreur(reference)"</formula>
    </cfRule>
  </conditionalFormatting>
  <conditionalFormatting sqref="F408 I408 L408 O408 R408 U408 X408 AA408 AD408 AG408 AJ408 AM408">
    <cfRule type="expression" priority="17" stopIfTrue="1">
      <formula>"esterreur(reference)"</formula>
    </cfRule>
  </conditionalFormatting>
  <conditionalFormatting sqref="G399">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4:J258">
    <cfRule type="expression" priority="86" stopIfTrue="1">
      <formula>"esterreur(reference)"</formula>
    </cfRule>
  </conditionalFormatting>
  <conditionalFormatting sqref="J399">
    <cfRule type="expression" priority="88" stopIfTrue="1">
      <formula>"esterreur(reference)"</formula>
    </cfRule>
  </conditionalFormatting>
  <conditionalFormatting sqref="J123:K125 I169:J171 K170:K171 I214:J214 I233:J233 I237:J239 K238:K239 I270:J270 I293:J294 K294 I334:J334 I357:J359 I404:J404">
    <cfRule type="expression" priority="89" stopIfTrue="1">
      <formula>"esterreur(reference)"</formula>
    </cfRule>
  </conditionalFormatting>
  <conditionalFormatting sqref="K254:K255">
    <cfRule type="expression" priority="87" stopIfTrue="1">
      <formula>"esterreur(reference)"</formula>
    </cfRule>
  </conditionalFormatting>
  <conditionalFormatting sqref="K257">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4:M258">
    <cfRule type="expression" priority="81" stopIfTrue="1">
      <formula>"esterreur(reference)"</formula>
    </cfRule>
  </conditionalFormatting>
  <conditionalFormatting sqref="M399">
    <cfRule type="expression" priority="83" stopIfTrue="1">
      <formula>"esterreur(reference)"</formula>
    </cfRule>
  </conditionalFormatting>
  <conditionalFormatting sqref="M123:N125 L169:M171 N170:N171 L214:M214 L233:M233 L237:M239 N238:N239 L270:M270 L293:M294 N294 L334:M334 L357:M359 L404:M404">
    <cfRule type="expression" priority="84" stopIfTrue="1">
      <formula>"esterreur(reference)"</formula>
    </cfRule>
  </conditionalFormatting>
  <conditionalFormatting sqref="N254:N255">
    <cfRule type="expression" priority="82" stopIfTrue="1">
      <formula>"esterreur(reference)"</formula>
    </cfRule>
  </conditionalFormatting>
  <conditionalFormatting sqref="N257">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4:P258">
    <cfRule type="expression" priority="76" stopIfTrue="1">
      <formula>"esterreur(reference)"</formula>
    </cfRule>
  </conditionalFormatting>
  <conditionalFormatting sqref="P399">
    <cfRule type="expression" priority="78" stopIfTrue="1">
      <formula>"esterreur(reference)"</formula>
    </cfRule>
  </conditionalFormatting>
  <conditionalFormatting sqref="P123:Q125 O169:P171 Q170:Q171 O214:P214 O233:P233 O237:P239 Q238:Q239 O270:P270 O293:P294 Q294 O334:P334 O357:P359 O404:P404">
    <cfRule type="expression" priority="79" stopIfTrue="1">
      <formula>"esterreur(reference)"</formula>
    </cfRule>
  </conditionalFormatting>
  <conditionalFormatting sqref="Q254:Q255">
    <cfRule type="expression" priority="77" stopIfTrue="1">
      <formula>"esterreur(reference)"</formula>
    </cfRule>
  </conditionalFormatting>
  <conditionalFormatting sqref="Q257">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4:S258">
    <cfRule type="expression" priority="71" stopIfTrue="1">
      <formula>"esterreur(reference)"</formula>
    </cfRule>
  </conditionalFormatting>
  <conditionalFormatting sqref="S399">
    <cfRule type="expression" priority="73" stopIfTrue="1">
      <formula>"esterreur(reference)"</formula>
    </cfRule>
  </conditionalFormatting>
  <conditionalFormatting sqref="S123:T125 R169:S171 T170:T171 R214:S214 R233:S233 R237:S239 T238:T239 R270:S270 R293:S294 T294 R334:S334 R357:S359 R404:S404">
    <cfRule type="expression" priority="74" stopIfTrue="1">
      <formula>"esterreur(reference)"</formula>
    </cfRule>
  </conditionalFormatting>
  <conditionalFormatting sqref="T254:T255">
    <cfRule type="expression" priority="72" stopIfTrue="1">
      <formula>"esterreur(reference)"</formula>
    </cfRule>
  </conditionalFormatting>
  <conditionalFormatting sqref="T257">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4:V258">
    <cfRule type="expression" priority="66" stopIfTrue="1">
      <formula>"esterreur(reference)"</formula>
    </cfRule>
  </conditionalFormatting>
  <conditionalFormatting sqref="V399">
    <cfRule type="expression" priority="68" stopIfTrue="1">
      <formula>"esterreur(reference)"</formula>
    </cfRule>
  </conditionalFormatting>
  <conditionalFormatting sqref="V123:W125 U169:V171 W170:W171 U214:V214 U233:V233 U237:V239 W238:W239 U270:V270 U293:V294 W294 U334:V334 U357:V359 U404:V404">
    <cfRule type="expression" priority="69" stopIfTrue="1">
      <formula>"esterreur(reference)"</formula>
    </cfRule>
  </conditionalFormatting>
  <conditionalFormatting sqref="W254:W255">
    <cfRule type="expression" priority="67" stopIfTrue="1">
      <formula>"esterreur(reference)"</formula>
    </cfRule>
  </conditionalFormatting>
  <conditionalFormatting sqref="W257">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4:Y258">
    <cfRule type="expression" priority="61" stopIfTrue="1">
      <formula>"esterreur(reference)"</formula>
    </cfRule>
  </conditionalFormatting>
  <conditionalFormatting sqref="Y399">
    <cfRule type="expression" priority="63" stopIfTrue="1">
      <formula>"esterreur(reference)"</formula>
    </cfRule>
  </conditionalFormatting>
  <conditionalFormatting sqref="Y123:Z125 X169:Y171 Z170:Z171 X214:Y214 X233:Y233 X237:Y239 Z238:Z239 X270:Y270 X293:Y294 Z294 X334:Y334 X357:Y359 X404:Y404">
    <cfRule type="expression" priority="64" stopIfTrue="1">
      <formula>"esterreur(reference)"</formula>
    </cfRule>
  </conditionalFormatting>
  <conditionalFormatting sqref="Z254:Z255">
    <cfRule type="expression" priority="62" stopIfTrue="1">
      <formula>"esterreur(reference)"</formula>
    </cfRule>
  </conditionalFormatting>
  <conditionalFormatting sqref="Z257">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4:AB258">
    <cfRule type="expression" priority="56" stopIfTrue="1">
      <formula>"esterreur(reference)"</formula>
    </cfRule>
  </conditionalFormatting>
  <conditionalFormatting sqref="AB399">
    <cfRule type="expression" priority="58" stopIfTrue="1">
      <formula>"esterreur(reference)"</formula>
    </cfRule>
  </conditionalFormatting>
  <conditionalFormatting sqref="AB123:AC125 AA169:AB171 AC170:AC171 AA214:AB214 AA233:AB233 AA237:AB239 AC238:AC239 AA270:AB270 AA293:AB294 AC294 AA334:AB334 AA357:AB359 AA404:AB404">
    <cfRule type="expression" priority="59" stopIfTrue="1">
      <formula>"esterreur(reference)"</formula>
    </cfRule>
  </conditionalFormatting>
  <conditionalFormatting sqref="AC254:AC255">
    <cfRule type="expression" priority="57" stopIfTrue="1">
      <formula>"esterreur(reference)"</formula>
    </cfRule>
  </conditionalFormatting>
  <conditionalFormatting sqref="AC257">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4:AE258">
    <cfRule type="expression" priority="51" stopIfTrue="1">
      <formula>"esterreur(reference)"</formula>
    </cfRule>
  </conditionalFormatting>
  <conditionalFormatting sqref="AE399">
    <cfRule type="expression" priority="53" stopIfTrue="1">
      <formula>"esterreur(reference)"</formula>
    </cfRule>
  </conditionalFormatting>
  <conditionalFormatting sqref="AE123:AF125 AD169:AE171 AF170:AF171 AD214:AE214 AD233:AE233 AD237:AE239 AF238:AF239 AD270:AE270 AD293:AE294 AF294 AD334:AE334 AD357:AE359 AD404:AE404">
    <cfRule type="expression" priority="54" stopIfTrue="1">
      <formula>"esterreur(reference)"</formula>
    </cfRule>
  </conditionalFormatting>
  <conditionalFormatting sqref="AF254:AF255">
    <cfRule type="expression" priority="52" stopIfTrue="1">
      <formula>"esterreur(reference)"</formula>
    </cfRule>
  </conditionalFormatting>
  <conditionalFormatting sqref="AF257">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4:AH258">
    <cfRule type="expression" priority="46" stopIfTrue="1">
      <formula>"esterreur(reference)"</formula>
    </cfRule>
  </conditionalFormatting>
  <conditionalFormatting sqref="AH399">
    <cfRule type="expression" priority="48" stopIfTrue="1">
      <formula>"esterreur(reference)"</formula>
    </cfRule>
  </conditionalFormatting>
  <conditionalFormatting sqref="AH123:AI125 AG169:AH171 AI170:AI171 AG214:AH214 AG233:AH233 AG237:AH239 AI238:AI239 AG270:AH270 AG293:AH294 AI294 AG334:AH334 AG357:AH359 AG404:AH404">
    <cfRule type="expression" priority="49" stopIfTrue="1">
      <formula>"esterreur(reference)"</formula>
    </cfRule>
  </conditionalFormatting>
  <conditionalFormatting sqref="AI254:AI255">
    <cfRule type="expression" priority="47" stopIfTrue="1">
      <formula>"esterreur(reference)"</formula>
    </cfRule>
  </conditionalFormatting>
  <conditionalFormatting sqref="AI257">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4:AK258">
    <cfRule type="expression" priority="41" stopIfTrue="1">
      <formula>"esterreur(reference)"</formula>
    </cfRule>
  </conditionalFormatting>
  <conditionalFormatting sqref="AK399">
    <cfRule type="expression" priority="43" stopIfTrue="1">
      <formula>"esterreur(reference)"</formula>
    </cfRule>
  </conditionalFormatting>
  <conditionalFormatting sqref="AK123:AL125 AJ169:AK171 AL170:AL171 AJ214:AK214 AJ233:AK233 AJ237:AK239 AL238:AL239 AJ270:AK270 AJ293:AK294 AL294 AJ334:AK334 AJ357:AK359 AJ404:AK404">
    <cfRule type="expression" priority="44" stopIfTrue="1">
      <formula>"esterreur(reference)"</formula>
    </cfRule>
  </conditionalFormatting>
  <conditionalFormatting sqref="AL254:AL255">
    <cfRule type="expression" priority="42" stopIfTrue="1">
      <formula>"esterreur(reference)"</formula>
    </cfRule>
  </conditionalFormatting>
  <conditionalFormatting sqref="AL257">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4:AN258">
    <cfRule type="expression" priority="31" stopIfTrue="1">
      <formula>"esterreur(reference)"</formula>
    </cfRule>
  </conditionalFormatting>
  <conditionalFormatting sqref="AN399">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4:AO255">
    <cfRule type="expression" priority="32" stopIfTrue="1">
      <formula>"esterreur(reference)"</formula>
    </cfRule>
  </conditionalFormatting>
  <conditionalFormatting sqref="AO257">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2"/>
  <sheetViews>
    <sheetView topLeftCell="A85" zoomScale="80" zoomScaleNormal="80" workbookViewId="0">
      <selection activeCell="B102" sqref="B102:AO10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3">
        <v>638</v>
      </c>
      <c r="D16" s="1014">
        <v>2186.191598746077</v>
      </c>
      <c r="E16" s="1015">
        <v>1394790.2399999972</v>
      </c>
      <c r="F16" s="1013">
        <v>48</v>
      </c>
      <c r="G16" s="1014">
        <v>2369.9124999999772</v>
      </c>
      <c r="H16" s="1015">
        <v>113755.79999999891</v>
      </c>
      <c r="I16" s="1013">
        <v>30</v>
      </c>
      <c r="J16" s="1014">
        <v>2410.9103333333301</v>
      </c>
      <c r="K16" s="1015">
        <v>72327.309999999896</v>
      </c>
      <c r="L16" s="1013">
        <v>51</v>
      </c>
      <c r="M16" s="1014">
        <v>2104.7599999999984</v>
      </c>
      <c r="N16" s="1015">
        <v>107342.75999999991</v>
      </c>
      <c r="O16" s="1013">
        <v>56</v>
      </c>
      <c r="P16" s="1014">
        <v>2343.2046428571443</v>
      </c>
      <c r="Q16" s="1015">
        <v>131219.46000000008</v>
      </c>
      <c r="R16" s="1013">
        <v>52</v>
      </c>
      <c r="S16" s="1014">
        <v>2291.0755769230786</v>
      </c>
      <c r="T16" s="1015">
        <v>119135.93000000009</v>
      </c>
      <c r="U16" s="1013">
        <v>41</v>
      </c>
      <c r="V16" s="1014">
        <v>2033.4882926829293</v>
      </c>
      <c r="W16" s="1015">
        <v>83373.020000000106</v>
      </c>
      <c r="X16" s="1013">
        <v>76</v>
      </c>
      <c r="Y16" s="1014">
        <v>2212.6460526315786</v>
      </c>
      <c r="Z16" s="1015">
        <v>168161.09999999998</v>
      </c>
      <c r="AA16" s="1013">
        <v>64</v>
      </c>
      <c r="AB16" s="1014">
        <v>2298.4915624999985</v>
      </c>
      <c r="AC16" s="1015">
        <v>147103.4599999999</v>
      </c>
      <c r="AD16" s="1013">
        <v>63</v>
      </c>
      <c r="AE16" s="1014">
        <v>2419.8193650793651</v>
      </c>
      <c r="AF16" s="1015">
        <v>152448.62</v>
      </c>
      <c r="AG16" s="1013">
        <v>48</v>
      </c>
      <c r="AH16" s="1014">
        <v>2185.0231249999938</v>
      </c>
      <c r="AI16" s="1015">
        <v>104881.10999999969</v>
      </c>
      <c r="AJ16" s="1013">
        <v>70</v>
      </c>
      <c r="AK16" s="1014">
        <v>1811.2078571428417</v>
      </c>
      <c r="AL16" s="1015">
        <v>126784.54999999891</v>
      </c>
      <c r="AM16" s="1013">
        <v>39</v>
      </c>
      <c r="AN16" s="1014">
        <v>1750.1825641025614</v>
      </c>
      <c r="AO16" s="1015">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46"/>
      <c r="C22" s="695"/>
      <c r="D22" s="696"/>
      <c r="E22" s="699"/>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3">
        <v>676</v>
      </c>
      <c r="D27" s="1014">
        <v>976.73107988165691</v>
      </c>
      <c r="E27" s="1015">
        <v>660270.21000000008</v>
      </c>
      <c r="F27" s="1013">
        <v>50</v>
      </c>
      <c r="G27" s="1014">
        <v>1179.3872000000001</v>
      </c>
      <c r="H27" s="1015">
        <v>58969.36</v>
      </c>
      <c r="I27" s="1013">
        <v>32</v>
      </c>
      <c r="J27" s="1014">
        <v>1017.3437499999999</v>
      </c>
      <c r="K27" s="1015">
        <v>32554.999999999996</v>
      </c>
      <c r="L27" s="1013">
        <v>55</v>
      </c>
      <c r="M27" s="1014">
        <v>611.78181818181815</v>
      </c>
      <c r="N27" s="1015">
        <v>33648</v>
      </c>
      <c r="O27" s="1013">
        <v>58</v>
      </c>
      <c r="P27" s="1014">
        <v>931.86034482758623</v>
      </c>
      <c r="Q27" s="1015">
        <v>54047.9</v>
      </c>
      <c r="R27" s="1013">
        <v>57</v>
      </c>
      <c r="S27" s="1014">
        <v>1106.1754385964912</v>
      </c>
      <c r="T27" s="1015">
        <v>63052</v>
      </c>
      <c r="U27" s="1013">
        <v>47</v>
      </c>
      <c r="V27" s="1014">
        <v>1037.5274468085106</v>
      </c>
      <c r="W27" s="1015">
        <v>48763.79</v>
      </c>
      <c r="X27" s="1013">
        <v>81</v>
      </c>
      <c r="Y27" s="1014">
        <v>995.12987654320978</v>
      </c>
      <c r="Z27" s="1015">
        <v>80605.51999999999</v>
      </c>
      <c r="AA27" s="1013">
        <v>67</v>
      </c>
      <c r="AB27" s="1014">
        <v>971.48358208955221</v>
      </c>
      <c r="AC27" s="1015">
        <v>65089.4</v>
      </c>
      <c r="AD27" s="1013">
        <v>64</v>
      </c>
      <c r="AE27" s="1014">
        <v>952.71765625</v>
      </c>
      <c r="AF27" s="1015">
        <v>60973.93</v>
      </c>
      <c r="AG27" s="1013">
        <v>51</v>
      </c>
      <c r="AH27" s="1014">
        <v>1006.3723529411765</v>
      </c>
      <c r="AI27" s="1015">
        <v>51324.99</v>
      </c>
      <c r="AJ27" s="1013">
        <v>72</v>
      </c>
      <c r="AK27" s="1014">
        <v>1009.0373611111112</v>
      </c>
      <c r="AL27" s="1015">
        <v>72650.69</v>
      </c>
      <c r="AM27" s="1013">
        <v>42</v>
      </c>
      <c r="AN27" s="1014">
        <v>918.80071428571443</v>
      </c>
      <c r="AO27" s="1015">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7">
        <v>146077.48000000013</v>
      </c>
      <c r="X30" s="709">
        <v>81</v>
      </c>
      <c r="Y30" s="710">
        <v>3311.6235802469114</v>
      </c>
      <c r="Z30" s="1107">
        <v>268241.50999999983</v>
      </c>
      <c r="AA30" s="709">
        <v>69</v>
      </c>
      <c r="AB30" s="710">
        <v>3279.636231884057</v>
      </c>
      <c r="AC30" s="1107">
        <v>226294.89999999994</v>
      </c>
      <c r="AD30" s="709">
        <v>67</v>
      </c>
      <c r="AE30" s="710">
        <v>3405.2368656716399</v>
      </c>
      <c r="AF30" s="1107">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8"/>
      <c r="X31" s="712"/>
      <c r="Y31" s="713"/>
      <c r="Z31" s="1108"/>
      <c r="AA31" s="712"/>
      <c r="AB31" s="713"/>
      <c r="AC31" s="1108"/>
      <c r="AD31" s="712"/>
      <c r="AE31" s="713"/>
      <c r="AF31" s="1108"/>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09">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10">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09">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09">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10">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09">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09">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4" t="s">
        <v>119</v>
      </c>
      <c r="D44" s="1025">
        <v>0.46118286903175254</v>
      </c>
      <c r="E44" s="1026">
        <v>1045878.0000000001</v>
      </c>
      <c r="F44" s="1024" t="s">
        <v>119</v>
      </c>
      <c r="G44" s="1025">
        <v>0.54100641962844365</v>
      </c>
      <c r="H44" s="1026">
        <v>103225.28</v>
      </c>
      <c r="I44" s="1024" t="s">
        <v>119</v>
      </c>
      <c r="J44" s="1025">
        <v>0.30173974266183945</v>
      </c>
      <c r="K44" s="1026">
        <v>41039.9</v>
      </c>
      <c r="L44" s="1024" t="s">
        <v>119</v>
      </c>
      <c r="M44" s="1025">
        <v>0.60635162107466578</v>
      </c>
      <c r="N44" s="1026">
        <v>94272.299999999988</v>
      </c>
      <c r="O44" s="1024" t="s">
        <v>119</v>
      </c>
      <c r="P44" s="1025">
        <v>0.40906370188517294</v>
      </c>
      <c r="Q44" s="1026">
        <v>78606.359999999986</v>
      </c>
      <c r="R44" s="1024" t="s">
        <v>119</v>
      </c>
      <c r="S44" s="1025">
        <v>0.50466560779350478</v>
      </c>
      <c r="T44" s="1026">
        <v>102969.2</v>
      </c>
      <c r="U44" s="1024" t="s">
        <v>119</v>
      </c>
      <c r="V44" s="1025">
        <v>0.53176293840775413</v>
      </c>
      <c r="W44" s="1111">
        <v>77678.59</v>
      </c>
      <c r="X44" s="1024" t="s">
        <v>119</v>
      </c>
      <c r="Y44" s="1025">
        <v>0.4135950845191711</v>
      </c>
      <c r="Z44" s="1111">
        <v>110943.37000000001</v>
      </c>
      <c r="AA44" s="1024" t="s">
        <v>119</v>
      </c>
      <c r="AB44" s="1025">
        <v>0.35593515364243739</v>
      </c>
      <c r="AC44" s="1111">
        <v>80546.309999999983</v>
      </c>
      <c r="AD44" s="1024" t="s">
        <v>119</v>
      </c>
      <c r="AE44" s="1025">
        <v>0.37269912667876326</v>
      </c>
      <c r="AF44" s="1111">
        <v>85031.63</v>
      </c>
      <c r="AG44" s="1024" t="s">
        <v>119</v>
      </c>
      <c r="AH44" s="1025">
        <v>0.57013673585780211</v>
      </c>
      <c r="AI44" s="1026">
        <v>100297.31999999999</v>
      </c>
      <c r="AJ44" s="1024" t="s">
        <v>119</v>
      </c>
      <c r="AK44" s="1025">
        <v>0.43882646848791501</v>
      </c>
      <c r="AL44" s="1026">
        <v>97608.54</v>
      </c>
      <c r="AM44" s="1024" t="s">
        <v>119</v>
      </c>
      <c r="AN44" s="1025">
        <v>0.60268414180560792</v>
      </c>
      <c r="AO44" s="1026">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09">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09">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1"/>
      <c r="D47" s="1029"/>
      <c r="E47" s="1031">
        <v>16771.800000000003</v>
      </c>
      <c r="F47" s="1011"/>
      <c r="G47" s="1029"/>
      <c r="H47" s="1031">
        <v>1613</v>
      </c>
      <c r="I47" s="1011"/>
      <c r="J47" s="1029"/>
      <c r="K47" s="1031">
        <v>2451</v>
      </c>
      <c r="L47" s="1011"/>
      <c r="M47" s="1029"/>
      <c r="N47" s="1031">
        <v>-312</v>
      </c>
      <c r="O47" s="1011"/>
      <c r="P47" s="1029"/>
      <c r="Q47" s="1031">
        <v>1208.75</v>
      </c>
      <c r="R47" s="1011"/>
      <c r="S47" s="1029"/>
      <c r="T47" s="1031">
        <v>2903.5</v>
      </c>
      <c r="U47" s="1011"/>
      <c r="V47" s="1029"/>
      <c r="W47" s="1031">
        <v>1819.6</v>
      </c>
      <c r="X47" s="1011"/>
      <c r="Y47" s="1029"/>
      <c r="Z47" s="1031">
        <v>1963.25</v>
      </c>
      <c r="AA47" s="1011"/>
      <c r="AB47" s="1029"/>
      <c r="AC47" s="1031">
        <v>1579.5</v>
      </c>
      <c r="AD47" s="1011"/>
      <c r="AE47" s="1029"/>
      <c r="AF47" s="1031">
        <v>11.25</v>
      </c>
      <c r="AG47" s="1011"/>
      <c r="AH47" s="1029"/>
      <c r="AI47" s="1031">
        <v>930.2</v>
      </c>
      <c r="AJ47" s="1011"/>
      <c r="AK47" s="1029"/>
      <c r="AL47" s="1031">
        <v>1451.6</v>
      </c>
      <c r="AM47" s="1011"/>
      <c r="AN47" s="1029"/>
      <c r="AO47" s="1112">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09">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0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0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0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09">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1"/>
      <c r="D53" s="1029"/>
      <c r="E53" s="1031">
        <v>170955.68</v>
      </c>
      <c r="F53" s="1011"/>
      <c r="G53" s="1029"/>
      <c r="H53" s="1031">
        <v>14203.83</v>
      </c>
      <c r="I53" s="1011"/>
      <c r="J53" s="1029"/>
      <c r="K53" s="1031">
        <v>12821.25</v>
      </c>
      <c r="L53" s="1011"/>
      <c r="M53" s="1029"/>
      <c r="N53" s="1031">
        <v>14654.31</v>
      </c>
      <c r="O53" s="1011"/>
      <c r="P53" s="1029"/>
      <c r="Q53" s="1031">
        <v>15510.75</v>
      </c>
      <c r="R53" s="1011"/>
      <c r="S53" s="1029"/>
      <c r="T53" s="1031">
        <v>17960</v>
      </c>
      <c r="U53" s="1011"/>
      <c r="V53" s="1029"/>
      <c r="W53" s="1031">
        <v>13743.57</v>
      </c>
      <c r="X53" s="1011"/>
      <c r="Y53" s="1029"/>
      <c r="Z53" s="1031">
        <v>13752.02</v>
      </c>
      <c r="AA53" s="1011"/>
      <c r="AB53" s="1029"/>
      <c r="AC53" s="1031">
        <v>13852.73</v>
      </c>
      <c r="AD53" s="1011"/>
      <c r="AE53" s="1029"/>
      <c r="AF53" s="1031">
        <v>12339.01</v>
      </c>
      <c r="AG53" s="1011"/>
      <c r="AH53" s="1029"/>
      <c r="AI53" s="1031">
        <v>15758.45</v>
      </c>
      <c r="AJ53" s="1011"/>
      <c r="AK53" s="1029"/>
      <c r="AL53" s="1031">
        <v>15446.59</v>
      </c>
      <c r="AM53" s="1011"/>
      <c r="AN53" s="1029"/>
      <c r="AO53" s="1112">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09">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09">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4" t="s">
        <v>119</v>
      </c>
      <c r="D57" s="1025">
        <v>0.37761157844076526</v>
      </c>
      <c r="E57" s="1026">
        <v>856353.67000000016</v>
      </c>
      <c r="F57" s="1024" t="s">
        <v>119</v>
      </c>
      <c r="G57" s="1025">
        <v>1.26360057986615</v>
      </c>
      <c r="H57" s="1026">
        <v>73942.559999999998</v>
      </c>
      <c r="I57" s="1024" t="s">
        <v>119</v>
      </c>
      <c r="J57" s="1025">
        <v>1.26360057986615</v>
      </c>
      <c r="K57" s="1026">
        <v>64380.290000000008</v>
      </c>
      <c r="L57" s="1024" t="s">
        <v>119</v>
      </c>
      <c r="M57" s="1025">
        <v>1.26360057986615</v>
      </c>
      <c r="N57" s="1026">
        <v>72870.87</v>
      </c>
      <c r="O57" s="1024" t="s">
        <v>119</v>
      </c>
      <c r="P57" s="1025">
        <v>1.26360057986615</v>
      </c>
      <c r="Q57" s="1026">
        <v>76005.72</v>
      </c>
      <c r="R57" s="1024" t="s">
        <v>119</v>
      </c>
      <c r="S57" s="1025">
        <v>1.26360057986615</v>
      </c>
      <c r="T57" s="1026">
        <v>80334.38</v>
      </c>
      <c r="U57" s="1024" t="s">
        <v>119</v>
      </c>
      <c r="V57" s="1025">
        <v>1.26360057986615</v>
      </c>
      <c r="W57" s="1111">
        <v>65524.92</v>
      </c>
      <c r="X57" s="1024" t="s">
        <v>119</v>
      </c>
      <c r="Y57" s="1025">
        <v>1.26360057986615</v>
      </c>
      <c r="Z57" s="1111">
        <v>70018.900000000009</v>
      </c>
      <c r="AA57" s="1024" t="s">
        <v>119</v>
      </c>
      <c r="AB57" s="1025">
        <v>1.26360057986615</v>
      </c>
      <c r="AC57" s="1111">
        <v>70196.53</v>
      </c>
      <c r="AD57" s="1024" t="s">
        <v>119</v>
      </c>
      <c r="AE57" s="1025">
        <v>1.26360057986615</v>
      </c>
      <c r="AF57" s="1111">
        <v>68110.359999999986</v>
      </c>
      <c r="AG57" s="1024" t="s">
        <v>119</v>
      </c>
      <c r="AH57" s="1025">
        <v>1.26360057986615</v>
      </c>
      <c r="AI57" s="1026">
        <v>82094.460000000006</v>
      </c>
      <c r="AJ57" s="1024" t="s">
        <v>119</v>
      </c>
      <c r="AK57" s="1025">
        <v>1.26360057986615</v>
      </c>
      <c r="AL57" s="1026">
        <v>69053.62</v>
      </c>
      <c r="AM57" s="1024" t="s">
        <v>119</v>
      </c>
      <c r="AN57" s="1025">
        <v>1.26360057986615</v>
      </c>
      <c r="AO57" s="1026">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09">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09">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3">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09">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09">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3">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09">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09">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09">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09">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09">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09">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09">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09">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4" t="s">
        <v>119</v>
      </c>
      <c r="D75" s="1025">
        <v>0.1734804359633656</v>
      </c>
      <c r="E75" s="1026">
        <v>393421.75</v>
      </c>
      <c r="F75" s="1024" t="s">
        <v>119</v>
      </c>
      <c r="G75" s="1025">
        <v>0.17775480927066395</v>
      </c>
      <c r="H75" s="1026">
        <v>33916.03</v>
      </c>
      <c r="I75" s="1024" t="s">
        <v>119</v>
      </c>
      <c r="J75" s="1025">
        <v>0.22450388542331767</v>
      </c>
      <c r="K75" s="1026">
        <v>30534.980000000003</v>
      </c>
      <c r="L75" s="1024" t="s">
        <v>119</v>
      </c>
      <c r="M75" s="1025">
        <v>0.23457150310815983</v>
      </c>
      <c r="N75" s="1026">
        <v>36469.919999999998</v>
      </c>
      <c r="O75" s="1024" t="s">
        <v>119</v>
      </c>
      <c r="P75" s="1025">
        <v>0.16496079394817884</v>
      </c>
      <c r="Q75" s="1026">
        <v>31699.140000000007</v>
      </c>
      <c r="R75" s="1024" t="s">
        <v>119</v>
      </c>
      <c r="S75" s="1025">
        <v>0.18669008492729969</v>
      </c>
      <c r="T75" s="1026">
        <v>38091.22</v>
      </c>
      <c r="U75" s="1024" t="s">
        <v>119</v>
      </c>
      <c r="V75" s="1025">
        <v>0.21780215540410455</v>
      </c>
      <c r="W75" s="1111">
        <v>31815.99</v>
      </c>
      <c r="X75" s="1024" t="s">
        <v>119</v>
      </c>
      <c r="Y75" s="1025">
        <v>0.11927341148653696</v>
      </c>
      <c r="Z75" s="1111">
        <v>31994.079999999998</v>
      </c>
      <c r="AA75" s="1024" t="s">
        <v>119</v>
      </c>
      <c r="AB75" s="1025">
        <v>0.13010257853800511</v>
      </c>
      <c r="AC75" s="1111">
        <v>29441.550000000007</v>
      </c>
      <c r="AD75" s="1024" t="s">
        <v>119</v>
      </c>
      <c r="AE75" s="1025">
        <v>0.15220187413705688</v>
      </c>
      <c r="AF75" s="1111">
        <v>34724.990000000005</v>
      </c>
      <c r="AG75" s="1024" t="s">
        <v>119</v>
      </c>
      <c r="AH75" s="1025">
        <v>0.17682504480354266</v>
      </c>
      <c r="AI75" s="1026">
        <v>31106.710000000006</v>
      </c>
      <c r="AJ75" s="1024" t="s">
        <v>119</v>
      </c>
      <c r="AK75" s="1025">
        <v>0.16643348557241514</v>
      </c>
      <c r="AL75" s="1026">
        <v>37019.94</v>
      </c>
      <c r="AM75" s="1024" t="s">
        <v>119</v>
      </c>
      <c r="AN75" s="1025">
        <v>0.21770176023972801</v>
      </c>
      <c r="AO75" s="1026">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4" t="s">
        <v>119</v>
      </c>
      <c r="D77" s="1025">
        <v>1.0122748834358835</v>
      </c>
      <c r="E77" s="1034">
        <v>2295653.4200000004</v>
      </c>
      <c r="F77" s="1024" t="s">
        <v>119</v>
      </c>
      <c r="G77" s="1025">
        <v>1.1062961393760893</v>
      </c>
      <c r="H77" s="1034">
        <v>211083.87</v>
      </c>
      <c r="I77" s="1024" t="s">
        <v>119</v>
      </c>
      <c r="J77" s="1025">
        <v>0.99959010644145418</v>
      </c>
      <c r="K77" s="1034">
        <v>135955.17000000001</v>
      </c>
      <c r="L77" s="1024" t="s">
        <v>119</v>
      </c>
      <c r="M77" s="1025">
        <v>1.3096225210748205</v>
      </c>
      <c r="N77" s="1034">
        <v>203613.08999999997</v>
      </c>
      <c r="O77" s="1024" t="s">
        <v>119</v>
      </c>
      <c r="P77" s="1025">
        <v>0.96955459273197342</v>
      </c>
      <c r="Q77" s="1034">
        <v>186311.22</v>
      </c>
      <c r="R77" s="1024" t="s">
        <v>119</v>
      </c>
      <c r="S77" s="1025">
        <v>1.0850850672271073</v>
      </c>
      <c r="T77" s="1034">
        <v>221394.80000000002</v>
      </c>
      <c r="U77" s="1024" t="s">
        <v>119</v>
      </c>
      <c r="V77" s="1025">
        <v>1.19812787022339</v>
      </c>
      <c r="W77" s="1114">
        <v>175019.5</v>
      </c>
      <c r="X77" s="1024" t="s">
        <v>119</v>
      </c>
      <c r="Y77" s="1025">
        <v>0.79389781991609032</v>
      </c>
      <c r="Z77" s="1114">
        <v>212956.35</v>
      </c>
      <c r="AA77" s="1024" t="s">
        <v>119</v>
      </c>
      <c r="AB77" s="1025">
        <v>0.79623707825496748</v>
      </c>
      <c r="AC77" s="1114">
        <v>180184.38999999998</v>
      </c>
      <c r="AD77" s="1024" t="s">
        <v>119</v>
      </c>
      <c r="AE77" s="1025">
        <v>0.82343310810079351</v>
      </c>
      <c r="AF77" s="1114">
        <v>187866.97999999998</v>
      </c>
      <c r="AG77" s="1024" t="s">
        <v>119</v>
      </c>
      <c r="AH77" s="1025">
        <v>1.2136249722242789</v>
      </c>
      <c r="AI77" s="1034">
        <v>213498.49</v>
      </c>
      <c r="AJ77" s="1024" t="s">
        <v>119</v>
      </c>
      <c r="AK77" s="1025">
        <v>0.91570979995400348</v>
      </c>
      <c r="AL77" s="1034">
        <v>203682.09999999998</v>
      </c>
      <c r="AM77" s="1024" t="s">
        <v>119</v>
      </c>
      <c r="AN77" s="1025">
        <v>1.3425737723347799</v>
      </c>
      <c r="AO77" s="1034">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6"/>
      <c r="E86" s="733">
        <v>1297372.6000000001</v>
      </c>
      <c r="F86" s="732"/>
      <c r="G86" s="1036"/>
      <c r="H86" s="733">
        <v>107111</v>
      </c>
      <c r="I86" s="732"/>
      <c r="J86" s="1036"/>
      <c r="K86" s="733">
        <v>63571</v>
      </c>
      <c r="L86" s="732"/>
      <c r="M86" s="1036"/>
      <c r="N86" s="733">
        <v>93446</v>
      </c>
      <c r="O86" s="732"/>
      <c r="P86" s="1036"/>
      <c r="Q86" s="733">
        <v>101996</v>
      </c>
      <c r="R86" s="732"/>
      <c r="S86" s="1036"/>
      <c r="T86" s="733">
        <v>96025</v>
      </c>
      <c r="U86" s="732"/>
      <c r="V86" s="1036"/>
      <c r="W86" s="1115">
        <v>96561.55</v>
      </c>
      <c r="X86" s="732"/>
      <c r="Y86" s="1036"/>
      <c r="Z86" s="1115">
        <v>134474.85</v>
      </c>
      <c r="AA86" s="732"/>
      <c r="AB86" s="1036"/>
      <c r="AC86" s="1115">
        <v>133123.20000000001</v>
      </c>
      <c r="AD86" s="732"/>
      <c r="AE86" s="1036"/>
      <c r="AF86" s="1115">
        <v>109155</v>
      </c>
      <c r="AG86" s="732"/>
      <c r="AH86" s="1036"/>
      <c r="AI86" s="733">
        <v>145056</v>
      </c>
      <c r="AJ86" s="732"/>
      <c r="AK86" s="1036"/>
      <c r="AL86" s="733">
        <v>127077</v>
      </c>
      <c r="AM86" s="732"/>
      <c r="AN86" s="1036"/>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6"/>
      <c r="X87" s="734"/>
      <c r="Y87" s="735"/>
      <c r="Z87" s="1116"/>
      <c r="AA87" s="734"/>
      <c r="AB87" s="735"/>
      <c r="AC87" s="1116"/>
      <c r="AD87" s="734"/>
      <c r="AE87" s="735"/>
      <c r="AF87" s="111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8"/>
      <c r="D88" s="1041"/>
      <c r="E88" s="1040">
        <v>1269535.4199999967</v>
      </c>
      <c r="F88" s="1038"/>
      <c r="G88" s="1041"/>
      <c r="H88" s="1040">
        <v>86829.449999998935</v>
      </c>
      <c r="I88" s="1038"/>
      <c r="J88" s="1041"/>
      <c r="K88" s="1040">
        <v>63626.749999999884</v>
      </c>
      <c r="L88" s="1038"/>
      <c r="M88" s="1041"/>
      <c r="N88" s="1040">
        <v>45307.549999999901</v>
      </c>
      <c r="O88" s="1038"/>
      <c r="P88" s="1041"/>
      <c r="Q88" s="1040">
        <v>107846.44000000006</v>
      </c>
      <c r="R88" s="1038"/>
      <c r="S88" s="1041"/>
      <c r="T88" s="1040">
        <v>78664.710000000108</v>
      </c>
      <c r="U88" s="1038"/>
      <c r="V88" s="1041"/>
      <c r="W88" s="1117">
        <v>67619.53000000013</v>
      </c>
      <c r="X88" s="1038"/>
      <c r="Y88" s="1041"/>
      <c r="Z88" s="1117">
        <v>189760.00999999983</v>
      </c>
      <c r="AA88" s="1038"/>
      <c r="AB88" s="1041"/>
      <c r="AC88" s="1117">
        <v>179233.70999999996</v>
      </c>
      <c r="AD88" s="1038"/>
      <c r="AE88" s="1041"/>
      <c r="AF88" s="1117">
        <v>149438.8899999999</v>
      </c>
      <c r="AG88" s="1038"/>
      <c r="AH88" s="1041"/>
      <c r="AI88" s="1040">
        <v>107475.51999999967</v>
      </c>
      <c r="AJ88" s="1038"/>
      <c r="AK88" s="1041"/>
      <c r="AL88" s="1040">
        <v>145825.73999999894</v>
      </c>
      <c r="AM88" s="1038"/>
      <c r="AN88" s="1041"/>
      <c r="AO88" s="1040">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3840</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3803</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3">
        <v>307</v>
      </c>
      <c r="D100" s="1014">
        <v>1388.3201302931582</v>
      </c>
      <c r="E100" s="1015">
        <v>426214.27999999956</v>
      </c>
      <c r="F100" s="1013">
        <v>24</v>
      </c>
      <c r="G100" s="1014">
        <v>1577.7937499999991</v>
      </c>
      <c r="H100" s="1015">
        <v>37867.049999999981</v>
      </c>
      <c r="I100" s="1013">
        <v>17</v>
      </c>
      <c r="J100" s="1014">
        <v>1348.0611764705823</v>
      </c>
      <c r="K100" s="1015">
        <v>22917.039999999899</v>
      </c>
      <c r="L100" s="1013">
        <v>30</v>
      </c>
      <c r="M100" s="1014">
        <v>1386.1839999999968</v>
      </c>
      <c r="N100" s="1015">
        <v>41585.519999999902</v>
      </c>
      <c r="O100" s="1013">
        <v>30</v>
      </c>
      <c r="P100" s="1014">
        <v>925.83199999999636</v>
      </c>
      <c r="Q100" s="1015">
        <v>27774.95999999989</v>
      </c>
      <c r="R100" s="1013">
        <v>30</v>
      </c>
      <c r="S100" s="1014">
        <v>1403.2353333333331</v>
      </c>
      <c r="T100" s="1015">
        <v>42097.05999999999</v>
      </c>
      <c r="U100" s="1013">
        <v>30</v>
      </c>
      <c r="V100" s="1014">
        <v>1968.6749999999965</v>
      </c>
      <c r="W100" s="1015">
        <v>59060.249999999898</v>
      </c>
      <c r="X100" s="1013">
        <v>28</v>
      </c>
      <c r="Y100" s="1014">
        <v>1004.9228571428536</v>
      </c>
      <c r="Z100" s="1015">
        <v>28137.839999999898</v>
      </c>
      <c r="AA100" s="1013">
        <v>27</v>
      </c>
      <c r="AB100" s="1014">
        <v>556.57629629629628</v>
      </c>
      <c r="AC100" s="1015">
        <v>15027.56</v>
      </c>
      <c r="AD100" s="1013">
        <v>26</v>
      </c>
      <c r="AE100" s="1014">
        <v>2085.7769230769268</v>
      </c>
      <c r="AF100" s="1015">
        <v>54230.200000000099</v>
      </c>
      <c r="AG100" s="1013">
        <v>15</v>
      </c>
      <c r="AH100" s="1014">
        <v>2694.2226666666666</v>
      </c>
      <c r="AI100" s="1015">
        <v>40413.339999999997</v>
      </c>
      <c r="AJ100" s="1013">
        <v>28</v>
      </c>
      <c r="AK100" s="1014">
        <v>1446.2435714285714</v>
      </c>
      <c r="AL100" s="1015">
        <v>40494.82</v>
      </c>
      <c r="AM100" s="1013">
        <v>22</v>
      </c>
      <c r="AN100" s="1014">
        <v>754.93818181818176</v>
      </c>
      <c r="AO100" s="1015">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8"/>
      <c r="D101" s="1119"/>
      <c r="E101" s="1120"/>
      <c r="F101" s="1118"/>
      <c r="G101" s="1119"/>
      <c r="H101" s="1120"/>
      <c r="I101" s="1118"/>
      <c r="J101" s="1119"/>
      <c r="K101" s="1120"/>
      <c r="L101" s="1118"/>
      <c r="M101" s="1119"/>
      <c r="N101" s="1120"/>
      <c r="O101" s="1118"/>
      <c r="P101" s="1119"/>
      <c r="Q101" s="1120"/>
      <c r="R101" s="1118"/>
      <c r="S101" s="1119"/>
      <c r="T101" s="1120"/>
      <c r="U101" s="1118"/>
      <c r="V101" s="1119"/>
      <c r="W101" s="1120"/>
      <c r="X101" s="1118"/>
      <c r="Y101" s="1119"/>
      <c r="Z101" s="1120"/>
      <c r="AA101" s="1118"/>
      <c r="AB101" s="1119"/>
      <c r="AC101" s="1120"/>
      <c r="AD101" s="1118"/>
      <c r="AE101" s="1119"/>
      <c r="AF101" s="1120"/>
      <c r="AG101" s="1118"/>
      <c r="AH101" s="1119"/>
      <c r="AI101" s="1120"/>
      <c r="AJ101" s="1118"/>
      <c r="AK101" s="1119"/>
      <c r="AL101" s="1120"/>
      <c r="AM101" s="1118"/>
      <c r="AN101" s="1119"/>
      <c r="AO101" s="112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usagésRachat bail</v>
      </c>
      <c r="B102" s="1159" t="s">
        <v>104</v>
      </c>
      <c r="C102" s="695"/>
      <c r="D102" s="696"/>
      <c r="E102" s="699">
        <v>109828.40999999983</v>
      </c>
      <c r="F102" s="695"/>
      <c r="G102" s="696"/>
      <c r="H102" s="699">
        <v>4956</v>
      </c>
      <c r="I102" s="695"/>
      <c r="J102" s="696"/>
      <c r="K102" s="699">
        <v>6750.4500000000098</v>
      </c>
      <c r="L102" s="695"/>
      <c r="M102" s="696"/>
      <c r="N102" s="699">
        <v>13000.4</v>
      </c>
      <c r="O102" s="695"/>
      <c r="P102" s="696"/>
      <c r="Q102" s="699">
        <v>5903.28999999997</v>
      </c>
      <c r="R102" s="695"/>
      <c r="S102" s="696"/>
      <c r="T102" s="699">
        <v>11767.32</v>
      </c>
      <c r="U102" s="695"/>
      <c r="V102" s="696"/>
      <c r="W102" s="699">
        <v>6139.6</v>
      </c>
      <c r="X102" s="695"/>
      <c r="Y102" s="696"/>
      <c r="Z102" s="699">
        <v>12602.3499999999</v>
      </c>
      <c r="AA102" s="695"/>
      <c r="AB102" s="696"/>
      <c r="AC102" s="699">
        <v>9461.7300000000396</v>
      </c>
      <c r="AD102" s="695"/>
      <c r="AE102" s="696"/>
      <c r="AF102" s="699">
        <v>11637.4199999999</v>
      </c>
      <c r="AG102" s="695"/>
      <c r="AH102" s="696"/>
      <c r="AI102" s="699">
        <v>9560</v>
      </c>
      <c r="AJ102" s="695"/>
      <c r="AK102" s="696"/>
      <c r="AL102" s="699">
        <v>10650.01</v>
      </c>
      <c r="AM102" s="695"/>
      <c r="AN102" s="696"/>
      <c r="AO102" s="699">
        <v>7399.8400000000202</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4"/>
      <c r="C103" s="700"/>
      <c r="D103" s="707"/>
      <c r="E103" s="701"/>
      <c r="F103" s="695"/>
      <c r="G103" s="707"/>
      <c r="H103" s="697"/>
      <c r="I103" s="695"/>
      <c r="J103" s="707"/>
      <c r="K103" s="697"/>
      <c r="L103" s="695"/>
      <c r="M103" s="707"/>
      <c r="N103" s="697"/>
      <c r="O103" s="695"/>
      <c r="P103" s="707"/>
      <c r="Q103" s="697"/>
      <c r="R103" s="695"/>
      <c r="S103" s="707"/>
      <c r="T103" s="697"/>
      <c r="U103" s="695"/>
      <c r="V103" s="707"/>
      <c r="W103" s="697"/>
      <c r="X103" s="695"/>
      <c r="Y103" s="707"/>
      <c r="Z103" s="697"/>
      <c r="AA103" s="695"/>
      <c r="AB103" s="707"/>
      <c r="AC103" s="697"/>
      <c r="AD103" s="695"/>
      <c r="AE103" s="707"/>
      <c r="AF103" s="697"/>
      <c r="AG103" s="695"/>
      <c r="AH103" s="707"/>
      <c r="AI103" s="697"/>
      <c r="AJ103" s="695"/>
      <c r="AK103" s="707"/>
      <c r="AL103" s="697"/>
      <c r="AM103" s="695"/>
      <c r="AN103" s="707"/>
      <c r="AO103" s="69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usagésVentes au Gros</v>
      </c>
      <c r="B104" s="44" t="s">
        <v>156</v>
      </c>
      <c r="C104" s="698">
        <v>404</v>
      </c>
      <c r="D104" s="696">
        <v>543.00831683168246</v>
      </c>
      <c r="E104" s="699">
        <v>219375.35999999969</v>
      </c>
      <c r="F104" s="698">
        <v>19</v>
      </c>
      <c r="G104" s="696">
        <v>343.84315789473737</v>
      </c>
      <c r="H104" s="699">
        <v>6533.0200000000104</v>
      </c>
      <c r="I104" s="698">
        <v>10</v>
      </c>
      <c r="J104" s="696">
        <v>743.69200000000103</v>
      </c>
      <c r="K104" s="699">
        <v>7436.9200000000101</v>
      </c>
      <c r="L104" s="698">
        <v>10</v>
      </c>
      <c r="M104" s="696">
        <v>1059.873</v>
      </c>
      <c r="N104" s="699">
        <v>10598.73</v>
      </c>
      <c r="O104" s="698">
        <v>18</v>
      </c>
      <c r="P104" s="696">
        <v>1446.8283333333334</v>
      </c>
      <c r="Q104" s="699">
        <v>26042.91</v>
      </c>
      <c r="R104" s="698">
        <v>26</v>
      </c>
      <c r="S104" s="696">
        <v>637.83153846153459</v>
      </c>
      <c r="T104" s="699">
        <v>16583.619999999901</v>
      </c>
      <c r="U104" s="698">
        <v>45</v>
      </c>
      <c r="V104" s="696">
        <v>996.06622222222006</v>
      </c>
      <c r="W104" s="699">
        <v>44822.979999999901</v>
      </c>
      <c r="X104" s="698">
        <v>51</v>
      </c>
      <c r="Y104" s="696">
        <v>737.09647058823521</v>
      </c>
      <c r="Z104" s="699">
        <v>37591.919999999998</v>
      </c>
      <c r="AA104" s="698">
        <v>50</v>
      </c>
      <c r="AB104" s="696">
        <v>637.0086</v>
      </c>
      <c r="AC104" s="699">
        <v>31850.43</v>
      </c>
      <c r="AD104" s="698">
        <v>38</v>
      </c>
      <c r="AE104" s="696">
        <v>366.98736842105262</v>
      </c>
      <c r="AF104" s="699">
        <v>13945.52</v>
      </c>
      <c r="AG104" s="698">
        <v>52</v>
      </c>
      <c r="AH104" s="696">
        <v>182.21538461538364</v>
      </c>
      <c r="AI104" s="699">
        <v>9475.1999999999498</v>
      </c>
      <c r="AJ104" s="698">
        <v>57</v>
      </c>
      <c r="AK104" s="696">
        <v>-132.43754385964806</v>
      </c>
      <c r="AL104" s="699">
        <v>-7548.9399999999396</v>
      </c>
      <c r="AM104" s="698">
        <v>28</v>
      </c>
      <c r="AN104" s="696">
        <v>787.25178571428216</v>
      </c>
      <c r="AO104" s="699">
        <v>22043.049999999901</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v>
      </c>
      <c r="B105" s="43"/>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Finances</v>
      </c>
      <c r="B106" s="44" t="s">
        <v>105</v>
      </c>
      <c r="C106" s="698"/>
      <c r="D106" s="696">
        <v>330.46899022801313</v>
      </c>
      <c r="E106" s="699">
        <v>101453.98000000003</v>
      </c>
      <c r="F106" s="698"/>
      <c r="G106" s="696">
        <v>357.98250000000002</v>
      </c>
      <c r="H106" s="699">
        <v>8591.58</v>
      </c>
      <c r="I106" s="698"/>
      <c r="J106" s="696">
        <v>230.15882352941176</v>
      </c>
      <c r="K106" s="699">
        <v>3912.7</v>
      </c>
      <c r="L106" s="698"/>
      <c r="M106" s="696">
        <v>393.4133333333333</v>
      </c>
      <c r="N106" s="699">
        <v>11802.4</v>
      </c>
      <c r="O106" s="698"/>
      <c r="P106" s="696">
        <v>305.93433333333337</v>
      </c>
      <c r="Q106" s="699">
        <v>9178.0300000000007</v>
      </c>
      <c r="R106" s="698"/>
      <c r="S106" s="696">
        <v>357.35966666666667</v>
      </c>
      <c r="T106" s="699">
        <v>10720.79</v>
      </c>
      <c r="U106" s="698"/>
      <c r="V106" s="696">
        <v>373.98400000000004</v>
      </c>
      <c r="W106" s="699">
        <v>11219.52</v>
      </c>
      <c r="X106" s="698"/>
      <c r="Y106" s="696">
        <v>450.1742857142857</v>
      </c>
      <c r="Z106" s="699">
        <v>12604.88</v>
      </c>
      <c r="AA106" s="698"/>
      <c r="AB106" s="696">
        <v>444.74962962962962</v>
      </c>
      <c r="AC106" s="699">
        <v>12008.24</v>
      </c>
      <c r="AD106" s="698"/>
      <c r="AE106" s="696">
        <v>508.61423076923074</v>
      </c>
      <c r="AF106" s="699">
        <v>13223.97</v>
      </c>
      <c r="AG106" s="698"/>
      <c r="AH106" s="696">
        <v>75.055333333333323</v>
      </c>
      <c r="AI106" s="699">
        <v>1125.83</v>
      </c>
      <c r="AJ106" s="698"/>
      <c r="AK106" s="696">
        <v>134.03428571428572</v>
      </c>
      <c r="AL106" s="699">
        <v>3752.96</v>
      </c>
      <c r="AM106" s="698"/>
      <c r="AN106" s="696">
        <v>150.59454545454545</v>
      </c>
      <c r="AO106" s="699">
        <v>3313.08</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Protections</v>
      </c>
      <c r="B107" s="44" t="s">
        <v>106</v>
      </c>
      <c r="C107" s="698"/>
      <c r="D107" s="696">
        <v>1691.1939087947883</v>
      </c>
      <c r="E107" s="699">
        <v>519196.52999999997</v>
      </c>
      <c r="F107" s="698"/>
      <c r="G107" s="696">
        <v>1456.1245833333332</v>
      </c>
      <c r="H107" s="699">
        <v>34946.99</v>
      </c>
      <c r="I107" s="698"/>
      <c r="J107" s="696">
        <v>1336.4476470588236</v>
      </c>
      <c r="K107" s="699">
        <v>22719.61</v>
      </c>
      <c r="L107" s="698"/>
      <c r="M107" s="696">
        <v>1414.3993333333301</v>
      </c>
      <c r="N107" s="699">
        <v>42431.979999999901</v>
      </c>
      <c r="O107" s="698"/>
      <c r="P107" s="696">
        <v>1730.1366666666665</v>
      </c>
      <c r="Q107" s="699">
        <v>51904.1</v>
      </c>
      <c r="R107" s="698"/>
      <c r="S107" s="696">
        <v>1630.4856666666667</v>
      </c>
      <c r="T107" s="699">
        <v>48914.57</v>
      </c>
      <c r="U107" s="698"/>
      <c r="V107" s="696">
        <v>1465.0156666666667</v>
      </c>
      <c r="W107" s="699">
        <v>43950.47</v>
      </c>
      <c r="X107" s="698"/>
      <c r="Y107" s="696">
        <v>1933.1910714285714</v>
      </c>
      <c r="Z107" s="699">
        <v>54129.35</v>
      </c>
      <c r="AA107" s="698"/>
      <c r="AB107" s="696">
        <v>1666.4492592592592</v>
      </c>
      <c r="AC107" s="699">
        <v>44994.13</v>
      </c>
      <c r="AD107" s="698"/>
      <c r="AE107" s="696">
        <v>1907.0388461538462</v>
      </c>
      <c r="AF107" s="699">
        <v>49583.01</v>
      </c>
      <c r="AG107" s="698"/>
      <c r="AH107" s="696">
        <v>1976.5013333333334</v>
      </c>
      <c r="AI107" s="699">
        <v>29647.52</v>
      </c>
      <c r="AJ107" s="698"/>
      <c r="AK107" s="696">
        <v>2014.1728571428571</v>
      </c>
      <c r="AL107" s="699">
        <v>56396.84</v>
      </c>
      <c r="AM107" s="698"/>
      <c r="AN107" s="696">
        <v>1798.9981818181818</v>
      </c>
      <c r="AO107" s="699">
        <v>39577.96</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usagésRev. Autres</v>
      </c>
      <c r="B108" s="44" t="s">
        <v>107</v>
      </c>
      <c r="C108" s="698"/>
      <c r="D108" s="745">
        <v>39.117035830618889</v>
      </c>
      <c r="E108" s="699">
        <v>12008.929999999998</v>
      </c>
      <c r="F108" s="698">
        <v>2</v>
      </c>
      <c r="G108" s="745">
        <v>22.08</v>
      </c>
      <c r="H108" s="699">
        <v>529.91999999999996</v>
      </c>
      <c r="I108" s="698">
        <v>2</v>
      </c>
      <c r="J108" s="745">
        <v>14.874705882352941</v>
      </c>
      <c r="K108" s="699">
        <v>252.87</v>
      </c>
      <c r="L108" s="698">
        <v>1</v>
      </c>
      <c r="M108" s="745">
        <v>60.827333333333328</v>
      </c>
      <c r="N108" s="699">
        <v>1824.82</v>
      </c>
      <c r="O108" s="698">
        <v>2</v>
      </c>
      <c r="P108" s="745">
        <v>9.5846666666666671</v>
      </c>
      <c r="Q108" s="699">
        <v>287.54000000000002</v>
      </c>
      <c r="R108" s="698">
        <v>0</v>
      </c>
      <c r="S108" s="745">
        <v>40.291000000000004</v>
      </c>
      <c r="T108" s="699">
        <v>1208.73</v>
      </c>
      <c r="U108" s="698">
        <v>0</v>
      </c>
      <c r="V108" s="745">
        <v>71.340333333333334</v>
      </c>
      <c r="W108" s="699">
        <v>2140.21</v>
      </c>
      <c r="X108" s="698">
        <v>0</v>
      </c>
      <c r="Y108" s="745">
        <v>28.672142857142859</v>
      </c>
      <c r="Z108" s="699">
        <v>802.82</v>
      </c>
      <c r="AA108" s="698">
        <v>0</v>
      </c>
      <c r="AB108" s="745">
        <v>68.289259259259254</v>
      </c>
      <c r="AC108" s="699">
        <v>1843.81</v>
      </c>
      <c r="AD108" s="698">
        <v>0</v>
      </c>
      <c r="AE108" s="745">
        <v>44.338846153846148</v>
      </c>
      <c r="AF108" s="699">
        <v>1152.81</v>
      </c>
      <c r="AG108" s="698">
        <v>0</v>
      </c>
      <c r="AH108" s="745">
        <v>17.580666666666666</v>
      </c>
      <c r="AI108" s="699">
        <v>263.70999999999998</v>
      </c>
      <c r="AJ108" s="698">
        <v>0</v>
      </c>
      <c r="AK108" s="745">
        <v>0</v>
      </c>
      <c r="AL108" s="699">
        <v>0</v>
      </c>
      <c r="AM108" s="698">
        <v>1</v>
      </c>
      <c r="AN108" s="745">
        <v>77.349545454545463</v>
      </c>
      <c r="AO108" s="699">
        <v>1701.69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usagésTotal F&amp;I</v>
      </c>
      <c r="B109" s="45" t="s">
        <v>108</v>
      </c>
      <c r="C109" s="1013">
        <v>307</v>
      </c>
      <c r="D109" s="1014">
        <v>2060.7799348534204</v>
      </c>
      <c r="E109" s="1015">
        <v>632659.44000000006</v>
      </c>
      <c r="F109" s="1013">
        <v>24</v>
      </c>
      <c r="G109" s="1014">
        <v>1836.1870833333332</v>
      </c>
      <c r="H109" s="1015">
        <v>44068.49</v>
      </c>
      <c r="I109" s="1013">
        <v>17</v>
      </c>
      <c r="J109" s="1014">
        <v>1581.4811764705883</v>
      </c>
      <c r="K109" s="1015">
        <v>26885.18</v>
      </c>
      <c r="L109" s="1013">
        <v>30</v>
      </c>
      <c r="M109" s="1014">
        <v>1868.6399999999967</v>
      </c>
      <c r="N109" s="1015">
        <v>56059.199999999903</v>
      </c>
      <c r="O109" s="1013">
        <v>30</v>
      </c>
      <c r="P109" s="1014">
        <v>2045.6556666666665</v>
      </c>
      <c r="Q109" s="1015">
        <v>61369.67</v>
      </c>
      <c r="R109" s="1013">
        <v>30</v>
      </c>
      <c r="S109" s="1014">
        <v>2028.1363333333334</v>
      </c>
      <c r="T109" s="1015">
        <v>60844.090000000004</v>
      </c>
      <c r="U109" s="1013">
        <v>30</v>
      </c>
      <c r="V109" s="1014">
        <v>1910.3400000000001</v>
      </c>
      <c r="W109" s="1015">
        <v>57310.200000000004</v>
      </c>
      <c r="X109" s="1013">
        <v>28</v>
      </c>
      <c r="Y109" s="1014">
        <v>2412.0374999999999</v>
      </c>
      <c r="Z109" s="1015">
        <v>67537.05</v>
      </c>
      <c r="AA109" s="1013">
        <v>27</v>
      </c>
      <c r="AB109" s="1014">
        <v>2179.488148148148</v>
      </c>
      <c r="AC109" s="1015">
        <v>58846.179999999993</v>
      </c>
      <c r="AD109" s="1013">
        <v>26</v>
      </c>
      <c r="AE109" s="1014">
        <v>2459.9919230769233</v>
      </c>
      <c r="AF109" s="1015">
        <v>63959.79</v>
      </c>
      <c r="AG109" s="1013">
        <v>15</v>
      </c>
      <c r="AH109" s="1014">
        <v>2069.1373333333331</v>
      </c>
      <c r="AI109" s="1015">
        <v>31037.059999999998</v>
      </c>
      <c r="AJ109" s="1013">
        <v>28</v>
      </c>
      <c r="AK109" s="1014">
        <v>2148.2071428571426</v>
      </c>
      <c r="AL109" s="1015">
        <v>60149.799999999996</v>
      </c>
      <c r="AM109" s="1013">
        <v>22</v>
      </c>
      <c r="AN109" s="1014">
        <v>2026.9422727272729</v>
      </c>
      <c r="AO109" s="1015">
        <v>44592.73</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Bot="1">
      <c r="A111" s="39" t="str">
        <f t="shared" si="1"/>
        <v>Véhicules usagés</v>
      </c>
      <c r="B111" s="44"/>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Top="1">
      <c r="A112" s="39" t="str">
        <f t="shared" si="1"/>
        <v>Véhicules usagésTotal Dépt. Usagés</v>
      </c>
      <c r="B112" s="49" t="s">
        <v>157</v>
      </c>
      <c r="C112" s="709">
        <v>711</v>
      </c>
      <c r="D112" s="710">
        <v>1797.8186779184239</v>
      </c>
      <c r="E112" s="711">
        <v>1278249.0799999994</v>
      </c>
      <c r="F112" s="709">
        <v>43</v>
      </c>
      <c r="G112" s="710">
        <v>2057.408372093023</v>
      </c>
      <c r="H112" s="711">
        <v>88468.559999999983</v>
      </c>
      <c r="I112" s="709">
        <v>27</v>
      </c>
      <c r="J112" s="710">
        <v>2119.9681481481448</v>
      </c>
      <c r="K112" s="711">
        <v>57239.139999999912</v>
      </c>
      <c r="L112" s="709">
        <v>40</v>
      </c>
      <c r="M112" s="710">
        <v>2706.0862499999948</v>
      </c>
      <c r="N112" s="711">
        <v>108243.44999999979</v>
      </c>
      <c r="O112" s="709">
        <v>48</v>
      </c>
      <c r="P112" s="710">
        <v>2399.7404166666643</v>
      </c>
      <c r="Q112" s="711">
        <v>115187.53999999989</v>
      </c>
      <c r="R112" s="709">
        <v>56</v>
      </c>
      <c r="S112" s="710">
        <v>2134.3708928571409</v>
      </c>
      <c r="T112" s="711">
        <v>119524.7699999999</v>
      </c>
      <c r="U112" s="709">
        <v>75</v>
      </c>
      <c r="V112" s="710">
        <v>2149.2457333333305</v>
      </c>
      <c r="W112" s="1107">
        <v>161193.42999999979</v>
      </c>
      <c r="X112" s="709">
        <v>79</v>
      </c>
      <c r="Y112" s="710">
        <v>1686.9216455696187</v>
      </c>
      <c r="Z112" s="1107">
        <v>133266.80999999988</v>
      </c>
      <c r="AA112" s="709">
        <v>77</v>
      </c>
      <c r="AB112" s="710">
        <v>1373.0411688311685</v>
      </c>
      <c r="AC112" s="1107">
        <v>105724.16999999998</v>
      </c>
      <c r="AD112" s="709">
        <v>64</v>
      </c>
      <c r="AE112" s="710">
        <v>2064.6173437500015</v>
      </c>
      <c r="AF112" s="1107">
        <v>132135.5100000001</v>
      </c>
      <c r="AG112" s="709">
        <v>67</v>
      </c>
      <c r="AH112" s="710">
        <v>1207.8447761194022</v>
      </c>
      <c r="AI112" s="711">
        <v>80925.599999999948</v>
      </c>
      <c r="AJ112" s="709">
        <v>85</v>
      </c>
      <c r="AK112" s="710">
        <v>1095.2432941176476</v>
      </c>
      <c r="AL112" s="711">
        <v>93095.680000000051</v>
      </c>
      <c r="AM112" s="709">
        <v>50</v>
      </c>
      <c r="AN112" s="710">
        <v>1664.888399999998</v>
      </c>
      <c r="AO112" s="711">
        <v>83244.419999999896</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Bot="1">
      <c r="A113" s="39" t="str">
        <f t="shared" si="1"/>
        <v>Véhicules usagés</v>
      </c>
      <c r="B113" s="50"/>
      <c r="C113" s="712"/>
      <c r="D113" s="713"/>
      <c r="E113" s="714"/>
      <c r="F113" s="712"/>
      <c r="G113" s="713"/>
      <c r="H113" s="714"/>
      <c r="I113" s="712"/>
      <c r="J113" s="713"/>
      <c r="K113" s="714"/>
      <c r="L113" s="712"/>
      <c r="M113" s="713"/>
      <c r="N113" s="714"/>
      <c r="O113" s="712"/>
      <c r="P113" s="713"/>
      <c r="Q113" s="714"/>
      <c r="R113" s="712"/>
      <c r="S113" s="713"/>
      <c r="T113" s="714"/>
      <c r="U113" s="712"/>
      <c r="V113" s="713"/>
      <c r="W113" s="1108"/>
      <c r="X113" s="712"/>
      <c r="Y113" s="713"/>
      <c r="Z113" s="1108"/>
      <c r="AA113" s="712"/>
      <c r="AB113" s="713"/>
      <c r="AC113" s="1108"/>
      <c r="AD113" s="712"/>
      <c r="AE113" s="713"/>
      <c r="AF113" s="1108"/>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thickTop="1">
      <c r="A114" s="39" t="str">
        <f t="shared" si="1"/>
        <v>Véhicules usagés</v>
      </c>
      <c r="B114" s="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usagésDEPENSES</v>
      </c>
      <c r="B115" s="52" t="s">
        <v>110</v>
      </c>
      <c r="C115" s="700"/>
      <c r="D115" s="718"/>
      <c r="E115" s="701"/>
      <c r="F115" s="700"/>
      <c r="G115" s="718"/>
      <c r="H115" s="697"/>
      <c r="I115" s="700"/>
      <c r="J115" s="718"/>
      <c r="K115" s="697"/>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vendeurs</v>
      </c>
      <c r="B116" s="44" t="s">
        <v>111</v>
      </c>
      <c r="C116" s="1121">
        <v>0.35483672672816163</v>
      </c>
      <c r="D116" s="720">
        <v>505.80762541806024</v>
      </c>
      <c r="E116" s="721">
        <v>151236.48000000001</v>
      </c>
      <c r="F116" s="1121">
        <v>0.32560498442311048</v>
      </c>
      <c r="G116" s="720">
        <v>652.22363636363639</v>
      </c>
      <c r="H116" s="721">
        <v>14348.92</v>
      </c>
      <c r="I116" s="1121">
        <v>0.33145026367686586</v>
      </c>
      <c r="J116" s="720">
        <v>594.07333333333338</v>
      </c>
      <c r="K116" s="721">
        <v>8911.1</v>
      </c>
      <c r="L116" s="1121">
        <v>0.25430527014299215</v>
      </c>
      <c r="M116" s="720">
        <v>491.59137931034479</v>
      </c>
      <c r="N116" s="721">
        <v>14256.15</v>
      </c>
      <c r="O116" s="1121">
        <v>0.15181131004941043</v>
      </c>
      <c r="P116" s="720">
        <v>332.73607142857145</v>
      </c>
      <c r="Q116" s="721">
        <v>9316.61</v>
      </c>
      <c r="R116" s="1121">
        <v>0.27248776339657638</v>
      </c>
      <c r="S116" s="720">
        <v>0</v>
      </c>
      <c r="T116" s="721">
        <v>16579.27</v>
      </c>
      <c r="U116" s="1121">
        <v>0.29186846320550269</v>
      </c>
      <c r="V116" s="720">
        <v>0</v>
      </c>
      <c r="W116" s="721">
        <v>16727.04</v>
      </c>
      <c r="X116" s="1121">
        <v>0.17780314656917942</v>
      </c>
      <c r="Y116" s="720">
        <v>0</v>
      </c>
      <c r="Z116" s="721">
        <v>12008.3</v>
      </c>
      <c r="AA116" s="1121">
        <v>0.21801228219061972</v>
      </c>
      <c r="AB116" s="720">
        <v>0</v>
      </c>
      <c r="AC116" s="721">
        <v>12829.19</v>
      </c>
      <c r="AD116" s="1121">
        <v>0.23960413253389357</v>
      </c>
      <c r="AE116" s="720">
        <v>0</v>
      </c>
      <c r="AF116" s="721">
        <v>15325.03</v>
      </c>
      <c r="AG116" s="1121">
        <v>0.36367974286224275</v>
      </c>
      <c r="AH116" s="720">
        <v>0</v>
      </c>
      <c r="AI116" s="721">
        <v>11287.55</v>
      </c>
      <c r="AJ116" s="1121">
        <v>0.17823201407153477</v>
      </c>
      <c r="AK116" s="720">
        <v>0</v>
      </c>
      <c r="AL116" s="721">
        <v>10720.62</v>
      </c>
      <c r="AM116" s="1121">
        <v>0.20018285491827928</v>
      </c>
      <c r="AN116" s="720">
        <v>425.0809523809524</v>
      </c>
      <c r="AO116" s="1109">
        <v>8926.7000000000007</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usagésComm. F&amp;I</v>
      </c>
      <c r="B117" s="43" t="s">
        <v>112</v>
      </c>
      <c r="C117" s="722">
        <v>0.28342877488716517</v>
      </c>
      <c r="D117" s="723">
        <v>599.71200668896313</v>
      </c>
      <c r="E117" s="725">
        <v>179313.88999999998</v>
      </c>
      <c r="F117" s="722"/>
      <c r="G117" s="723">
        <v>600.90454545454543</v>
      </c>
      <c r="H117" s="725">
        <v>13219.9</v>
      </c>
      <c r="I117" s="722"/>
      <c r="J117" s="723">
        <v>448.07266666666669</v>
      </c>
      <c r="K117" s="725">
        <v>6721.09</v>
      </c>
      <c r="L117" s="722"/>
      <c r="M117" s="723">
        <v>541.24620689655171</v>
      </c>
      <c r="N117" s="725">
        <v>15696.14</v>
      </c>
      <c r="O117" s="722"/>
      <c r="P117" s="723">
        <v>657.53321428571428</v>
      </c>
      <c r="Q117" s="725">
        <v>18410.93</v>
      </c>
      <c r="R117" s="722"/>
      <c r="S117" s="723">
        <v>0</v>
      </c>
      <c r="T117" s="725">
        <v>18252.73</v>
      </c>
      <c r="U117" s="722"/>
      <c r="V117" s="723">
        <v>0</v>
      </c>
      <c r="W117" s="725">
        <v>17157.810000000001</v>
      </c>
      <c r="X117" s="722"/>
      <c r="Y117" s="723">
        <v>0</v>
      </c>
      <c r="Z117" s="725">
        <v>20164.34</v>
      </c>
      <c r="AA117" s="722"/>
      <c r="AB117" s="723">
        <v>0</v>
      </c>
      <c r="AC117" s="725">
        <v>17527.689999999999</v>
      </c>
      <c r="AD117" s="722"/>
      <c r="AE117" s="723">
        <v>0</v>
      </c>
      <c r="AF117" s="725">
        <v>19421.79</v>
      </c>
      <c r="AG117" s="1122"/>
      <c r="AH117" s="723">
        <v>0</v>
      </c>
      <c r="AI117" s="725">
        <v>9310.83</v>
      </c>
      <c r="AJ117" s="1122"/>
      <c r="AK117" s="723">
        <v>0</v>
      </c>
      <c r="AL117" s="725">
        <v>18971.509999999998</v>
      </c>
      <c r="AM117" s="1122"/>
      <c r="AN117" s="723">
        <v>212.33952380952383</v>
      </c>
      <c r="AO117" s="1110">
        <v>4459.13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usagésFrais de livraison</v>
      </c>
      <c r="B118" s="44" t="s">
        <v>113</v>
      </c>
      <c r="C118" s="700"/>
      <c r="D118" s="720">
        <v>-37.800501672240799</v>
      </c>
      <c r="E118" s="721">
        <v>-11302.349999999999</v>
      </c>
      <c r="F118" s="700"/>
      <c r="G118" s="720">
        <v>-18.423636363636362</v>
      </c>
      <c r="H118" s="721">
        <v>-405.32</v>
      </c>
      <c r="I118" s="700"/>
      <c r="J118" s="720">
        <v>-44.719333333333331</v>
      </c>
      <c r="K118" s="721">
        <v>-670.79</v>
      </c>
      <c r="L118" s="700"/>
      <c r="M118" s="720">
        <v>-92.657241379310349</v>
      </c>
      <c r="N118" s="721">
        <v>-2687.06</v>
      </c>
      <c r="O118" s="700"/>
      <c r="P118" s="720">
        <v>-90.678214285714276</v>
      </c>
      <c r="Q118" s="721">
        <v>-2538.9899999999998</v>
      </c>
      <c r="R118" s="700"/>
      <c r="S118" s="720">
        <v>0</v>
      </c>
      <c r="T118" s="721">
        <v>-1828.08</v>
      </c>
      <c r="U118" s="700"/>
      <c r="V118" s="720">
        <v>0</v>
      </c>
      <c r="W118" s="721">
        <v>-775.8</v>
      </c>
      <c r="X118" s="700"/>
      <c r="Y118" s="720">
        <v>0</v>
      </c>
      <c r="Z118" s="721">
        <v>-1754.51</v>
      </c>
      <c r="AA118" s="700"/>
      <c r="AB118" s="720">
        <v>0</v>
      </c>
      <c r="AC118" s="721">
        <v>-332.59</v>
      </c>
      <c r="AD118" s="700"/>
      <c r="AE118" s="720">
        <v>0</v>
      </c>
      <c r="AF118" s="721">
        <v>-1273.72</v>
      </c>
      <c r="AG118" s="700"/>
      <c r="AH118" s="720">
        <v>0</v>
      </c>
      <c r="AI118" s="721">
        <v>1356.52</v>
      </c>
      <c r="AJ118" s="700"/>
      <c r="AK118" s="720">
        <v>0</v>
      </c>
      <c r="AL118" s="721">
        <v>-453.29</v>
      </c>
      <c r="AM118" s="700"/>
      <c r="AN118" s="720">
        <v>2.9180952380952383</v>
      </c>
      <c r="AO118" s="1109">
        <v>61.28</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usagésService gratuit 1</v>
      </c>
      <c r="B119" s="44" t="s">
        <v>114</v>
      </c>
      <c r="C119" s="700"/>
      <c r="D119" s="720">
        <v>60.333311036789297</v>
      </c>
      <c r="E119" s="721">
        <v>18039.66</v>
      </c>
      <c r="F119" s="700"/>
      <c r="G119" s="720">
        <v>43.118636363636362</v>
      </c>
      <c r="H119" s="721">
        <v>948.61</v>
      </c>
      <c r="I119" s="700"/>
      <c r="J119" s="720">
        <v>28.663333333333334</v>
      </c>
      <c r="K119" s="721">
        <v>429.95</v>
      </c>
      <c r="L119" s="700"/>
      <c r="M119" s="720">
        <v>40.642413793103451</v>
      </c>
      <c r="N119" s="721">
        <v>1178.6300000000001</v>
      </c>
      <c r="O119" s="700"/>
      <c r="P119" s="720">
        <v>32.045357142857142</v>
      </c>
      <c r="Q119" s="721">
        <v>897.27</v>
      </c>
      <c r="R119" s="700"/>
      <c r="S119" s="720">
        <v>0</v>
      </c>
      <c r="T119" s="721">
        <v>2691.69</v>
      </c>
      <c r="U119" s="700"/>
      <c r="V119" s="720">
        <v>0</v>
      </c>
      <c r="W119" s="721">
        <v>2278.52</v>
      </c>
      <c r="X119" s="700"/>
      <c r="Y119" s="720">
        <v>0</v>
      </c>
      <c r="Z119" s="721">
        <v>4983.57</v>
      </c>
      <c r="AA119" s="700"/>
      <c r="AB119" s="720">
        <v>0</v>
      </c>
      <c r="AC119" s="721">
        <v>577</v>
      </c>
      <c r="AD119" s="700"/>
      <c r="AE119" s="720">
        <v>0</v>
      </c>
      <c r="AF119" s="721">
        <v>2558.56</v>
      </c>
      <c r="AG119" s="700"/>
      <c r="AH119" s="720">
        <v>0</v>
      </c>
      <c r="AI119" s="721">
        <v>2087.27</v>
      </c>
      <c r="AJ119" s="700"/>
      <c r="AK119" s="720">
        <v>0</v>
      </c>
      <c r="AL119" s="721">
        <v>1965.66</v>
      </c>
      <c r="AM119" s="700"/>
      <c r="AN119" s="720">
        <v>-121.7652380952381</v>
      </c>
      <c r="AO119" s="1109">
        <v>-2557.0700000000002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usagésEntretien stock</v>
      </c>
      <c r="B120" s="43" t="s">
        <v>115</v>
      </c>
      <c r="C120" s="726"/>
      <c r="D120" s="723">
        <v>180.66471571906354</v>
      </c>
      <c r="E120" s="725">
        <v>54018.75</v>
      </c>
      <c r="F120" s="726"/>
      <c r="G120" s="723">
        <v>151.12090909090909</v>
      </c>
      <c r="H120" s="725">
        <v>3324.66</v>
      </c>
      <c r="I120" s="726"/>
      <c r="J120" s="723">
        <v>119.66666666666667</v>
      </c>
      <c r="K120" s="725">
        <v>1795</v>
      </c>
      <c r="L120" s="726"/>
      <c r="M120" s="723">
        <v>225.90827586206896</v>
      </c>
      <c r="N120" s="725">
        <v>6551.34</v>
      </c>
      <c r="O120" s="726"/>
      <c r="P120" s="723">
        <v>127.62428571428572</v>
      </c>
      <c r="Q120" s="725">
        <v>3573.48</v>
      </c>
      <c r="R120" s="726"/>
      <c r="S120" s="723">
        <v>0</v>
      </c>
      <c r="T120" s="725">
        <v>4307.83</v>
      </c>
      <c r="U120" s="726"/>
      <c r="V120" s="723">
        <v>0</v>
      </c>
      <c r="W120" s="725">
        <v>9664.26</v>
      </c>
      <c r="X120" s="726"/>
      <c r="Y120" s="723">
        <v>0</v>
      </c>
      <c r="Z120" s="725">
        <v>3765.58</v>
      </c>
      <c r="AA120" s="726"/>
      <c r="AB120" s="723">
        <v>0</v>
      </c>
      <c r="AC120" s="725">
        <v>3613.13</v>
      </c>
      <c r="AD120" s="726"/>
      <c r="AE120" s="723">
        <v>0</v>
      </c>
      <c r="AF120" s="725">
        <v>3481.48</v>
      </c>
      <c r="AG120" s="726"/>
      <c r="AH120" s="723">
        <v>0</v>
      </c>
      <c r="AI120" s="725">
        <v>6393.11</v>
      </c>
      <c r="AJ120" s="726"/>
      <c r="AK120" s="723">
        <v>0</v>
      </c>
      <c r="AL120" s="725">
        <v>3914.28</v>
      </c>
      <c r="AM120" s="726"/>
      <c r="AN120" s="723">
        <v>173.07619047619048</v>
      </c>
      <c r="AO120" s="1110">
        <v>3634.6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usagésPublicité 1</v>
      </c>
      <c r="B121" s="44" t="s">
        <v>116</v>
      </c>
      <c r="C121" s="700"/>
      <c r="D121" s="720">
        <v>451.16565217391314</v>
      </c>
      <c r="E121" s="721">
        <v>134898.53000000003</v>
      </c>
      <c r="F121" s="700"/>
      <c r="G121" s="720">
        <v>556.01590909090908</v>
      </c>
      <c r="H121" s="721">
        <v>12232.35</v>
      </c>
      <c r="I121" s="700"/>
      <c r="J121" s="720">
        <v>467.97399999999999</v>
      </c>
      <c r="K121" s="721">
        <v>7019.61</v>
      </c>
      <c r="L121" s="700"/>
      <c r="M121" s="720">
        <v>366.05689655172415</v>
      </c>
      <c r="N121" s="721">
        <v>10615.65</v>
      </c>
      <c r="O121" s="700"/>
      <c r="P121" s="720">
        <v>461.5385714285714</v>
      </c>
      <c r="Q121" s="721">
        <v>12923.08</v>
      </c>
      <c r="R121" s="700"/>
      <c r="S121" s="720">
        <v>0</v>
      </c>
      <c r="T121" s="721">
        <v>11679.81</v>
      </c>
      <c r="U121" s="700"/>
      <c r="V121" s="720">
        <v>0</v>
      </c>
      <c r="W121" s="721">
        <v>7506.82</v>
      </c>
      <c r="X121" s="700"/>
      <c r="Y121" s="720">
        <v>0</v>
      </c>
      <c r="Z121" s="721">
        <v>9191.5300000000007</v>
      </c>
      <c r="AA121" s="700"/>
      <c r="AB121" s="720">
        <v>0</v>
      </c>
      <c r="AC121" s="721">
        <v>10992.3</v>
      </c>
      <c r="AD121" s="700"/>
      <c r="AE121" s="720">
        <v>0</v>
      </c>
      <c r="AF121" s="721">
        <v>13511.52</v>
      </c>
      <c r="AG121" s="700"/>
      <c r="AH121" s="720">
        <v>0</v>
      </c>
      <c r="AI121" s="721">
        <v>12130.92</v>
      </c>
      <c r="AJ121" s="700"/>
      <c r="AK121" s="720">
        <v>0</v>
      </c>
      <c r="AL121" s="721">
        <v>9800.3799999999992</v>
      </c>
      <c r="AM121" s="700"/>
      <c r="AN121" s="720">
        <v>823.55047619047627</v>
      </c>
      <c r="AO121" s="1109">
        <v>17294.560000000001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usagésIntérêt de gros</v>
      </c>
      <c r="B122" s="44" t="s">
        <v>117</v>
      </c>
      <c r="C122" s="700"/>
      <c r="D122" s="720">
        <v>95.794214046822745</v>
      </c>
      <c r="E122" s="721">
        <v>28642.47</v>
      </c>
      <c r="F122" s="700"/>
      <c r="G122" s="720">
        <v>118.57636363636362</v>
      </c>
      <c r="H122" s="721">
        <v>2608.6799999999998</v>
      </c>
      <c r="I122" s="700"/>
      <c r="J122" s="720">
        <v>141.494</v>
      </c>
      <c r="K122" s="721">
        <v>2122.41</v>
      </c>
      <c r="L122" s="700"/>
      <c r="M122" s="720">
        <v>70.131034482758622</v>
      </c>
      <c r="N122" s="721">
        <v>2033.8</v>
      </c>
      <c r="O122" s="700"/>
      <c r="P122" s="720">
        <v>105.60428571428572</v>
      </c>
      <c r="Q122" s="721">
        <v>2956.92</v>
      </c>
      <c r="R122" s="700"/>
      <c r="S122" s="720">
        <v>0</v>
      </c>
      <c r="T122" s="721">
        <v>4081.16</v>
      </c>
      <c r="U122" s="700"/>
      <c r="V122" s="720">
        <v>0</v>
      </c>
      <c r="W122" s="721">
        <v>5014.7299999999996</v>
      </c>
      <c r="X122" s="700"/>
      <c r="Y122" s="720">
        <v>0</v>
      </c>
      <c r="Z122" s="721">
        <v>4064.38</v>
      </c>
      <c r="AA122" s="700"/>
      <c r="AB122" s="720">
        <v>0</v>
      </c>
      <c r="AC122" s="721">
        <v>2127.79</v>
      </c>
      <c r="AD122" s="700"/>
      <c r="AE122" s="720">
        <v>0</v>
      </c>
      <c r="AF122" s="721">
        <v>1444.27</v>
      </c>
      <c r="AG122" s="700"/>
      <c r="AH122" s="720">
        <v>0</v>
      </c>
      <c r="AI122" s="721">
        <v>691.6</v>
      </c>
      <c r="AJ122" s="700"/>
      <c r="AK122" s="720">
        <v>0</v>
      </c>
      <c r="AL122" s="721">
        <v>783.69</v>
      </c>
      <c r="AM122" s="700"/>
      <c r="AN122" s="720">
        <v>33.95428571428571</v>
      </c>
      <c r="AO122" s="1109">
        <v>713.04</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v>
      </c>
      <c r="B125" s="44" t="s">
        <v>59</v>
      </c>
      <c r="C125" s="750"/>
      <c r="D125" s="720"/>
      <c r="E125" s="708"/>
      <c r="F125" s="750"/>
      <c r="G125" s="720"/>
      <c r="H125" s="708"/>
      <c r="I125" s="750"/>
      <c r="J125" s="720"/>
      <c r="K125" s="708"/>
      <c r="L125" s="750"/>
      <c r="M125" s="720"/>
      <c r="N125" s="708"/>
      <c r="O125" s="750"/>
      <c r="P125" s="720"/>
      <c r="Q125" s="708"/>
      <c r="R125" s="750"/>
      <c r="S125" s="720"/>
      <c r="T125" s="708"/>
      <c r="U125" s="750"/>
      <c r="V125" s="720"/>
      <c r="W125" s="708"/>
      <c r="X125" s="750"/>
      <c r="Y125" s="720"/>
      <c r="Z125" s="708"/>
      <c r="AA125" s="750"/>
      <c r="AB125" s="720"/>
      <c r="AC125" s="708"/>
      <c r="AD125" s="750"/>
      <c r="AE125" s="720"/>
      <c r="AF125" s="708"/>
      <c r="AG125" s="750"/>
      <c r="AH125" s="720"/>
      <c r="AI125" s="708"/>
      <c r="AJ125" s="750"/>
      <c r="AK125" s="720"/>
      <c r="AL125" s="708"/>
      <c r="AM125" s="750"/>
      <c r="AN125" s="720"/>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usagésTOTAL VARIABLES</v>
      </c>
      <c r="B126" s="53" t="s">
        <v>118</v>
      </c>
      <c r="C126" s="1024" t="s">
        <v>119</v>
      </c>
      <c r="D126" s="1025">
        <v>0.43406831945460911</v>
      </c>
      <c r="E126" s="1026">
        <v>554847.42999999993</v>
      </c>
      <c r="F126" s="1024" t="s">
        <v>119</v>
      </c>
      <c r="G126" s="1025"/>
      <c r="H126" s="1026">
        <v>46277.8</v>
      </c>
      <c r="I126" s="1024" t="s">
        <v>119</v>
      </c>
      <c r="J126" s="1025"/>
      <c r="K126" s="1026">
        <v>26328.37</v>
      </c>
      <c r="L126" s="1024" t="s">
        <v>119</v>
      </c>
      <c r="M126" s="1025"/>
      <c r="N126" s="1026">
        <v>47644.65</v>
      </c>
      <c r="O126" s="1024" t="s">
        <v>119</v>
      </c>
      <c r="P126" s="1025"/>
      <c r="Q126" s="1026">
        <v>45539.3</v>
      </c>
      <c r="R126" s="1123" t="s">
        <v>119</v>
      </c>
      <c r="S126" s="1025"/>
      <c r="T126" s="1026">
        <v>55764.41</v>
      </c>
      <c r="U126" s="1123" t="s">
        <v>119</v>
      </c>
      <c r="V126" s="1025"/>
      <c r="W126" s="1111">
        <v>57573.38</v>
      </c>
      <c r="X126" s="1123" t="s">
        <v>119</v>
      </c>
      <c r="Y126" s="1025"/>
      <c r="Z126" s="1111">
        <v>52423.1899999999</v>
      </c>
      <c r="AA126" s="1123" t="s">
        <v>119</v>
      </c>
      <c r="AB126" s="1025"/>
      <c r="AC126" s="1111">
        <v>47334.51</v>
      </c>
      <c r="AD126" s="1123" t="s">
        <v>119</v>
      </c>
      <c r="AE126" s="1025"/>
      <c r="AF126" s="1111">
        <v>54468.93</v>
      </c>
      <c r="AG126" s="1024" t="s">
        <v>119</v>
      </c>
      <c r="AH126" s="1025"/>
      <c r="AI126" s="1026">
        <v>43257.799999999901</v>
      </c>
      <c r="AJ126" s="1024" t="s">
        <v>119</v>
      </c>
      <c r="AK126" s="1025"/>
      <c r="AL126" s="1026">
        <v>45702.85</v>
      </c>
      <c r="AM126" s="1024" t="s">
        <v>119</v>
      </c>
      <c r="AN126" s="1025"/>
      <c r="AO126" s="1026">
        <v>32532.240000000002</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cadres</v>
      </c>
      <c r="B127" s="54" t="s">
        <v>120</v>
      </c>
      <c r="C127" s="700"/>
      <c r="D127" s="707"/>
      <c r="E127" s="721">
        <v>127695.76999999999</v>
      </c>
      <c r="F127" s="700"/>
      <c r="G127" s="707"/>
      <c r="H127" s="721">
        <v>12489.2</v>
      </c>
      <c r="I127" s="700"/>
      <c r="J127" s="707"/>
      <c r="K127" s="721">
        <v>6449.93</v>
      </c>
      <c r="L127" s="700"/>
      <c r="M127" s="707"/>
      <c r="N127" s="721">
        <v>9449.93</v>
      </c>
      <c r="O127" s="700"/>
      <c r="P127" s="707"/>
      <c r="Q127" s="721">
        <v>9430.7000000000007</v>
      </c>
      <c r="R127" s="700"/>
      <c r="S127" s="707"/>
      <c r="T127" s="721">
        <v>7373.01</v>
      </c>
      <c r="U127" s="700"/>
      <c r="V127" s="707"/>
      <c r="W127" s="721">
        <v>8017.24</v>
      </c>
      <c r="X127" s="700"/>
      <c r="Y127" s="707"/>
      <c r="Z127" s="721">
        <v>12692.24</v>
      </c>
      <c r="AA127" s="700"/>
      <c r="AB127" s="707"/>
      <c r="AC127" s="721">
        <v>12758.11</v>
      </c>
      <c r="AD127" s="700"/>
      <c r="AE127" s="707"/>
      <c r="AF127" s="721">
        <v>12968.68</v>
      </c>
      <c r="AG127" s="700"/>
      <c r="AH127" s="707"/>
      <c r="AI127" s="721">
        <v>12338.4</v>
      </c>
      <c r="AJ127" s="700"/>
      <c r="AK127" s="707"/>
      <c r="AL127" s="721">
        <v>12013.87</v>
      </c>
      <c r="AM127" s="700"/>
      <c r="AN127" s="707"/>
      <c r="AO127" s="1109">
        <v>11714.46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commis</v>
      </c>
      <c r="B128" s="55" t="s">
        <v>121</v>
      </c>
      <c r="C128" s="700"/>
      <c r="D128" s="707"/>
      <c r="E128" s="721">
        <v>37718.229999999996</v>
      </c>
      <c r="F128" s="700"/>
      <c r="G128" s="707"/>
      <c r="H128" s="721">
        <v>5874.45</v>
      </c>
      <c r="I128" s="700"/>
      <c r="J128" s="707"/>
      <c r="K128" s="721">
        <v>5400.97</v>
      </c>
      <c r="L128" s="700"/>
      <c r="M128" s="707"/>
      <c r="N128" s="721">
        <v>5514.42</v>
      </c>
      <c r="O128" s="700"/>
      <c r="P128" s="707"/>
      <c r="Q128" s="721">
        <v>1983.51</v>
      </c>
      <c r="R128" s="700"/>
      <c r="S128" s="707"/>
      <c r="T128" s="721">
        <v>2166.67</v>
      </c>
      <c r="U128" s="700"/>
      <c r="V128" s="707"/>
      <c r="W128" s="721">
        <v>1931.75</v>
      </c>
      <c r="X128" s="700"/>
      <c r="Y128" s="707"/>
      <c r="Z128" s="721">
        <v>1911.65</v>
      </c>
      <c r="AA128" s="700"/>
      <c r="AB128" s="707"/>
      <c r="AC128" s="721">
        <v>2021.62</v>
      </c>
      <c r="AD128" s="700"/>
      <c r="AE128" s="707"/>
      <c r="AF128" s="721">
        <v>3121.3</v>
      </c>
      <c r="AG128" s="700"/>
      <c r="AH128" s="707"/>
      <c r="AI128" s="721">
        <v>3437.05</v>
      </c>
      <c r="AJ128" s="700"/>
      <c r="AK128" s="707"/>
      <c r="AL128" s="721">
        <v>1829.35</v>
      </c>
      <c r="AM128" s="700"/>
      <c r="AN128" s="707"/>
      <c r="AO128" s="1109">
        <v>2525.4899999999998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autres</v>
      </c>
      <c r="B129" s="54" t="s">
        <v>122</v>
      </c>
      <c r="C129" s="1011"/>
      <c r="D129" s="1029"/>
      <c r="E129" s="1031">
        <v>58483.799999999996</v>
      </c>
      <c r="F129" s="1011"/>
      <c r="G129" s="1029"/>
      <c r="H129" s="1031">
        <v>5161</v>
      </c>
      <c r="I129" s="1011"/>
      <c r="J129" s="1029"/>
      <c r="K129" s="1031">
        <v>5999</v>
      </c>
      <c r="L129" s="1011"/>
      <c r="M129" s="1029"/>
      <c r="N129" s="1031">
        <v>3236</v>
      </c>
      <c r="O129" s="1011"/>
      <c r="P129" s="1029"/>
      <c r="Q129" s="1031">
        <v>4612.75</v>
      </c>
      <c r="R129" s="1011"/>
      <c r="S129" s="1029"/>
      <c r="T129" s="1031">
        <v>5875.5</v>
      </c>
      <c r="U129" s="1011"/>
      <c r="V129" s="1029"/>
      <c r="W129" s="1031">
        <v>5223.6000000000004</v>
      </c>
      <c r="X129" s="1011"/>
      <c r="Y129" s="1029"/>
      <c r="Z129" s="1031">
        <v>5511.25</v>
      </c>
      <c r="AA129" s="1011"/>
      <c r="AB129" s="1029"/>
      <c r="AC129" s="1031">
        <v>5127.5</v>
      </c>
      <c r="AD129" s="1011"/>
      <c r="AE129" s="1029"/>
      <c r="AF129" s="1031">
        <v>3559.25</v>
      </c>
      <c r="AG129" s="1011"/>
      <c r="AH129" s="1029"/>
      <c r="AI129" s="1031">
        <v>4478.2</v>
      </c>
      <c r="AJ129" s="1011"/>
      <c r="AK129" s="1029"/>
      <c r="AL129" s="1031">
        <v>4999.6000000000004</v>
      </c>
      <c r="AM129" s="1011"/>
      <c r="AN129" s="1029"/>
      <c r="AO129" s="1112">
        <v>4700.1499999999996</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usagésSalaires spécialistes</v>
      </c>
      <c r="B130" s="54" t="s">
        <v>123</v>
      </c>
      <c r="C130" s="700"/>
      <c r="D130" s="707"/>
      <c r="E130" s="721">
        <v>0</v>
      </c>
      <c r="F130" s="700"/>
      <c r="G130" s="707"/>
      <c r="H130" s="721">
        <v>0</v>
      </c>
      <c r="I130" s="700"/>
      <c r="J130" s="707"/>
      <c r="K130" s="721">
        <v>0</v>
      </c>
      <c r="L130" s="700"/>
      <c r="M130" s="707"/>
      <c r="N130" s="721">
        <v>0</v>
      </c>
      <c r="O130" s="700"/>
      <c r="P130" s="707"/>
      <c r="Q130" s="721">
        <v>0</v>
      </c>
      <c r="R130" s="700"/>
      <c r="S130" s="707"/>
      <c r="T130" s="721">
        <v>0</v>
      </c>
      <c r="U130" s="700"/>
      <c r="V130" s="707"/>
      <c r="W130" s="721">
        <v>0</v>
      </c>
      <c r="X130" s="700"/>
      <c r="Y130" s="707"/>
      <c r="Z130" s="721">
        <v>0</v>
      </c>
      <c r="AA130" s="700"/>
      <c r="AB130" s="707"/>
      <c r="AC130" s="721">
        <v>0</v>
      </c>
      <c r="AD130" s="700"/>
      <c r="AE130" s="707"/>
      <c r="AF130" s="721">
        <v>0</v>
      </c>
      <c r="AG130" s="700"/>
      <c r="AH130" s="707"/>
      <c r="AI130" s="721">
        <v>0</v>
      </c>
      <c r="AJ130" s="700"/>
      <c r="AK130" s="707"/>
      <c r="AL130" s="721">
        <v>0</v>
      </c>
      <c r="AM130" s="700"/>
      <c r="AN130" s="707"/>
      <c r="AO130" s="1109">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0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0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v>
      </c>
      <c r="B133" s="44" t="s">
        <v>59</v>
      </c>
      <c r="C133" s="700"/>
      <c r="D133" s="707"/>
      <c r="E133" s="721"/>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110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usagésSalaires en absences</v>
      </c>
      <c r="B134" s="55" t="s">
        <v>124</v>
      </c>
      <c r="C134" s="700"/>
      <c r="D134" s="707"/>
      <c r="E134" s="721">
        <v>89342.469999999987</v>
      </c>
      <c r="F134" s="700"/>
      <c r="G134" s="707"/>
      <c r="H134" s="721">
        <v>8116.46</v>
      </c>
      <c r="I134" s="700"/>
      <c r="J134" s="707"/>
      <c r="K134" s="721">
        <v>6772.12</v>
      </c>
      <c r="L134" s="700"/>
      <c r="M134" s="707"/>
      <c r="N134" s="721">
        <v>7286.69</v>
      </c>
      <c r="O134" s="700"/>
      <c r="P134" s="707"/>
      <c r="Q134" s="721">
        <v>9038.93</v>
      </c>
      <c r="R134" s="700"/>
      <c r="S134" s="707"/>
      <c r="T134" s="721">
        <v>9327.2199999999993</v>
      </c>
      <c r="U134" s="700"/>
      <c r="V134" s="707"/>
      <c r="W134" s="721">
        <v>7889.47</v>
      </c>
      <c r="X134" s="700"/>
      <c r="Y134" s="707"/>
      <c r="Z134" s="721">
        <v>7271.51</v>
      </c>
      <c r="AA134" s="700"/>
      <c r="AB134" s="707"/>
      <c r="AC134" s="721">
        <v>7565.74</v>
      </c>
      <c r="AD134" s="700"/>
      <c r="AE134" s="707"/>
      <c r="AF134" s="721">
        <v>4173.8999999999996</v>
      </c>
      <c r="AG134" s="700"/>
      <c r="AH134" s="707"/>
      <c r="AI134" s="721">
        <v>7747.06</v>
      </c>
      <c r="AJ134" s="700"/>
      <c r="AK134" s="707"/>
      <c r="AL134" s="721">
        <v>7715.34</v>
      </c>
      <c r="AM134" s="700"/>
      <c r="AN134" s="707"/>
      <c r="AO134" s="1109">
        <v>6438.03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usagésDéduction à la source</v>
      </c>
      <c r="B135" s="54" t="s">
        <v>125</v>
      </c>
      <c r="C135" s="1011"/>
      <c r="D135" s="1029"/>
      <c r="E135" s="1031">
        <v>103016.16</v>
      </c>
      <c r="F135" s="1011"/>
      <c r="G135" s="1029"/>
      <c r="H135" s="1031">
        <v>8563.31</v>
      </c>
      <c r="I135" s="1011"/>
      <c r="J135" s="1029"/>
      <c r="K135" s="1031">
        <v>8042.92</v>
      </c>
      <c r="L135" s="1011"/>
      <c r="M135" s="1029"/>
      <c r="N135" s="1031">
        <v>8838.65</v>
      </c>
      <c r="O135" s="1011"/>
      <c r="P135" s="1029"/>
      <c r="Q135" s="1031">
        <v>10732.49</v>
      </c>
      <c r="R135" s="1011"/>
      <c r="S135" s="1029"/>
      <c r="T135" s="1031">
        <v>11184.74</v>
      </c>
      <c r="U135" s="1011"/>
      <c r="V135" s="1029"/>
      <c r="W135" s="1031">
        <v>8997.59</v>
      </c>
      <c r="X135" s="1011"/>
      <c r="Y135" s="1029"/>
      <c r="Z135" s="1031">
        <v>8415.69</v>
      </c>
      <c r="AA135" s="1011"/>
      <c r="AB135" s="1029"/>
      <c r="AC135" s="1031">
        <v>8319.08</v>
      </c>
      <c r="AD135" s="1011"/>
      <c r="AE135" s="1029"/>
      <c r="AF135" s="1031">
        <v>4149.34</v>
      </c>
      <c r="AG135" s="1011"/>
      <c r="AH135" s="1029"/>
      <c r="AI135" s="1031">
        <v>9111.51</v>
      </c>
      <c r="AJ135" s="1011"/>
      <c r="AK135" s="1029"/>
      <c r="AL135" s="1031">
        <v>9209.24</v>
      </c>
      <c r="AM135" s="1011"/>
      <c r="AN135" s="1029"/>
      <c r="AO135" s="1112">
        <v>7451.6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usagésBénéfices marginaux</v>
      </c>
      <c r="B136" s="54" t="s">
        <v>126</v>
      </c>
      <c r="C136" s="700"/>
      <c r="D136" s="707"/>
      <c r="E136" s="721">
        <v>50140.499999999985</v>
      </c>
      <c r="F136" s="700"/>
      <c r="G136" s="707"/>
      <c r="H136" s="721">
        <v>3861.82</v>
      </c>
      <c r="I136" s="700"/>
      <c r="J136" s="707"/>
      <c r="K136" s="721">
        <v>4219.8599999999997</v>
      </c>
      <c r="L136" s="700"/>
      <c r="M136" s="707"/>
      <c r="N136" s="721">
        <v>4841.78</v>
      </c>
      <c r="O136" s="700"/>
      <c r="P136" s="707"/>
      <c r="Q136" s="721">
        <v>4967.2199999999903</v>
      </c>
      <c r="R136" s="700"/>
      <c r="S136" s="707"/>
      <c r="T136" s="721">
        <v>6075.35</v>
      </c>
      <c r="U136" s="700"/>
      <c r="V136" s="707"/>
      <c r="W136" s="721">
        <v>4065.51</v>
      </c>
      <c r="X136" s="700"/>
      <c r="Y136" s="707"/>
      <c r="Z136" s="721">
        <v>3747.7599999999902</v>
      </c>
      <c r="AA136" s="700"/>
      <c r="AB136" s="707"/>
      <c r="AC136" s="721">
        <v>4530.37</v>
      </c>
      <c r="AD136" s="700"/>
      <c r="AE136" s="707"/>
      <c r="AF136" s="721">
        <v>2110.8200000000002</v>
      </c>
      <c r="AG136" s="700"/>
      <c r="AH136" s="707"/>
      <c r="AI136" s="721">
        <v>4529.3999999999996</v>
      </c>
      <c r="AJ136" s="700"/>
      <c r="AK136" s="707"/>
      <c r="AL136" s="721">
        <v>4277.1400000000003</v>
      </c>
      <c r="AM136" s="700"/>
      <c r="AN136" s="707"/>
      <c r="AO136" s="1109">
        <v>2913.47</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usagésCsst</v>
      </c>
      <c r="B137" s="54" t="s">
        <v>127</v>
      </c>
      <c r="C137" s="700"/>
      <c r="D137" s="707"/>
      <c r="E137" s="721">
        <v>13847.880000000001</v>
      </c>
      <c r="F137" s="700"/>
      <c r="G137" s="707"/>
      <c r="H137" s="721">
        <v>1542.62</v>
      </c>
      <c r="I137" s="700"/>
      <c r="J137" s="707"/>
      <c r="K137" s="721">
        <v>1459.12</v>
      </c>
      <c r="L137" s="700"/>
      <c r="M137" s="707"/>
      <c r="N137" s="721">
        <v>1030.8900000000001</v>
      </c>
      <c r="O137" s="700"/>
      <c r="P137" s="707"/>
      <c r="Q137" s="721">
        <v>1397.64</v>
      </c>
      <c r="R137" s="700"/>
      <c r="S137" s="707"/>
      <c r="T137" s="721">
        <v>1387.06</v>
      </c>
      <c r="U137" s="700"/>
      <c r="V137" s="707"/>
      <c r="W137" s="721">
        <v>1046.6500000000001</v>
      </c>
      <c r="X137" s="700"/>
      <c r="Y137" s="707"/>
      <c r="Z137" s="721">
        <v>805.56</v>
      </c>
      <c r="AA137" s="700"/>
      <c r="AB137" s="707"/>
      <c r="AC137" s="721">
        <v>668.49</v>
      </c>
      <c r="AD137" s="700"/>
      <c r="AE137" s="707"/>
      <c r="AF137" s="721">
        <v>465.04</v>
      </c>
      <c r="AG137" s="700"/>
      <c r="AH137" s="707"/>
      <c r="AI137" s="721">
        <v>1013.35</v>
      </c>
      <c r="AJ137" s="700"/>
      <c r="AK137" s="707"/>
      <c r="AL137" s="721">
        <v>458.92</v>
      </c>
      <c r="AM137" s="700"/>
      <c r="AN137" s="707"/>
      <c r="AO137" s="1109">
        <v>2572.54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c r="B138" s="44"/>
      <c r="C138" s="726"/>
      <c r="D138" s="727"/>
      <c r="E138" s="724"/>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usagésTOTAL PERSONNEL</v>
      </c>
      <c r="B139" s="53" t="s">
        <v>128</v>
      </c>
      <c r="C139" s="1024" t="s">
        <v>119</v>
      </c>
      <c r="D139" s="1025">
        <v>0.37570518728634655</v>
      </c>
      <c r="E139" s="1026">
        <v>480244.80999999994</v>
      </c>
      <c r="F139" s="1024"/>
      <c r="G139" s="1025"/>
      <c r="H139" s="1026">
        <v>45608.86</v>
      </c>
      <c r="I139" s="1024"/>
      <c r="J139" s="1025"/>
      <c r="K139" s="1026">
        <v>38343.919999999998</v>
      </c>
      <c r="L139" s="1024"/>
      <c r="M139" s="1025"/>
      <c r="N139" s="1026">
        <v>40198.359999999899</v>
      </c>
      <c r="O139" s="1024"/>
      <c r="P139" s="1025"/>
      <c r="Q139" s="1026">
        <v>42163.24</v>
      </c>
      <c r="R139" s="1024"/>
      <c r="S139" s="1025"/>
      <c r="T139" s="1026">
        <v>43389.549999999901</v>
      </c>
      <c r="U139" s="1024"/>
      <c r="V139" s="1025"/>
      <c r="W139" s="1111">
        <v>37171.81</v>
      </c>
      <c r="X139" s="1024"/>
      <c r="Y139" s="1025"/>
      <c r="Z139" s="1111">
        <v>40355.660000000003</v>
      </c>
      <c r="AA139" s="1024"/>
      <c r="AB139" s="1025"/>
      <c r="AC139" s="1111">
        <v>40990.910000000003</v>
      </c>
      <c r="AD139" s="1024"/>
      <c r="AE139" s="1025"/>
      <c r="AF139" s="1111">
        <v>30548.3299999999</v>
      </c>
      <c r="AG139" s="1024"/>
      <c r="AH139" s="1025"/>
      <c r="AI139" s="1026">
        <v>42654.97</v>
      </c>
      <c r="AJ139" s="1024"/>
      <c r="AK139" s="1025"/>
      <c r="AL139" s="1026">
        <v>40503.46</v>
      </c>
      <c r="AM139" s="1024"/>
      <c r="AN139" s="1025"/>
      <c r="AO139" s="1026">
        <v>38315.74</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usagésPublicité 2</v>
      </c>
      <c r="B140" s="44" t="s">
        <v>129</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09">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usagésService gratuit 2</v>
      </c>
      <c r="B141" s="44" t="s">
        <v>130</v>
      </c>
      <c r="C141" s="700"/>
      <c r="D141" s="707"/>
      <c r="E141" s="721">
        <v>0</v>
      </c>
      <c r="F141" s="700"/>
      <c r="G141" s="707"/>
      <c r="H141" s="721">
        <v>0</v>
      </c>
      <c r="I141" s="700"/>
      <c r="J141" s="707"/>
      <c r="K141" s="721">
        <v>0</v>
      </c>
      <c r="L141" s="700"/>
      <c r="M141" s="707"/>
      <c r="N141" s="721">
        <v>0</v>
      </c>
      <c r="O141" s="700"/>
      <c r="P141" s="707"/>
      <c r="Q141" s="721">
        <v>0</v>
      </c>
      <c r="R141" s="700"/>
      <c r="S141" s="707"/>
      <c r="T141" s="721">
        <v>0</v>
      </c>
      <c r="U141" s="700"/>
      <c r="V141" s="707"/>
      <c r="W141" s="721">
        <v>0</v>
      </c>
      <c r="X141" s="700"/>
      <c r="Y141" s="707"/>
      <c r="Z141" s="721">
        <v>0</v>
      </c>
      <c r="AA141" s="700"/>
      <c r="AB141" s="707"/>
      <c r="AC141" s="721">
        <v>0</v>
      </c>
      <c r="AD141" s="700"/>
      <c r="AE141" s="707"/>
      <c r="AF141" s="721">
        <v>0</v>
      </c>
      <c r="AG141" s="700"/>
      <c r="AH141" s="707"/>
      <c r="AI141" s="721">
        <v>0</v>
      </c>
      <c r="AJ141" s="700"/>
      <c r="AK141" s="707"/>
      <c r="AL141" s="721">
        <v>0</v>
      </c>
      <c r="AM141" s="700"/>
      <c r="AN141" s="707"/>
      <c r="AO141" s="1109">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véhicules de cie</v>
      </c>
      <c r="B142" s="43" t="s">
        <v>131</v>
      </c>
      <c r="C142" s="728"/>
      <c r="D142" s="729"/>
      <c r="E142" s="731">
        <v>24987.359999999997</v>
      </c>
      <c r="F142" s="728"/>
      <c r="G142" s="729"/>
      <c r="H142" s="731">
        <v>4220.58</v>
      </c>
      <c r="I142" s="728"/>
      <c r="J142" s="729"/>
      <c r="K142" s="731">
        <v>2944.73</v>
      </c>
      <c r="L142" s="728"/>
      <c r="M142" s="729"/>
      <c r="N142" s="731">
        <v>1624.37</v>
      </c>
      <c r="O142" s="728"/>
      <c r="P142" s="729"/>
      <c r="Q142" s="731">
        <v>1451.24</v>
      </c>
      <c r="R142" s="728"/>
      <c r="S142" s="729"/>
      <c r="T142" s="731">
        <v>1826.88</v>
      </c>
      <c r="U142" s="728"/>
      <c r="V142" s="729"/>
      <c r="W142" s="731">
        <v>1267.2</v>
      </c>
      <c r="X142" s="728"/>
      <c r="Y142" s="729"/>
      <c r="Z142" s="731">
        <v>1424.94</v>
      </c>
      <c r="AA142" s="728"/>
      <c r="AB142" s="729"/>
      <c r="AC142" s="731">
        <v>3713.41</v>
      </c>
      <c r="AD142" s="728"/>
      <c r="AE142" s="729"/>
      <c r="AF142" s="731">
        <v>1509.94</v>
      </c>
      <c r="AG142" s="728"/>
      <c r="AH142" s="729"/>
      <c r="AI142" s="731">
        <v>1820.43</v>
      </c>
      <c r="AJ142" s="728"/>
      <c r="AK142" s="729"/>
      <c r="AL142" s="731">
        <v>1509.94</v>
      </c>
      <c r="AM142" s="728"/>
      <c r="AN142" s="729"/>
      <c r="AO142" s="1113">
        <v>1673.7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usagésInformatique</v>
      </c>
      <c r="B143" s="44" t="s">
        <v>132</v>
      </c>
      <c r="C143" s="700"/>
      <c r="D143" s="707"/>
      <c r="E143" s="721">
        <v>46060.800000000003</v>
      </c>
      <c r="F143" s="700"/>
      <c r="G143" s="707"/>
      <c r="H143" s="721">
        <v>3170.37</v>
      </c>
      <c r="I143" s="700"/>
      <c r="J143" s="707"/>
      <c r="K143" s="721">
        <v>2511.36</v>
      </c>
      <c r="L143" s="700"/>
      <c r="M143" s="707"/>
      <c r="N143" s="721">
        <v>3638.89</v>
      </c>
      <c r="O143" s="700"/>
      <c r="P143" s="707"/>
      <c r="Q143" s="721">
        <v>4372.5200000000004</v>
      </c>
      <c r="R143" s="700"/>
      <c r="S143" s="707"/>
      <c r="T143" s="721">
        <v>3875.95</v>
      </c>
      <c r="U143" s="700"/>
      <c r="V143" s="707"/>
      <c r="W143" s="721">
        <v>2298.7399999999998</v>
      </c>
      <c r="X143" s="700"/>
      <c r="Y143" s="707"/>
      <c r="Z143" s="721">
        <v>4055.32</v>
      </c>
      <c r="AA143" s="700"/>
      <c r="AB143" s="707"/>
      <c r="AC143" s="721">
        <v>2511.3200000000002</v>
      </c>
      <c r="AD143" s="700"/>
      <c r="AE143" s="707"/>
      <c r="AF143" s="721">
        <v>6179.12</v>
      </c>
      <c r="AG143" s="700"/>
      <c r="AH143" s="707"/>
      <c r="AI143" s="721">
        <v>4084.13</v>
      </c>
      <c r="AJ143" s="700"/>
      <c r="AK143" s="707"/>
      <c r="AL143" s="721">
        <v>3583.11</v>
      </c>
      <c r="AM143" s="700"/>
      <c r="AN143" s="707"/>
      <c r="AO143" s="1109">
        <v>5779.97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usagésFrais de déplacement</v>
      </c>
      <c r="B144" s="44" t="s">
        <v>133</v>
      </c>
      <c r="C144" s="700"/>
      <c r="D144" s="707"/>
      <c r="E144" s="721">
        <v>7668.03</v>
      </c>
      <c r="F144" s="700"/>
      <c r="G144" s="707"/>
      <c r="H144" s="721">
        <v>568.97</v>
      </c>
      <c r="I144" s="700"/>
      <c r="J144" s="707"/>
      <c r="K144" s="721">
        <v>520.13</v>
      </c>
      <c r="L144" s="700"/>
      <c r="M144" s="707"/>
      <c r="N144" s="721">
        <v>427.26</v>
      </c>
      <c r="O144" s="700"/>
      <c r="P144" s="707"/>
      <c r="Q144" s="721">
        <v>626.44000000000005</v>
      </c>
      <c r="R144" s="700"/>
      <c r="S144" s="707"/>
      <c r="T144" s="721">
        <v>481.14</v>
      </c>
      <c r="U144" s="700"/>
      <c r="V144" s="707"/>
      <c r="W144" s="721">
        <v>747.43</v>
      </c>
      <c r="X144" s="700"/>
      <c r="Y144" s="707"/>
      <c r="Z144" s="721">
        <v>307.99</v>
      </c>
      <c r="AA144" s="700"/>
      <c r="AB144" s="707"/>
      <c r="AC144" s="721">
        <v>368.72</v>
      </c>
      <c r="AD144" s="700"/>
      <c r="AE144" s="707"/>
      <c r="AF144" s="721">
        <v>1355.33</v>
      </c>
      <c r="AG144" s="700"/>
      <c r="AH144" s="707"/>
      <c r="AI144" s="721">
        <v>1023.43</v>
      </c>
      <c r="AJ144" s="700"/>
      <c r="AK144" s="707"/>
      <c r="AL144" s="721">
        <v>676.61</v>
      </c>
      <c r="AM144" s="700"/>
      <c r="AN144" s="707"/>
      <c r="AO144" s="1109">
        <v>564.58000000000004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usagésServices extérieurs</v>
      </c>
      <c r="B145" s="43" t="s">
        <v>134</v>
      </c>
      <c r="C145" s="728"/>
      <c r="D145" s="729"/>
      <c r="E145" s="731">
        <v>28850.18</v>
      </c>
      <c r="F145" s="728"/>
      <c r="G145" s="729"/>
      <c r="H145" s="731">
        <v>3378.54</v>
      </c>
      <c r="I145" s="728"/>
      <c r="J145" s="729"/>
      <c r="K145" s="731">
        <v>2466.6999999999998</v>
      </c>
      <c r="L145" s="728"/>
      <c r="M145" s="729"/>
      <c r="N145" s="731">
        <v>3463.94</v>
      </c>
      <c r="O145" s="728"/>
      <c r="P145" s="729"/>
      <c r="Q145" s="731">
        <v>5540.76</v>
      </c>
      <c r="R145" s="728"/>
      <c r="S145" s="729"/>
      <c r="T145" s="731">
        <v>2496.9699999999998</v>
      </c>
      <c r="U145" s="728"/>
      <c r="V145" s="729"/>
      <c r="W145" s="731">
        <v>1892.11</v>
      </c>
      <c r="X145" s="728"/>
      <c r="Y145" s="729"/>
      <c r="Z145" s="731">
        <v>2003.58</v>
      </c>
      <c r="AA145" s="728"/>
      <c r="AB145" s="729"/>
      <c r="AC145" s="731">
        <v>2495.13</v>
      </c>
      <c r="AD145" s="728"/>
      <c r="AE145" s="729"/>
      <c r="AF145" s="731">
        <v>1941.11</v>
      </c>
      <c r="AG145" s="728"/>
      <c r="AH145" s="729"/>
      <c r="AI145" s="731">
        <v>2971.04</v>
      </c>
      <c r="AJ145" s="728"/>
      <c r="AK145" s="729"/>
      <c r="AL145" s="731">
        <v>1969.12</v>
      </c>
      <c r="AM145" s="728"/>
      <c r="AN145" s="729"/>
      <c r="AO145" s="1113">
        <v>-1768.82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usagésFournitures autres</v>
      </c>
      <c r="B146" s="44" t="s">
        <v>135</v>
      </c>
      <c r="C146" s="700"/>
      <c r="D146" s="707"/>
      <c r="E146" s="721">
        <v>434.82</v>
      </c>
      <c r="F146" s="700"/>
      <c r="G146" s="707"/>
      <c r="H146" s="721">
        <v>0</v>
      </c>
      <c r="I146" s="700"/>
      <c r="J146" s="707"/>
      <c r="K146" s="721">
        <v>165.98</v>
      </c>
      <c r="L146" s="700"/>
      <c r="M146" s="707"/>
      <c r="N146" s="721">
        <v>140.41</v>
      </c>
      <c r="O146" s="700"/>
      <c r="P146" s="707"/>
      <c r="Q146" s="721">
        <v>0</v>
      </c>
      <c r="R146" s="700"/>
      <c r="S146" s="707"/>
      <c r="T146" s="721">
        <v>0</v>
      </c>
      <c r="U146" s="700"/>
      <c r="V146" s="707"/>
      <c r="W146" s="721">
        <v>0</v>
      </c>
      <c r="X146" s="700"/>
      <c r="Y146" s="707"/>
      <c r="Z146" s="721">
        <v>0</v>
      </c>
      <c r="AA146" s="700"/>
      <c r="AB146" s="707"/>
      <c r="AC146" s="721">
        <v>118.81</v>
      </c>
      <c r="AD146" s="700"/>
      <c r="AE146" s="707"/>
      <c r="AF146" s="721">
        <v>9.6199999999999992</v>
      </c>
      <c r="AG146" s="700"/>
      <c r="AH146" s="707"/>
      <c r="AI146" s="721">
        <v>0</v>
      </c>
      <c r="AJ146" s="700"/>
      <c r="AK146" s="707"/>
      <c r="AL146" s="721">
        <v>0</v>
      </c>
      <c r="AM146" s="700"/>
      <c r="AN146" s="707"/>
      <c r="AO146" s="1109">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usagésUniformes</v>
      </c>
      <c r="B147" s="44" t="s">
        <v>136</v>
      </c>
      <c r="C147" s="700"/>
      <c r="D147" s="707"/>
      <c r="E147" s="721">
        <v>0</v>
      </c>
      <c r="F147" s="700"/>
      <c r="G147" s="707"/>
      <c r="H147" s="721">
        <v>0</v>
      </c>
      <c r="I147" s="700"/>
      <c r="J147" s="707"/>
      <c r="K147" s="721">
        <v>0</v>
      </c>
      <c r="L147" s="700"/>
      <c r="M147" s="707"/>
      <c r="N147" s="721">
        <v>0</v>
      </c>
      <c r="O147" s="700"/>
      <c r="P147" s="707"/>
      <c r="Q147" s="721">
        <v>0</v>
      </c>
      <c r="R147" s="700"/>
      <c r="S147" s="707"/>
      <c r="T147" s="721">
        <v>0</v>
      </c>
      <c r="U147" s="700"/>
      <c r="V147" s="707"/>
      <c r="W147" s="721">
        <v>0</v>
      </c>
      <c r="X147" s="700"/>
      <c r="Y147" s="707"/>
      <c r="Z147" s="721">
        <v>0</v>
      </c>
      <c r="AA147" s="700"/>
      <c r="AB147" s="707"/>
      <c r="AC147" s="721">
        <v>0</v>
      </c>
      <c r="AD147" s="700"/>
      <c r="AE147" s="707"/>
      <c r="AF147" s="721">
        <v>0</v>
      </c>
      <c r="AG147" s="700"/>
      <c r="AH147" s="707"/>
      <c r="AI147" s="721">
        <v>0</v>
      </c>
      <c r="AJ147" s="700"/>
      <c r="AK147" s="707"/>
      <c r="AL147" s="721">
        <v>0</v>
      </c>
      <c r="AM147" s="700"/>
      <c r="AN147" s="707"/>
      <c r="AO147" s="1109">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usagésPapeterie</v>
      </c>
      <c r="B148" s="44" t="s">
        <v>137</v>
      </c>
      <c r="C148" s="700"/>
      <c r="D148" s="707"/>
      <c r="E148" s="721">
        <v>3322.31</v>
      </c>
      <c r="F148" s="700"/>
      <c r="G148" s="707"/>
      <c r="H148" s="721">
        <v>60.66</v>
      </c>
      <c r="I148" s="700"/>
      <c r="J148" s="707"/>
      <c r="K148" s="721">
        <v>390.74</v>
      </c>
      <c r="L148" s="700"/>
      <c r="M148" s="707"/>
      <c r="N148" s="721">
        <v>203.63</v>
      </c>
      <c r="O148" s="700"/>
      <c r="P148" s="707"/>
      <c r="Q148" s="721">
        <v>21.8</v>
      </c>
      <c r="R148" s="700"/>
      <c r="S148" s="707"/>
      <c r="T148" s="721">
        <v>392.75</v>
      </c>
      <c r="U148" s="700"/>
      <c r="V148" s="707"/>
      <c r="W148" s="721">
        <v>902.6</v>
      </c>
      <c r="X148" s="700"/>
      <c r="Y148" s="707"/>
      <c r="Z148" s="721">
        <v>81.94</v>
      </c>
      <c r="AA148" s="700"/>
      <c r="AB148" s="707"/>
      <c r="AC148" s="721">
        <v>295.08999999999997</v>
      </c>
      <c r="AD148" s="700"/>
      <c r="AE148" s="707"/>
      <c r="AF148" s="721">
        <v>112.33</v>
      </c>
      <c r="AG148" s="700"/>
      <c r="AH148" s="707"/>
      <c r="AI148" s="721">
        <v>22.11</v>
      </c>
      <c r="AJ148" s="700"/>
      <c r="AK148" s="707"/>
      <c r="AL148" s="721">
        <v>739.62</v>
      </c>
      <c r="AM148" s="700"/>
      <c r="AN148" s="707"/>
      <c r="AO148" s="1109">
        <v>99.04</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usagésTéléphone</v>
      </c>
      <c r="B149" s="44" t="s">
        <v>138</v>
      </c>
      <c r="C149" s="700"/>
      <c r="D149" s="707"/>
      <c r="E149" s="721">
        <v>1027.9000000000001</v>
      </c>
      <c r="F149" s="700"/>
      <c r="G149" s="707"/>
      <c r="H149" s="721">
        <v>108.67</v>
      </c>
      <c r="I149" s="700"/>
      <c r="J149" s="707"/>
      <c r="K149" s="721">
        <v>94.99</v>
      </c>
      <c r="L149" s="700"/>
      <c r="M149" s="707"/>
      <c r="N149" s="721">
        <v>78.91</v>
      </c>
      <c r="O149" s="700"/>
      <c r="P149" s="707"/>
      <c r="Q149" s="721">
        <v>82.36</v>
      </c>
      <c r="R149" s="700"/>
      <c r="S149" s="707"/>
      <c r="T149" s="721">
        <v>70.14</v>
      </c>
      <c r="U149" s="700"/>
      <c r="V149" s="707"/>
      <c r="W149" s="721">
        <v>66.989999999999995</v>
      </c>
      <c r="X149" s="700"/>
      <c r="Y149" s="707"/>
      <c r="Z149" s="721">
        <v>66.8</v>
      </c>
      <c r="AA149" s="700"/>
      <c r="AB149" s="707"/>
      <c r="AC149" s="721">
        <v>107.71</v>
      </c>
      <c r="AD149" s="700"/>
      <c r="AE149" s="707"/>
      <c r="AF149" s="721">
        <v>82.14</v>
      </c>
      <c r="AG149" s="700"/>
      <c r="AH149" s="707"/>
      <c r="AI149" s="721">
        <v>93.69</v>
      </c>
      <c r="AJ149" s="700"/>
      <c r="AK149" s="707"/>
      <c r="AL149" s="721">
        <v>93.5</v>
      </c>
      <c r="AM149" s="700"/>
      <c r="AN149" s="707"/>
      <c r="AO149" s="1109">
        <v>82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usagésFrais postaux</v>
      </c>
      <c r="B150" s="44" t="s">
        <v>139</v>
      </c>
      <c r="C150" s="700"/>
      <c r="D150" s="707"/>
      <c r="E150" s="721">
        <v>1159.54</v>
      </c>
      <c r="F150" s="700"/>
      <c r="G150" s="707"/>
      <c r="H150" s="721">
        <v>289.95999999999998</v>
      </c>
      <c r="I150" s="700"/>
      <c r="J150" s="707"/>
      <c r="K150" s="721">
        <v>167.97</v>
      </c>
      <c r="L150" s="700"/>
      <c r="M150" s="707"/>
      <c r="N150" s="721">
        <v>179.49</v>
      </c>
      <c r="O150" s="700"/>
      <c r="P150" s="707"/>
      <c r="Q150" s="721">
        <v>49.22</v>
      </c>
      <c r="R150" s="700"/>
      <c r="S150" s="707"/>
      <c r="T150" s="721">
        <v>79.180000000000007</v>
      </c>
      <c r="U150" s="700"/>
      <c r="V150" s="707"/>
      <c r="W150" s="721">
        <v>114.98</v>
      </c>
      <c r="X150" s="700"/>
      <c r="Y150" s="707"/>
      <c r="Z150" s="721">
        <v>20.48</v>
      </c>
      <c r="AA150" s="700"/>
      <c r="AB150" s="707"/>
      <c r="AC150" s="721">
        <v>76.55</v>
      </c>
      <c r="AD150" s="700"/>
      <c r="AE150" s="707"/>
      <c r="AF150" s="721">
        <v>29.32</v>
      </c>
      <c r="AG150" s="700"/>
      <c r="AH150" s="707"/>
      <c r="AI150" s="721">
        <v>32.72</v>
      </c>
      <c r="AJ150" s="700"/>
      <c r="AK150" s="707"/>
      <c r="AL150" s="721">
        <v>43.76</v>
      </c>
      <c r="AM150" s="700"/>
      <c r="AN150" s="707"/>
      <c r="AO150" s="1109">
        <v>75.91</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usagésDivers</v>
      </c>
      <c r="B151" s="44" t="s">
        <v>140</v>
      </c>
      <c r="C151" s="700"/>
      <c r="D151" s="707"/>
      <c r="E151" s="721">
        <v>748.55</v>
      </c>
      <c r="F151" s="700"/>
      <c r="G151" s="707"/>
      <c r="H151" s="721">
        <v>33.53</v>
      </c>
      <c r="I151" s="700"/>
      <c r="J151" s="707"/>
      <c r="K151" s="721">
        <v>26.7</v>
      </c>
      <c r="L151" s="700"/>
      <c r="M151" s="707"/>
      <c r="N151" s="721">
        <v>26.7</v>
      </c>
      <c r="O151" s="700"/>
      <c r="P151" s="707"/>
      <c r="Q151" s="721">
        <v>45.41</v>
      </c>
      <c r="R151" s="700"/>
      <c r="S151" s="707"/>
      <c r="T151" s="721">
        <v>41.88</v>
      </c>
      <c r="U151" s="700"/>
      <c r="V151" s="707"/>
      <c r="W151" s="721">
        <v>23.52</v>
      </c>
      <c r="X151" s="700"/>
      <c r="Y151" s="707"/>
      <c r="Z151" s="721">
        <v>23.52</v>
      </c>
      <c r="AA151" s="700"/>
      <c r="AB151" s="707"/>
      <c r="AC151" s="721">
        <v>23.52</v>
      </c>
      <c r="AD151" s="700"/>
      <c r="AE151" s="707"/>
      <c r="AF151" s="721">
        <v>50.52</v>
      </c>
      <c r="AG151" s="700"/>
      <c r="AH151" s="707"/>
      <c r="AI151" s="721">
        <v>23.52</v>
      </c>
      <c r="AJ151" s="700"/>
      <c r="AK151" s="707"/>
      <c r="AL151" s="721">
        <v>153.88999999999999</v>
      </c>
      <c r="AM151" s="700"/>
      <c r="AN151" s="707"/>
      <c r="AO151" s="1109">
        <v>275.83999999999997</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usagésFormation</v>
      </c>
      <c r="B152" s="44" t="s">
        <v>141</v>
      </c>
      <c r="C152" s="700"/>
      <c r="D152" s="707"/>
      <c r="E152" s="721">
        <v>4829.5999999999995</v>
      </c>
      <c r="F152" s="700"/>
      <c r="G152" s="707"/>
      <c r="H152" s="721">
        <v>38.28</v>
      </c>
      <c r="I152" s="700"/>
      <c r="J152" s="707"/>
      <c r="K152" s="721">
        <v>240.65</v>
      </c>
      <c r="L152" s="700"/>
      <c r="M152" s="707"/>
      <c r="N152" s="721">
        <v>254.99</v>
      </c>
      <c r="O152" s="700"/>
      <c r="P152" s="707"/>
      <c r="Q152" s="721">
        <v>1550.28</v>
      </c>
      <c r="R152" s="700"/>
      <c r="S152" s="707"/>
      <c r="T152" s="721">
        <v>-16.37</v>
      </c>
      <c r="U152" s="700"/>
      <c r="V152" s="707"/>
      <c r="W152" s="721">
        <v>438.28</v>
      </c>
      <c r="X152" s="700"/>
      <c r="Y152" s="707"/>
      <c r="Z152" s="721">
        <v>1426.22</v>
      </c>
      <c r="AA152" s="700"/>
      <c r="AB152" s="707"/>
      <c r="AC152" s="721">
        <v>157.62</v>
      </c>
      <c r="AD152" s="700"/>
      <c r="AE152" s="707"/>
      <c r="AF152" s="721">
        <v>256.98</v>
      </c>
      <c r="AG152" s="700"/>
      <c r="AH152" s="707"/>
      <c r="AI152" s="721">
        <v>229.23</v>
      </c>
      <c r="AJ152" s="700"/>
      <c r="AK152" s="707"/>
      <c r="AL152" s="721">
        <v>215.16</v>
      </c>
      <c r="AM152" s="700"/>
      <c r="AN152" s="707"/>
      <c r="AO152" s="1109">
        <v>38.28</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usagésFrais bancaires</v>
      </c>
      <c r="B153" s="44" t="s">
        <v>142</v>
      </c>
      <c r="C153" s="700"/>
      <c r="D153" s="707"/>
      <c r="E153" s="721">
        <v>10741.14</v>
      </c>
      <c r="F153" s="700"/>
      <c r="G153" s="707"/>
      <c r="H153" s="721">
        <v>622.85</v>
      </c>
      <c r="I153" s="700"/>
      <c r="J153" s="707"/>
      <c r="K153" s="721">
        <v>481.19</v>
      </c>
      <c r="L153" s="700"/>
      <c r="M153" s="707"/>
      <c r="N153" s="721">
        <v>871.03</v>
      </c>
      <c r="O153" s="700"/>
      <c r="P153" s="707"/>
      <c r="Q153" s="721">
        <v>1024.1300000000001</v>
      </c>
      <c r="R153" s="700"/>
      <c r="S153" s="707"/>
      <c r="T153" s="721">
        <v>1013.26</v>
      </c>
      <c r="U153" s="700"/>
      <c r="V153" s="707"/>
      <c r="W153" s="721">
        <v>795.62</v>
      </c>
      <c r="X153" s="700"/>
      <c r="Y153" s="707"/>
      <c r="Z153" s="721">
        <v>867.2</v>
      </c>
      <c r="AA153" s="700"/>
      <c r="AB153" s="707"/>
      <c r="AC153" s="721">
        <v>842.24</v>
      </c>
      <c r="AD153" s="700"/>
      <c r="AE153" s="707"/>
      <c r="AF153" s="721">
        <v>892.55</v>
      </c>
      <c r="AG153" s="700"/>
      <c r="AH153" s="707"/>
      <c r="AI153" s="721">
        <v>1032.32</v>
      </c>
      <c r="AJ153" s="700"/>
      <c r="AK153" s="707"/>
      <c r="AL153" s="721">
        <v>1412.89</v>
      </c>
      <c r="AM153" s="700"/>
      <c r="AN153" s="707"/>
      <c r="AO153" s="1109">
        <v>885.86</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00"/>
      <c r="D155" s="707"/>
      <c r="E155" s="708"/>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4" t="s">
        <v>59</v>
      </c>
      <c r="C156" s="726"/>
      <c r="D156" s="727"/>
      <c r="E156" s="708"/>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SEMI-FIXES</v>
      </c>
      <c r="B157" s="53" t="s">
        <v>143</v>
      </c>
      <c r="C157" s="1024" t="s">
        <v>119</v>
      </c>
      <c r="D157" s="1025">
        <v>0.10156880378900805</v>
      </c>
      <c r="E157" s="1026">
        <v>129830.23</v>
      </c>
      <c r="F157" s="1024"/>
      <c r="G157" s="1025"/>
      <c r="H157" s="1026">
        <v>12492.41</v>
      </c>
      <c r="I157" s="1024"/>
      <c r="J157" s="1025"/>
      <c r="K157" s="1026">
        <v>10011.14</v>
      </c>
      <c r="L157" s="1024"/>
      <c r="M157" s="1025"/>
      <c r="N157" s="1026">
        <v>10909.62</v>
      </c>
      <c r="O157" s="1024"/>
      <c r="P157" s="1025"/>
      <c r="Q157" s="1026">
        <v>14764.16</v>
      </c>
      <c r="R157" s="1024"/>
      <c r="S157" s="1025"/>
      <c r="T157" s="1026">
        <v>10261.779999999901</v>
      </c>
      <c r="U157" s="1024"/>
      <c r="V157" s="1025"/>
      <c r="W157" s="1111">
        <v>8547.4699999999993</v>
      </c>
      <c r="X157" s="1024"/>
      <c r="Y157" s="1025"/>
      <c r="Z157" s="1111">
        <v>10277.99</v>
      </c>
      <c r="AA157" s="1024"/>
      <c r="AB157" s="1025"/>
      <c r="AC157" s="1111">
        <v>10710.119999999901</v>
      </c>
      <c r="AD157" s="1024"/>
      <c r="AE157" s="1025"/>
      <c r="AF157" s="1111">
        <v>12418.96</v>
      </c>
      <c r="AG157" s="1024"/>
      <c r="AH157" s="1025"/>
      <c r="AI157" s="1026">
        <v>11332.62</v>
      </c>
      <c r="AJ157" s="1024"/>
      <c r="AK157" s="1025"/>
      <c r="AL157" s="1026">
        <v>10397.5999999999</v>
      </c>
      <c r="AM157" s="1024"/>
      <c r="AN157" s="1025"/>
      <c r="AO157" s="1026">
        <v>7706.36</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v>
      </c>
      <c r="B158" s="43"/>
      <c r="C158" s="726"/>
      <c r="D158" s="727"/>
      <c r="E158" s="724"/>
      <c r="F158" s="726" t="s">
        <v>119</v>
      </c>
      <c r="G158" s="727">
        <v>0</v>
      </c>
      <c r="H158" s="724"/>
      <c r="I158" s="726" t="s">
        <v>119</v>
      </c>
      <c r="J158" s="727">
        <v>0</v>
      </c>
      <c r="K158" s="724"/>
      <c r="L158" s="726" t="s">
        <v>119</v>
      </c>
      <c r="M158" s="727">
        <v>0</v>
      </c>
      <c r="N158" s="724"/>
      <c r="O158" s="726" t="s">
        <v>119</v>
      </c>
      <c r="P158" s="727">
        <v>0</v>
      </c>
      <c r="Q158" s="724"/>
      <c r="R158" s="726" t="s">
        <v>119</v>
      </c>
      <c r="S158" s="727">
        <v>0</v>
      </c>
      <c r="T158" s="724"/>
      <c r="U158" s="726" t="s">
        <v>119</v>
      </c>
      <c r="V158" s="727">
        <v>0</v>
      </c>
      <c r="W158" s="724"/>
      <c r="X158" s="726" t="s">
        <v>119</v>
      </c>
      <c r="Y158" s="727">
        <v>0</v>
      </c>
      <c r="Z158" s="724"/>
      <c r="AA158" s="726" t="s">
        <v>119</v>
      </c>
      <c r="AB158" s="727">
        <v>0</v>
      </c>
      <c r="AC158" s="724"/>
      <c r="AD158" s="726" t="s">
        <v>119</v>
      </c>
      <c r="AE158" s="727">
        <v>0</v>
      </c>
      <c r="AF158" s="724"/>
      <c r="AG158" s="726" t="s">
        <v>119</v>
      </c>
      <c r="AH158" s="727">
        <v>0</v>
      </c>
      <c r="AI158" s="724"/>
      <c r="AJ158" s="726" t="s">
        <v>119</v>
      </c>
      <c r="AK158" s="727">
        <v>0</v>
      </c>
      <c r="AL158" s="724"/>
      <c r="AM158" s="726" t="s">
        <v>119</v>
      </c>
      <c r="AN158" s="727">
        <v>0</v>
      </c>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usagésTOTAL DES DÉPENSES</v>
      </c>
      <c r="B159" s="53" t="s">
        <v>144</v>
      </c>
      <c r="C159" s="1024" t="s">
        <v>119</v>
      </c>
      <c r="D159" s="1025">
        <v>0.91134231052996384</v>
      </c>
      <c r="E159" s="1034">
        <v>1164922.47</v>
      </c>
      <c r="F159" s="1024"/>
      <c r="G159" s="1025"/>
      <c r="H159" s="1034">
        <v>104379.07</v>
      </c>
      <c r="I159" s="1024"/>
      <c r="J159" s="1025"/>
      <c r="K159" s="1034">
        <v>74683.429999999993</v>
      </c>
      <c r="L159" s="1024"/>
      <c r="M159" s="1025"/>
      <c r="N159" s="1034">
        <v>98752.629999999888</v>
      </c>
      <c r="O159" s="1024"/>
      <c r="P159" s="1025"/>
      <c r="Q159" s="1034">
        <v>102466.70000000001</v>
      </c>
      <c r="R159" s="1024"/>
      <c r="S159" s="1025"/>
      <c r="T159" s="1034">
        <v>109415.7399999998</v>
      </c>
      <c r="U159" s="1024"/>
      <c r="V159" s="1025"/>
      <c r="W159" s="1114">
        <v>103292.66</v>
      </c>
      <c r="X159" s="1024"/>
      <c r="Y159" s="1025"/>
      <c r="Z159" s="1114">
        <v>103056.83999999991</v>
      </c>
      <c r="AA159" s="1024"/>
      <c r="AB159" s="1025"/>
      <c r="AC159" s="1114">
        <v>99035.539999999921</v>
      </c>
      <c r="AD159" s="1024"/>
      <c r="AE159" s="1025"/>
      <c r="AF159" s="1114">
        <v>97436.219999999885</v>
      </c>
      <c r="AG159" s="1024"/>
      <c r="AH159" s="1025"/>
      <c r="AI159" s="1034">
        <v>97245.389999999898</v>
      </c>
      <c r="AJ159" s="1024"/>
      <c r="AK159" s="1025"/>
      <c r="AL159" s="1034">
        <v>96603.909999999902</v>
      </c>
      <c r="AM159" s="1024"/>
      <c r="AN159" s="1025"/>
      <c r="AO159" s="1034">
        <v>78554.34</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1</v>
      </c>
      <c r="B160" s="44" t="s">
        <v>158</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2</v>
      </c>
      <c r="B161" s="44" t="s">
        <v>159</v>
      </c>
      <c r="C161" s="741"/>
      <c r="D161" s="751"/>
      <c r="E161" s="721">
        <v>0</v>
      </c>
      <c r="F161" s="741"/>
      <c r="G161" s="751"/>
      <c r="H161" s="721">
        <v>0</v>
      </c>
      <c r="I161" s="741"/>
      <c r="J161" s="751"/>
      <c r="K161" s="721">
        <v>0</v>
      </c>
      <c r="L161" s="741"/>
      <c r="M161" s="751"/>
      <c r="N161" s="721">
        <v>0</v>
      </c>
      <c r="O161" s="741"/>
      <c r="P161" s="751"/>
      <c r="Q161" s="721">
        <v>0</v>
      </c>
      <c r="R161" s="741"/>
      <c r="S161" s="751"/>
      <c r="T161" s="721">
        <v>0</v>
      </c>
      <c r="U161" s="741"/>
      <c r="V161" s="751"/>
      <c r="W161" s="721">
        <v>0</v>
      </c>
      <c r="X161" s="741"/>
      <c r="Y161" s="751"/>
      <c r="Z161" s="721">
        <v>0</v>
      </c>
      <c r="AA161" s="741"/>
      <c r="AB161" s="751"/>
      <c r="AC161" s="721">
        <v>0</v>
      </c>
      <c r="AD161" s="741"/>
      <c r="AE161" s="751"/>
      <c r="AF161" s="721">
        <v>0</v>
      </c>
      <c r="AG161" s="741"/>
      <c r="AH161" s="751"/>
      <c r="AI161" s="721">
        <v>0</v>
      </c>
      <c r="AJ161" s="741"/>
      <c r="AK161" s="751"/>
      <c r="AL161" s="721">
        <v>0</v>
      </c>
      <c r="AM161" s="741"/>
      <c r="AN161" s="751"/>
      <c r="AO161" s="72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usagésProgramme used 3</v>
      </c>
      <c r="B162" s="44" t="s">
        <v>160</v>
      </c>
      <c r="C162" s="700"/>
      <c r="D162" s="707"/>
      <c r="E162" s="721">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v>
      </c>
      <c r="B165" s="44" t="s">
        <v>59</v>
      </c>
      <c r="C165" s="700"/>
      <c r="D165" s="707"/>
      <c r="E165" s="721"/>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usagésFrais administration</v>
      </c>
      <c r="B166" s="43" t="s">
        <v>149</v>
      </c>
      <c r="C166" s="700"/>
      <c r="D166" s="707"/>
      <c r="E166" s="721">
        <v>142989</v>
      </c>
      <c r="F166" s="700"/>
      <c r="G166" s="707"/>
      <c r="H166" s="721">
        <v>11187</v>
      </c>
      <c r="I166" s="700"/>
      <c r="J166" s="707"/>
      <c r="K166" s="721">
        <v>8208</v>
      </c>
      <c r="L166" s="700"/>
      <c r="M166" s="707"/>
      <c r="N166" s="721">
        <v>14076</v>
      </c>
      <c r="O166" s="700"/>
      <c r="P166" s="707"/>
      <c r="Q166" s="721">
        <v>14505</v>
      </c>
      <c r="R166" s="700"/>
      <c r="S166" s="707"/>
      <c r="T166" s="721">
        <v>14061</v>
      </c>
      <c r="U166" s="700"/>
      <c r="V166" s="707"/>
      <c r="W166" s="721">
        <v>13986</v>
      </c>
      <c r="X166" s="700"/>
      <c r="Y166" s="707"/>
      <c r="Z166" s="721">
        <v>12504</v>
      </c>
      <c r="AA166" s="700"/>
      <c r="AB166" s="707"/>
      <c r="AC166" s="721">
        <v>13008</v>
      </c>
      <c r="AD166" s="700"/>
      <c r="AE166" s="707"/>
      <c r="AF166" s="721">
        <v>11052</v>
      </c>
      <c r="AG166" s="700"/>
      <c r="AH166" s="707"/>
      <c r="AI166" s="721">
        <v>7230</v>
      </c>
      <c r="AJ166" s="700"/>
      <c r="AK166" s="707"/>
      <c r="AL166" s="721">
        <v>12993</v>
      </c>
      <c r="AM166" s="700"/>
      <c r="AN166" s="707"/>
      <c r="AO166" s="721">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usagésAUTRES REVENUS</v>
      </c>
      <c r="B167" s="53" t="s">
        <v>150</v>
      </c>
      <c r="C167" s="1045"/>
      <c r="D167" s="1046"/>
      <c r="E167" s="1034">
        <v>142989</v>
      </c>
      <c r="F167" s="1045"/>
      <c r="G167" s="1046"/>
      <c r="H167" s="1034">
        <v>11187</v>
      </c>
      <c r="I167" s="1045"/>
      <c r="J167" s="1046"/>
      <c r="K167" s="1034">
        <v>8208</v>
      </c>
      <c r="L167" s="1045"/>
      <c r="M167" s="1046"/>
      <c r="N167" s="1034">
        <v>14076</v>
      </c>
      <c r="O167" s="1045"/>
      <c r="P167" s="1046"/>
      <c r="Q167" s="1034">
        <v>14505</v>
      </c>
      <c r="R167" s="1045"/>
      <c r="S167" s="1046"/>
      <c r="T167" s="1034">
        <v>14061</v>
      </c>
      <c r="U167" s="1045"/>
      <c r="V167" s="1046"/>
      <c r="W167" s="1114">
        <v>13986</v>
      </c>
      <c r="X167" s="1045"/>
      <c r="Y167" s="1046"/>
      <c r="Z167" s="1114">
        <v>12504</v>
      </c>
      <c r="AA167" s="1045"/>
      <c r="AB167" s="1046"/>
      <c r="AC167" s="1114">
        <v>13008</v>
      </c>
      <c r="AD167" s="1045"/>
      <c r="AE167" s="1046"/>
      <c r="AF167" s="1114">
        <v>11052</v>
      </c>
      <c r="AG167" s="1045"/>
      <c r="AH167" s="1046"/>
      <c r="AI167" s="1034">
        <v>7230</v>
      </c>
      <c r="AJ167" s="1045"/>
      <c r="AK167" s="1046"/>
      <c r="AL167" s="1034">
        <v>12993</v>
      </c>
      <c r="AM167" s="1045"/>
      <c r="AN167" s="1046"/>
      <c r="AO167" s="1034">
        <v>10179</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v>
      </c>
      <c r="B168" s="44"/>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thickBot="1">
      <c r="A169" s="39" t="str">
        <f t="shared" si="1"/>
        <v>Véhicules usagésPROFIT DÉPARTEMENTAL</v>
      </c>
      <c r="B169" s="57" t="s">
        <v>151</v>
      </c>
      <c r="C169" s="1037"/>
      <c r="D169" s="1048"/>
      <c r="E169" s="1040">
        <v>256315.6099999994</v>
      </c>
      <c r="F169" s="1037"/>
      <c r="G169" s="1048"/>
      <c r="H169" s="1040">
        <v>-4723.5100000000239</v>
      </c>
      <c r="I169" s="1037"/>
      <c r="J169" s="1048"/>
      <c r="K169" s="1040">
        <v>-9236.2900000000809</v>
      </c>
      <c r="L169" s="1037"/>
      <c r="M169" s="1048"/>
      <c r="N169" s="1040">
        <v>23566.819999999905</v>
      </c>
      <c r="O169" s="1037"/>
      <c r="P169" s="1048"/>
      <c r="Q169" s="1040">
        <v>27225.83999999988</v>
      </c>
      <c r="R169" s="1037"/>
      <c r="S169" s="1048"/>
      <c r="T169" s="1040">
        <v>24170.030000000101</v>
      </c>
      <c r="U169" s="1037"/>
      <c r="V169" s="1048"/>
      <c r="W169" s="1117">
        <v>71886.769999999786</v>
      </c>
      <c r="X169" s="1037"/>
      <c r="Y169" s="1048"/>
      <c r="Z169" s="1117">
        <v>42713.969999999972</v>
      </c>
      <c r="AA169" s="1037"/>
      <c r="AB169" s="1048"/>
      <c r="AC169" s="1117">
        <v>19696.630000000063</v>
      </c>
      <c r="AD169" s="1037"/>
      <c r="AE169" s="1048"/>
      <c r="AF169" s="1117">
        <v>45751.290000000212</v>
      </c>
      <c r="AG169" s="1037"/>
      <c r="AH169" s="1048"/>
      <c r="AI169" s="1040">
        <v>-9089.7899999999499</v>
      </c>
      <c r="AJ169" s="1037"/>
      <c r="AK169" s="1048"/>
      <c r="AL169" s="1040">
        <v>9484.7700000001496</v>
      </c>
      <c r="AM169" s="1037"/>
      <c r="AN169" s="1048"/>
      <c r="AO169" s="1040">
        <v>14869.0799999999</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60"/>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0"/>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61" t="s">
        <v>3840</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thickBot="1">
      <c r="A173" s="39"/>
      <c r="B173" s="62"/>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thickTop="1">
      <c r="A174" s="39"/>
      <c r="B174" s="40" t="s">
        <v>3</v>
      </c>
      <c r="C174" s="685">
        <v>2025</v>
      </c>
      <c r="D174" s="686"/>
      <c r="E174" s="687"/>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37" si="2">+$C$172&amp;B175</f>
        <v>Service</v>
      </c>
      <c r="B175" s="44"/>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ServiceM/O Client</v>
      </c>
      <c r="B176" s="44" t="s">
        <v>164</v>
      </c>
      <c r="C176" s="754">
        <v>5769</v>
      </c>
      <c r="D176" s="755">
        <v>1883986.12</v>
      </c>
      <c r="E176" s="721">
        <v>1486043.9099999997</v>
      </c>
      <c r="F176" s="754">
        <v>255</v>
      </c>
      <c r="G176" s="755">
        <v>97545.76</v>
      </c>
      <c r="H176" s="721">
        <v>78443</v>
      </c>
      <c r="I176" s="754">
        <v>248</v>
      </c>
      <c r="J176" s="755">
        <v>93892</v>
      </c>
      <c r="K176" s="721">
        <v>74019.72</v>
      </c>
      <c r="L176" s="754">
        <v>340</v>
      </c>
      <c r="M176" s="755">
        <v>122570.44</v>
      </c>
      <c r="N176" s="721">
        <v>95803</v>
      </c>
      <c r="O176" s="754">
        <v>776</v>
      </c>
      <c r="P176" s="755">
        <v>218088.11</v>
      </c>
      <c r="Q176" s="721">
        <v>171401.35</v>
      </c>
      <c r="R176" s="754">
        <v>670</v>
      </c>
      <c r="S176" s="755">
        <v>205475.49</v>
      </c>
      <c r="T176" s="721">
        <v>158789.87</v>
      </c>
      <c r="U176" s="754">
        <v>431</v>
      </c>
      <c r="V176" s="755">
        <v>140254.72</v>
      </c>
      <c r="W176" s="721">
        <v>109869.64</v>
      </c>
      <c r="X176" s="754">
        <v>402</v>
      </c>
      <c r="Y176" s="755">
        <v>136183.57999999999</v>
      </c>
      <c r="Z176" s="721">
        <v>107609.11</v>
      </c>
      <c r="AA176" s="754">
        <v>352</v>
      </c>
      <c r="AB176" s="755">
        <v>135526.82</v>
      </c>
      <c r="AC176" s="721">
        <v>108766.59</v>
      </c>
      <c r="AD176" s="754">
        <v>335</v>
      </c>
      <c r="AE176" s="755">
        <v>128621.11</v>
      </c>
      <c r="AF176" s="721">
        <v>102934.89</v>
      </c>
      <c r="AG176" s="754">
        <v>585</v>
      </c>
      <c r="AH176" s="755">
        <v>196053.04</v>
      </c>
      <c r="AI176" s="721">
        <v>155307.74</v>
      </c>
      <c r="AJ176" s="754">
        <v>1017</v>
      </c>
      <c r="AK176" s="755">
        <v>293278.63</v>
      </c>
      <c r="AL176" s="721">
        <v>230431.12</v>
      </c>
      <c r="AM176" s="754">
        <v>358</v>
      </c>
      <c r="AN176" s="755">
        <v>116496.42</v>
      </c>
      <c r="AO176" s="721">
        <v>92667.879999999903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 profit / ventes</v>
      </c>
      <c r="B177" s="44" t="s">
        <v>165</v>
      </c>
      <c r="C177" s="753"/>
      <c r="D177" s="707"/>
      <c r="E177" s="756">
        <v>0.78877646402193213</v>
      </c>
      <c r="F177" s="753"/>
      <c r="G177" s="707"/>
      <c r="H177" s="756">
        <v>0.80416616775552319</v>
      </c>
      <c r="I177" s="753"/>
      <c r="J177" s="707"/>
      <c r="K177" s="756">
        <v>0.78834959314957609</v>
      </c>
      <c r="L177" s="753"/>
      <c r="M177" s="707"/>
      <c r="N177" s="756">
        <v>0.78161586105100056</v>
      </c>
      <c r="O177" s="753"/>
      <c r="P177" s="707"/>
      <c r="Q177" s="756">
        <v>0.78592707323659239</v>
      </c>
      <c r="R177" s="753"/>
      <c r="S177" s="707"/>
      <c r="T177" s="756">
        <v>0.77279226831385095</v>
      </c>
      <c r="U177" s="753"/>
      <c r="V177" s="707"/>
      <c r="W177" s="756">
        <v>0.78335787915016331</v>
      </c>
      <c r="X177" s="753"/>
      <c r="Y177" s="707"/>
      <c r="Z177" s="756">
        <v>0.79017683335979283</v>
      </c>
      <c r="AA177" s="753"/>
      <c r="AB177" s="707"/>
      <c r="AC177" s="756">
        <v>0.80254661033144581</v>
      </c>
      <c r="AD177" s="753"/>
      <c r="AE177" s="707"/>
      <c r="AF177" s="756">
        <v>0.80029545694326532</v>
      </c>
      <c r="AG177" s="753"/>
      <c r="AH177" s="707"/>
      <c r="AI177" s="756">
        <v>0.79217205711270777</v>
      </c>
      <c r="AJ177" s="753"/>
      <c r="AK177" s="707"/>
      <c r="AL177" s="756">
        <v>0.78570716182082545</v>
      </c>
      <c r="AM177" s="753"/>
      <c r="AN177" s="707"/>
      <c r="AO177" s="756">
        <v>0.79545689043491552</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v>
      </c>
      <c r="B178" s="43"/>
      <c r="C178" s="757"/>
      <c r="D178" s="758">
        <v>326.57065695961171</v>
      </c>
      <c r="E178" s="759"/>
      <c r="F178" s="757"/>
      <c r="G178" s="758">
        <v>382.53239215686273</v>
      </c>
      <c r="H178" s="759"/>
      <c r="I178" s="757"/>
      <c r="J178" s="758">
        <v>378.59677419354841</v>
      </c>
      <c r="K178" s="759"/>
      <c r="L178" s="757"/>
      <c r="M178" s="758">
        <v>360.50129411764709</v>
      </c>
      <c r="N178" s="759"/>
      <c r="O178" s="757"/>
      <c r="P178" s="758">
        <v>281.04137886597937</v>
      </c>
      <c r="Q178" s="759"/>
      <c r="R178" s="757"/>
      <c r="S178" s="758">
        <v>306.67983582089551</v>
      </c>
      <c r="T178" s="759"/>
      <c r="U178" s="757"/>
      <c r="V178" s="758">
        <v>325.41698375870072</v>
      </c>
      <c r="W178" s="759"/>
      <c r="X178" s="757"/>
      <c r="Y178" s="758">
        <v>338.76512437810942</v>
      </c>
      <c r="Z178" s="759"/>
      <c r="AA178" s="757"/>
      <c r="AB178" s="758">
        <v>385.01937500000003</v>
      </c>
      <c r="AC178" s="759"/>
      <c r="AD178" s="757"/>
      <c r="AE178" s="758">
        <v>383.94361194029852</v>
      </c>
      <c r="AF178" s="759"/>
      <c r="AG178" s="757"/>
      <c r="AH178" s="758">
        <v>335.13340170940171</v>
      </c>
      <c r="AI178" s="759"/>
      <c r="AJ178" s="757"/>
      <c r="AK178" s="758">
        <v>288.37623402163223</v>
      </c>
      <c r="AL178" s="759"/>
      <c r="AM178" s="757"/>
      <c r="AN178" s="758">
        <v>325.40899441340781</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ServiceM/O Garantie</v>
      </c>
      <c r="B179" s="42" t="s">
        <v>166</v>
      </c>
      <c r="C179" s="1051">
        <v>2393</v>
      </c>
      <c r="D179" s="1052">
        <v>735468.68</v>
      </c>
      <c r="E179" s="1031">
        <v>475971.92999999982</v>
      </c>
      <c r="F179" s="1051">
        <v>231</v>
      </c>
      <c r="G179" s="1052">
        <v>78219.08</v>
      </c>
      <c r="H179" s="1031">
        <v>53780.83</v>
      </c>
      <c r="I179" s="1051">
        <v>258</v>
      </c>
      <c r="J179" s="1052">
        <v>67450.92</v>
      </c>
      <c r="K179" s="1031">
        <v>45677.440000000002</v>
      </c>
      <c r="L179" s="1051">
        <v>287</v>
      </c>
      <c r="M179" s="1052">
        <v>83188.259999999995</v>
      </c>
      <c r="N179" s="1031">
        <v>53154.959999999897</v>
      </c>
      <c r="O179" s="1051">
        <v>192</v>
      </c>
      <c r="P179" s="1052">
        <v>40008.99</v>
      </c>
      <c r="Q179" s="1031">
        <v>23879.969999999899</v>
      </c>
      <c r="R179" s="1051">
        <v>178</v>
      </c>
      <c r="S179" s="1052">
        <v>42881.71</v>
      </c>
      <c r="T179" s="1031">
        <v>25065.75</v>
      </c>
      <c r="U179" s="1051">
        <v>230</v>
      </c>
      <c r="V179" s="1052">
        <v>58666.38</v>
      </c>
      <c r="W179" s="1031">
        <v>38054.239999999998</v>
      </c>
      <c r="X179" s="1051">
        <v>211</v>
      </c>
      <c r="Y179" s="1052">
        <v>68514.11</v>
      </c>
      <c r="Z179" s="1031">
        <v>42536.59</v>
      </c>
      <c r="AA179" s="1051">
        <v>170</v>
      </c>
      <c r="AB179" s="1052">
        <v>70265.14</v>
      </c>
      <c r="AC179" s="1031">
        <v>43801.95</v>
      </c>
      <c r="AD179" s="1051">
        <v>175</v>
      </c>
      <c r="AE179" s="1052">
        <v>71307.81</v>
      </c>
      <c r="AF179" s="1031">
        <v>47482.42</v>
      </c>
      <c r="AG179" s="1051">
        <v>153</v>
      </c>
      <c r="AH179" s="1052">
        <v>63412.01</v>
      </c>
      <c r="AI179" s="1031">
        <v>41882.21</v>
      </c>
      <c r="AJ179" s="1051">
        <v>85</v>
      </c>
      <c r="AK179" s="1052">
        <v>13968.22</v>
      </c>
      <c r="AL179" s="1031">
        <v>7831.7699999999904</v>
      </c>
      <c r="AM179" s="1051">
        <v>223</v>
      </c>
      <c r="AN179" s="1052">
        <v>77586.05</v>
      </c>
      <c r="AO179" s="1031">
        <v>52823.8</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 profit / ventes</v>
      </c>
      <c r="B180" s="44" t="s">
        <v>165</v>
      </c>
      <c r="C180" s="700"/>
      <c r="D180" s="707"/>
      <c r="E180" s="756">
        <v>0.64716818396671871</v>
      </c>
      <c r="F180" s="700"/>
      <c r="G180" s="707"/>
      <c r="H180" s="756">
        <v>0.68756663975081267</v>
      </c>
      <c r="I180" s="700"/>
      <c r="J180" s="707"/>
      <c r="K180" s="756">
        <v>0.67719521097710755</v>
      </c>
      <c r="L180" s="700"/>
      <c r="M180" s="707"/>
      <c r="N180" s="756">
        <v>0.63897189338976312</v>
      </c>
      <c r="O180" s="700"/>
      <c r="P180" s="707"/>
      <c r="Q180" s="756">
        <v>0.59686510456774589</v>
      </c>
      <c r="R180" s="700"/>
      <c r="S180" s="707"/>
      <c r="T180" s="756">
        <v>0.58453242652869952</v>
      </c>
      <c r="U180" s="700"/>
      <c r="V180" s="707"/>
      <c r="W180" s="756">
        <v>0.64865498774596286</v>
      </c>
      <c r="X180" s="700"/>
      <c r="Y180" s="707"/>
      <c r="Z180" s="756">
        <v>0.62084423193996097</v>
      </c>
      <c r="AA180" s="700"/>
      <c r="AB180" s="707"/>
      <c r="AC180" s="756">
        <v>0.62338095391256598</v>
      </c>
      <c r="AD180" s="700"/>
      <c r="AE180" s="707"/>
      <c r="AF180" s="756">
        <v>0.66587965609938093</v>
      </c>
      <c r="AG180" s="700"/>
      <c r="AH180" s="707"/>
      <c r="AI180" s="756">
        <v>0.66047756568511229</v>
      </c>
      <c r="AJ180" s="700"/>
      <c r="AK180" s="707"/>
      <c r="AL180" s="756">
        <v>0.56068489757463658</v>
      </c>
      <c r="AM180" s="700"/>
      <c r="AN180" s="707"/>
      <c r="AO180" s="756">
        <v>0.68084146570163062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v>
      </c>
      <c r="B181" s="43"/>
      <c r="C181" s="726"/>
      <c r="D181" s="758">
        <v>307.34169661512749</v>
      </c>
      <c r="E181" s="759"/>
      <c r="F181" s="726"/>
      <c r="G181" s="758">
        <v>338.61073593073593</v>
      </c>
      <c r="H181" s="759"/>
      <c r="I181" s="726"/>
      <c r="J181" s="758">
        <v>261.43767441860467</v>
      </c>
      <c r="K181" s="759"/>
      <c r="L181" s="726"/>
      <c r="M181" s="758">
        <v>289.85456445993032</v>
      </c>
      <c r="N181" s="759"/>
      <c r="O181" s="726"/>
      <c r="P181" s="758">
        <v>208.38015625</v>
      </c>
      <c r="Q181" s="759"/>
      <c r="R181" s="726"/>
      <c r="S181" s="758">
        <v>240.9084831460674</v>
      </c>
      <c r="T181" s="759"/>
      <c r="U181" s="726"/>
      <c r="V181" s="758">
        <v>255.07121739130434</v>
      </c>
      <c r="W181" s="759"/>
      <c r="X181" s="726"/>
      <c r="Y181" s="758">
        <v>324.71142180094785</v>
      </c>
      <c r="Z181" s="759"/>
      <c r="AA181" s="726"/>
      <c r="AB181" s="758">
        <v>413.32435294117647</v>
      </c>
      <c r="AC181" s="759"/>
      <c r="AD181" s="726"/>
      <c r="AE181" s="758">
        <v>407.47319999999996</v>
      </c>
      <c r="AF181" s="759"/>
      <c r="AG181" s="726"/>
      <c r="AH181" s="758">
        <v>414.45758169934641</v>
      </c>
      <c r="AI181" s="759"/>
      <c r="AJ181" s="726"/>
      <c r="AK181" s="758">
        <v>164.33199999999999</v>
      </c>
      <c r="AL181" s="759"/>
      <c r="AM181" s="726"/>
      <c r="AN181" s="758">
        <v>347.91950672645743</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ServiceM/O Interne</v>
      </c>
      <c r="B182" s="44" t="s">
        <v>167</v>
      </c>
      <c r="C182" s="754">
        <v>2993</v>
      </c>
      <c r="D182" s="755">
        <v>951380.34</v>
      </c>
      <c r="E182" s="721">
        <v>740320.39999999967</v>
      </c>
      <c r="F182" s="754">
        <v>222</v>
      </c>
      <c r="G182" s="755">
        <v>62165.19</v>
      </c>
      <c r="H182" s="721">
        <v>46690.44</v>
      </c>
      <c r="I182" s="754">
        <v>185</v>
      </c>
      <c r="J182" s="755">
        <v>64753.34</v>
      </c>
      <c r="K182" s="721">
        <v>48754.789999999899</v>
      </c>
      <c r="L182" s="754">
        <v>221</v>
      </c>
      <c r="M182" s="755">
        <v>68191.08</v>
      </c>
      <c r="N182" s="721">
        <v>53135.29</v>
      </c>
      <c r="O182" s="754">
        <v>220</v>
      </c>
      <c r="P182" s="755">
        <v>64988.78</v>
      </c>
      <c r="Q182" s="721">
        <v>50798.22</v>
      </c>
      <c r="R182" s="754">
        <v>247</v>
      </c>
      <c r="S182" s="1124">
        <v>87494.05</v>
      </c>
      <c r="T182" s="1125">
        <v>66932.45</v>
      </c>
      <c r="U182" s="754">
        <v>265</v>
      </c>
      <c r="V182" s="1124">
        <v>79677.269999999902</v>
      </c>
      <c r="W182" s="721">
        <v>60336.739999999903</v>
      </c>
      <c r="X182" s="754">
        <v>249</v>
      </c>
      <c r="Y182" s="1124">
        <v>93153.12</v>
      </c>
      <c r="Z182" s="721">
        <v>74412.23</v>
      </c>
      <c r="AA182" s="754">
        <v>324</v>
      </c>
      <c r="AB182" s="1124">
        <v>96307.43</v>
      </c>
      <c r="AC182" s="721">
        <v>76952.459999999905</v>
      </c>
      <c r="AD182" s="754">
        <v>328</v>
      </c>
      <c r="AE182" s="1124">
        <v>111311.12</v>
      </c>
      <c r="AF182" s="721">
        <v>87639.26</v>
      </c>
      <c r="AG182" s="754">
        <v>294</v>
      </c>
      <c r="AH182" s="755">
        <v>71140.160000000003</v>
      </c>
      <c r="AI182" s="721">
        <v>56333.78</v>
      </c>
      <c r="AJ182" s="754">
        <v>244</v>
      </c>
      <c r="AK182" s="755">
        <v>77153.63</v>
      </c>
      <c r="AL182" s="721">
        <v>59809.09</v>
      </c>
      <c r="AM182" s="754">
        <v>194</v>
      </c>
      <c r="AN182" s="755">
        <v>75045.17</v>
      </c>
      <c r="AO182" s="721">
        <v>58525.65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 profit / ventes</v>
      </c>
      <c r="B183" s="44" t="s">
        <v>165</v>
      </c>
      <c r="C183" s="753"/>
      <c r="D183" s="760"/>
      <c r="E183" s="756">
        <v>0.77815398203414599</v>
      </c>
      <c r="F183" s="753"/>
      <c r="G183" s="760"/>
      <c r="H183" s="756">
        <v>0.75107049459673492</v>
      </c>
      <c r="I183" s="753"/>
      <c r="J183" s="760"/>
      <c r="K183" s="756">
        <v>0.75293089128684176</v>
      </c>
      <c r="L183" s="753"/>
      <c r="M183" s="760"/>
      <c r="N183" s="756">
        <v>0.77921173854410286</v>
      </c>
      <c r="O183" s="753"/>
      <c r="P183" s="760"/>
      <c r="Q183" s="756">
        <v>0.78164600104818094</v>
      </c>
      <c r="R183" s="753"/>
      <c r="S183" s="760"/>
      <c r="T183" s="756">
        <v>0.76499430532704793</v>
      </c>
      <c r="U183" s="753"/>
      <c r="V183" s="760"/>
      <c r="W183" s="756">
        <v>0.75726414823198607</v>
      </c>
      <c r="X183" s="753"/>
      <c r="Y183" s="760"/>
      <c r="Z183" s="756">
        <v>0.79881629300231705</v>
      </c>
      <c r="AA183" s="753"/>
      <c r="AB183" s="760"/>
      <c r="AC183" s="756">
        <v>0.79902931684502343</v>
      </c>
      <c r="AD183" s="753"/>
      <c r="AE183" s="760"/>
      <c r="AF183" s="756">
        <v>0.7873360720833642</v>
      </c>
      <c r="AG183" s="753"/>
      <c r="AH183" s="760"/>
      <c r="AI183" s="756">
        <v>0.79187030223153831</v>
      </c>
      <c r="AJ183" s="753"/>
      <c r="AK183" s="760"/>
      <c r="AL183" s="756">
        <v>0.77519476400527099</v>
      </c>
      <c r="AM183" s="753"/>
      <c r="AN183" s="760"/>
      <c r="AO183" s="756">
        <v>0.77987230890409076</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v>
      </c>
      <c r="B184" s="44"/>
      <c r="C184" s="753"/>
      <c r="D184" s="761">
        <v>317.86847310390908</v>
      </c>
      <c r="E184" s="756"/>
      <c r="F184" s="753"/>
      <c r="G184" s="761">
        <v>280.02337837837837</v>
      </c>
      <c r="H184" s="756"/>
      <c r="I184" s="753"/>
      <c r="J184" s="761">
        <v>350.01805405405406</v>
      </c>
      <c r="K184" s="756"/>
      <c r="L184" s="753"/>
      <c r="M184" s="761">
        <v>308.55692307692311</v>
      </c>
      <c r="N184" s="756"/>
      <c r="O184" s="753"/>
      <c r="P184" s="761">
        <v>295.40354545454545</v>
      </c>
      <c r="Q184" s="756"/>
      <c r="R184" s="753"/>
      <c r="S184" s="761">
        <v>354.22692307692307</v>
      </c>
      <c r="T184" s="756"/>
      <c r="U184" s="753"/>
      <c r="V184" s="761">
        <v>300.66894339622604</v>
      </c>
      <c r="W184" s="756"/>
      <c r="X184" s="753"/>
      <c r="Y184" s="761">
        <v>374.10891566265059</v>
      </c>
      <c r="Z184" s="756"/>
      <c r="AA184" s="753"/>
      <c r="AB184" s="761">
        <v>297.24515432098764</v>
      </c>
      <c r="AC184" s="756"/>
      <c r="AD184" s="753"/>
      <c r="AE184" s="761">
        <v>339.36317073170733</v>
      </c>
      <c r="AF184" s="756"/>
      <c r="AG184" s="753"/>
      <c r="AH184" s="761">
        <v>241.97333333333336</v>
      </c>
      <c r="AI184" s="756"/>
      <c r="AJ184" s="753"/>
      <c r="AK184" s="761">
        <v>316.20340163934429</v>
      </c>
      <c r="AL184" s="756"/>
      <c r="AM184" s="753"/>
      <c r="AN184" s="761">
        <v>386.8307731958763</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ServiceM/O Esthétique</v>
      </c>
      <c r="B185" s="42" t="s">
        <v>168</v>
      </c>
      <c r="C185" s="1051">
        <v>0</v>
      </c>
      <c r="D185" s="1052">
        <v>131978.6</v>
      </c>
      <c r="E185" s="1031">
        <v>104558.13999999988</v>
      </c>
      <c r="F185" s="1051">
        <v>0</v>
      </c>
      <c r="G185" s="1052">
        <v>3898.56</v>
      </c>
      <c r="H185" s="1031">
        <v>2857.0299999999902</v>
      </c>
      <c r="I185" s="1051">
        <v>0</v>
      </c>
      <c r="J185" s="1052">
        <v>3769.71</v>
      </c>
      <c r="K185" s="1031">
        <v>2857.41</v>
      </c>
      <c r="L185" s="1051">
        <v>0</v>
      </c>
      <c r="M185" s="1052">
        <v>8215.18</v>
      </c>
      <c r="N185" s="1031">
        <v>6311.64</v>
      </c>
      <c r="O185" s="1051">
        <v>0</v>
      </c>
      <c r="P185" s="1052">
        <v>25065.34</v>
      </c>
      <c r="Q185" s="1031">
        <v>20456.11</v>
      </c>
      <c r="R185" s="1051">
        <v>0</v>
      </c>
      <c r="S185" s="1052">
        <v>23911.63</v>
      </c>
      <c r="T185" s="1031">
        <v>19209.34</v>
      </c>
      <c r="U185" s="1051">
        <v>0</v>
      </c>
      <c r="V185" s="1052">
        <v>9357.93</v>
      </c>
      <c r="W185" s="1031">
        <v>7296.8</v>
      </c>
      <c r="X185" s="1051">
        <v>0</v>
      </c>
      <c r="Y185" s="1052">
        <v>8246.2000000000007</v>
      </c>
      <c r="Z185" s="1031">
        <v>6572.43</v>
      </c>
      <c r="AA185" s="1051">
        <v>0</v>
      </c>
      <c r="AB185" s="1052">
        <v>5277.1</v>
      </c>
      <c r="AC185" s="1031">
        <v>4045.75</v>
      </c>
      <c r="AD185" s="1051">
        <v>0</v>
      </c>
      <c r="AE185" s="1052">
        <v>8116.64</v>
      </c>
      <c r="AF185" s="1031">
        <v>6178.8</v>
      </c>
      <c r="AG185" s="1051">
        <v>0</v>
      </c>
      <c r="AH185" s="1052">
        <v>12080.43</v>
      </c>
      <c r="AI185" s="1031">
        <v>9484.86</v>
      </c>
      <c r="AJ185" s="1051">
        <v>0</v>
      </c>
      <c r="AK185" s="1052">
        <v>19444.009999999998</v>
      </c>
      <c r="AL185" s="1031">
        <v>15555.9399999999</v>
      </c>
      <c r="AM185" s="1051">
        <v>0</v>
      </c>
      <c r="AN185" s="1052">
        <v>4595.87</v>
      </c>
      <c r="AO185" s="1031">
        <v>3732.0299999999902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 profit / ventes</v>
      </c>
      <c r="B186" s="44" t="s">
        <v>165</v>
      </c>
      <c r="C186" s="762"/>
      <c r="D186" s="763">
        <v>0</v>
      </c>
      <c r="E186" s="756">
        <v>0.79223555940129597</v>
      </c>
      <c r="F186" s="762"/>
      <c r="G186" s="763">
        <v>0</v>
      </c>
      <c r="H186" s="756">
        <v>0.73284238282852909</v>
      </c>
      <c r="I186" s="762"/>
      <c r="J186" s="763">
        <v>0</v>
      </c>
      <c r="K186" s="756">
        <v>0.7579919940791201</v>
      </c>
      <c r="L186" s="762"/>
      <c r="M186" s="763">
        <v>0</v>
      </c>
      <c r="N186" s="756">
        <v>0.768289921827641</v>
      </c>
      <c r="O186" s="762"/>
      <c r="P186" s="763">
        <v>0</v>
      </c>
      <c r="Q186" s="756">
        <v>0.81611141121564679</v>
      </c>
      <c r="R186" s="762"/>
      <c r="S186" s="763">
        <v>0</v>
      </c>
      <c r="T186" s="756">
        <v>0.80334715784745747</v>
      </c>
      <c r="U186" s="762"/>
      <c r="V186" s="763">
        <v>0</v>
      </c>
      <c r="W186" s="756">
        <v>0.77974509319903007</v>
      </c>
      <c r="X186" s="762"/>
      <c r="Y186" s="763">
        <v>0</v>
      </c>
      <c r="Z186" s="756">
        <v>0.79702529650020615</v>
      </c>
      <c r="AA186" s="762"/>
      <c r="AB186" s="763">
        <v>0</v>
      </c>
      <c r="AC186" s="756">
        <v>0.76666161338614003</v>
      </c>
      <c r="AD186" s="762"/>
      <c r="AE186" s="763">
        <v>0</v>
      </c>
      <c r="AF186" s="756">
        <v>0.76125096098878353</v>
      </c>
      <c r="AG186" s="762"/>
      <c r="AH186" s="763">
        <v>0</v>
      </c>
      <c r="AI186" s="756">
        <v>0.78514258184518271</v>
      </c>
      <c r="AJ186" s="762"/>
      <c r="AK186" s="763">
        <v>0</v>
      </c>
      <c r="AL186" s="756">
        <v>0.80003764655541232</v>
      </c>
      <c r="AM186" s="762"/>
      <c r="AN186" s="763">
        <v>0</v>
      </c>
      <c r="AO186" s="756">
        <v>0.81203994020718395</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v>
      </c>
      <c r="B187" s="43"/>
      <c r="C187" s="764"/>
      <c r="D187" s="765">
        <v>0</v>
      </c>
      <c r="E187" s="759"/>
      <c r="F187" s="764"/>
      <c r="G187" s="765">
        <v>0</v>
      </c>
      <c r="H187" s="759"/>
      <c r="I187" s="764"/>
      <c r="J187" s="765">
        <v>0</v>
      </c>
      <c r="K187" s="759"/>
      <c r="L187" s="764"/>
      <c r="M187" s="765">
        <v>0</v>
      </c>
      <c r="N187" s="759"/>
      <c r="O187" s="764"/>
      <c r="P187" s="765">
        <v>0</v>
      </c>
      <c r="Q187" s="759"/>
      <c r="R187" s="764"/>
      <c r="S187" s="765">
        <v>0</v>
      </c>
      <c r="T187" s="759"/>
      <c r="U187" s="764"/>
      <c r="V187" s="765">
        <v>0</v>
      </c>
      <c r="W187" s="759"/>
      <c r="X187" s="764"/>
      <c r="Y187" s="765">
        <v>0</v>
      </c>
      <c r="Z187" s="759"/>
      <c r="AA187" s="764"/>
      <c r="AB187" s="765">
        <v>0</v>
      </c>
      <c r="AC187" s="759"/>
      <c r="AD187" s="764"/>
      <c r="AE187" s="765">
        <v>0</v>
      </c>
      <c r="AF187" s="759"/>
      <c r="AG187" s="764"/>
      <c r="AH187" s="765">
        <v>0</v>
      </c>
      <c r="AI187" s="759"/>
      <c r="AJ187" s="764"/>
      <c r="AK187" s="765">
        <v>0</v>
      </c>
      <c r="AL187" s="759"/>
      <c r="AM187" s="764"/>
      <c r="AN187" s="765">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Bot="1">
      <c r="A188" s="39" t="str">
        <f t="shared" si="2"/>
        <v>ServiceAjustement M/O</v>
      </c>
      <c r="B188" s="44" t="s">
        <v>169</v>
      </c>
      <c r="C188" s="754"/>
      <c r="D188" s="755"/>
      <c r="E188" s="721">
        <v>-24239.17</v>
      </c>
      <c r="F188" s="754"/>
      <c r="G188" s="755"/>
      <c r="H188" s="721">
        <v>-3208.08</v>
      </c>
      <c r="I188" s="754"/>
      <c r="J188" s="755"/>
      <c r="K188" s="721">
        <v>-1540.85</v>
      </c>
      <c r="L188" s="754"/>
      <c r="M188" s="755"/>
      <c r="N188" s="721">
        <v>-634.37</v>
      </c>
      <c r="O188" s="754"/>
      <c r="P188" s="755"/>
      <c r="Q188" s="721">
        <v>-3279.28</v>
      </c>
      <c r="R188" s="754"/>
      <c r="S188" s="755"/>
      <c r="T188" s="721">
        <v>-1048.6300000000001</v>
      </c>
      <c r="U188" s="754"/>
      <c r="V188" s="755"/>
      <c r="W188" s="721">
        <v>-1952.1</v>
      </c>
      <c r="X188" s="754"/>
      <c r="Y188" s="755"/>
      <c r="Z188" s="721">
        <v>-1154.1300000000001</v>
      </c>
      <c r="AA188" s="754"/>
      <c r="AB188" s="755"/>
      <c r="AC188" s="721">
        <v>-2042.11</v>
      </c>
      <c r="AD188" s="754"/>
      <c r="AE188" s="755"/>
      <c r="AF188" s="721">
        <v>-1318.36</v>
      </c>
      <c r="AG188" s="754"/>
      <c r="AH188" s="755"/>
      <c r="AI188" s="721">
        <v>-310.10000000000002</v>
      </c>
      <c r="AJ188" s="754"/>
      <c r="AK188" s="755"/>
      <c r="AL188" s="721">
        <v>-5690.11</v>
      </c>
      <c r="AM188" s="754"/>
      <c r="AN188" s="755"/>
      <c r="AO188" s="721">
        <v>-2061.0500000000002</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thickTop="1">
      <c r="A189" s="39" t="str">
        <f t="shared" si="2"/>
        <v>ServiceSous-total M/O</v>
      </c>
      <c r="B189" s="49" t="s">
        <v>170</v>
      </c>
      <c r="C189" s="766">
        <v>11155</v>
      </c>
      <c r="D189" s="767">
        <v>3702813.74</v>
      </c>
      <c r="E189" s="768">
        <v>2782655.209999999</v>
      </c>
      <c r="F189" s="766">
        <v>708</v>
      </c>
      <c r="G189" s="767">
        <v>241828.59</v>
      </c>
      <c r="H189" s="768">
        <v>178563.22000000003</v>
      </c>
      <c r="I189" s="766">
        <v>691</v>
      </c>
      <c r="J189" s="767">
        <v>229865.96999999997</v>
      </c>
      <c r="K189" s="768">
        <v>169768.50999999989</v>
      </c>
      <c r="L189" s="766">
        <v>848</v>
      </c>
      <c r="M189" s="767">
        <v>282164.96000000002</v>
      </c>
      <c r="N189" s="768">
        <v>207770.51999999993</v>
      </c>
      <c r="O189" s="766">
        <v>1188</v>
      </c>
      <c r="P189" s="767">
        <v>348151.22000000003</v>
      </c>
      <c r="Q189" s="768">
        <v>263256.36999999988</v>
      </c>
      <c r="R189" s="766">
        <v>1095</v>
      </c>
      <c r="S189" s="767">
        <v>359762.88</v>
      </c>
      <c r="T189" s="768">
        <v>268948.78000000003</v>
      </c>
      <c r="U189" s="766">
        <v>926</v>
      </c>
      <c r="V189" s="767">
        <v>287956.29999999987</v>
      </c>
      <c r="W189" s="1107">
        <v>213605.31999999989</v>
      </c>
      <c r="X189" s="766">
        <v>862</v>
      </c>
      <c r="Y189" s="767">
        <v>306097.01</v>
      </c>
      <c r="Z189" s="1107">
        <v>229976.22999999998</v>
      </c>
      <c r="AA189" s="766">
        <v>846</v>
      </c>
      <c r="AB189" s="767">
        <v>307376.49</v>
      </c>
      <c r="AC189" s="1107">
        <v>231524.6399999999</v>
      </c>
      <c r="AD189" s="766">
        <v>838</v>
      </c>
      <c r="AE189" s="767">
        <v>319356.68</v>
      </c>
      <c r="AF189" s="1107">
        <v>242917.01</v>
      </c>
      <c r="AG189" s="766">
        <v>1032</v>
      </c>
      <c r="AH189" s="767">
        <v>342685.64</v>
      </c>
      <c r="AI189" s="768">
        <v>262698.49</v>
      </c>
      <c r="AJ189" s="766">
        <v>1346</v>
      </c>
      <c r="AK189" s="767">
        <v>403844.49</v>
      </c>
      <c r="AL189" s="768">
        <v>307937.80999999988</v>
      </c>
      <c r="AM189" s="766">
        <v>775</v>
      </c>
      <c r="AN189" s="767">
        <v>273723.51</v>
      </c>
      <c r="AO189" s="768">
        <v>205688.30999999991</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 protit / ventes</v>
      </c>
      <c r="B190" s="46" t="s">
        <v>171</v>
      </c>
      <c r="C190" s="769"/>
      <c r="D190" s="770">
        <v>331.94206544150609</v>
      </c>
      <c r="E190" s="771">
        <v>0.751497484180773</v>
      </c>
      <c r="F190" s="769"/>
      <c r="G190" s="770">
        <v>341.56580508474576</v>
      </c>
      <c r="H190" s="771">
        <v>0.73838754962761033</v>
      </c>
      <c r="I190" s="769"/>
      <c r="J190" s="770">
        <v>332.65697539797389</v>
      </c>
      <c r="K190" s="771">
        <v>0.73855434103621298</v>
      </c>
      <c r="L190" s="769"/>
      <c r="M190" s="770">
        <v>332.74169811320758</v>
      </c>
      <c r="N190" s="771">
        <v>0.73634415839585443</v>
      </c>
      <c r="O190" s="769"/>
      <c r="P190" s="770">
        <v>293.0565824915825</v>
      </c>
      <c r="Q190" s="771">
        <v>0.75615524196640715</v>
      </c>
      <c r="R190" s="769"/>
      <c r="S190" s="770">
        <v>328.55057534246578</v>
      </c>
      <c r="T190" s="771">
        <v>0.74757234542930062</v>
      </c>
      <c r="U190" s="769"/>
      <c r="V190" s="770">
        <v>310.96792656587456</v>
      </c>
      <c r="W190" s="771">
        <v>0.74179769638656967</v>
      </c>
      <c r="X190" s="769"/>
      <c r="Y190" s="770">
        <v>355.100939675174</v>
      </c>
      <c r="Z190" s="771">
        <v>0.75131811970329265</v>
      </c>
      <c r="AA190" s="769"/>
      <c r="AB190" s="770">
        <v>363.32918439716309</v>
      </c>
      <c r="AC190" s="771">
        <v>0.75322819907273941</v>
      </c>
      <c r="AD190" s="769"/>
      <c r="AE190" s="770">
        <v>381.09389021479711</v>
      </c>
      <c r="AF190" s="771">
        <v>0.76064483761542112</v>
      </c>
      <c r="AG190" s="769"/>
      <c r="AH190" s="770">
        <v>332.05972868217054</v>
      </c>
      <c r="AI190" s="771">
        <v>0.76658738895507839</v>
      </c>
      <c r="AJ190" s="769"/>
      <c r="AK190" s="770">
        <v>300.03305349182762</v>
      </c>
      <c r="AL190" s="771">
        <v>0.76251581394610557</v>
      </c>
      <c r="AM190" s="769"/>
      <c r="AN190" s="770">
        <v>353.19162580645161</v>
      </c>
      <c r="AO190" s="771">
        <v>0.75144553714074436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v>
      </c>
      <c r="B191" s="4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ServiceSous-traitement</v>
      </c>
      <c r="B192" s="44" t="s">
        <v>172</v>
      </c>
      <c r="C192" s="754">
        <v>0</v>
      </c>
      <c r="D192" s="772">
        <v>209131.22999999975</v>
      </c>
      <c r="E192" s="721">
        <v>43424.569999999927</v>
      </c>
      <c r="F192" s="754">
        <v>0</v>
      </c>
      <c r="G192" s="772">
        <v>8944.15</v>
      </c>
      <c r="H192" s="721">
        <v>2262.1499999999901</v>
      </c>
      <c r="I192" s="754">
        <v>0</v>
      </c>
      <c r="J192" s="772">
        <v>19410.400000000001</v>
      </c>
      <c r="K192" s="721">
        <v>3435.9</v>
      </c>
      <c r="L192" s="754">
        <v>0</v>
      </c>
      <c r="M192" s="772">
        <v>18065.2</v>
      </c>
      <c r="N192" s="721">
        <v>2649.47</v>
      </c>
      <c r="O192" s="754">
        <v>0</v>
      </c>
      <c r="P192" s="772">
        <v>18629.919999999998</v>
      </c>
      <c r="Q192" s="721">
        <v>3102.9199999999901</v>
      </c>
      <c r="R192" s="754">
        <v>0</v>
      </c>
      <c r="S192" s="772">
        <v>26364.6</v>
      </c>
      <c r="T192" s="721">
        <v>6412.0199999999904</v>
      </c>
      <c r="U192" s="754">
        <v>0</v>
      </c>
      <c r="V192" s="772">
        <v>17923.73</v>
      </c>
      <c r="W192" s="721">
        <v>3694.53</v>
      </c>
      <c r="X192" s="754">
        <v>0</v>
      </c>
      <c r="Y192" s="772">
        <v>22735.4899999999</v>
      </c>
      <c r="Z192" s="721">
        <v>4126.45999999999</v>
      </c>
      <c r="AA192" s="754">
        <v>0</v>
      </c>
      <c r="AB192" s="772">
        <v>17632.02</v>
      </c>
      <c r="AC192" s="721">
        <v>3914.47999999999</v>
      </c>
      <c r="AD192" s="754">
        <v>0</v>
      </c>
      <c r="AE192" s="772">
        <v>21348.949999999899</v>
      </c>
      <c r="AF192" s="721">
        <v>4287.1999999999898</v>
      </c>
      <c r="AG192" s="754">
        <v>0</v>
      </c>
      <c r="AH192" s="772">
        <v>12464.83</v>
      </c>
      <c r="AI192" s="721">
        <v>3483.22999999999</v>
      </c>
      <c r="AJ192" s="754">
        <v>0</v>
      </c>
      <c r="AK192" s="772">
        <v>15758.84</v>
      </c>
      <c r="AL192" s="721">
        <v>3314.11</v>
      </c>
      <c r="AM192" s="754">
        <v>0</v>
      </c>
      <c r="AN192" s="772">
        <v>9853.1</v>
      </c>
      <c r="AO192" s="721">
        <v>2742.1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 profit / ventes</v>
      </c>
      <c r="B193" s="44" t="s">
        <v>165</v>
      </c>
      <c r="C193" s="753"/>
      <c r="D193" s="760"/>
      <c r="E193" s="756">
        <v>0.20764268445224551</v>
      </c>
      <c r="F193" s="753"/>
      <c r="G193" s="760"/>
      <c r="H193" s="756">
        <v>0.25291950604585012</v>
      </c>
      <c r="I193" s="753"/>
      <c r="J193" s="760"/>
      <c r="K193" s="756">
        <v>0.1770133536660759</v>
      </c>
      <c r="L193" s="753"/>
      <c r="M193" s="760"/>
      <c r="N193" s="756">
        <v>0.14666153709895266</v>
      </c>
      <c r="O193" s="753"/>
      <c r="P193" s="760"/>
      <c r="Q193" s="756">
        <v>0.16655573400207785</v>
      </c>
      <c r="R193" s="753"/>
      <c r="S193" s="760"/>
      <c r="T193" s="756">
        <v>0.24320566213786635</v>
      </c>
      <c r="U193" s="753"/>
      <c r="V193" s="760"/>
      <c r="W193" s="756">
        <v>0.20612506436997211</v>
      </c>
      <c r="X193" s="753"/>
      <c r="Y193" s="760"/>
      <c r="Z193" s="756">
        <v>0.18149861735990772</v>
      </c>
      <c r="AA193" s="753"/>
      <c r="AB193" s="760"/>
      <c r="AC193" s="756">
        <v>0.22200973002526028</v>
      </c>
      <c r="AD193" s="753"/>
      <c r="AE193" s="760"/>
      <c r="AF193" s="756">
        <v>0.2008154967808726</v>
      </c>
      <c r="AG193" s="753"/>
      <c r="AH193" s="760"/>
      <c r="AI193" s="756">
        <v>0.27944464545444986</v>
      </c>
      <c r="AJ193" s="753"/>
      <c r="AK193" s="760"/>
      <c r="AL193" s="756">
        <v>0.2103016465678946</v>
      </c>
      <c r="AM193" s="753"/>
      <c r="AN193" s="760"/>
      <c r="AO193" s="756">
        <v>0.27829820056631921</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v>
      </c>
      <c r="B194" s="44"/>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ServiceM.O. Recond. MCPA</v>
      </c>
      <c r="B195" s="42" t="s">
        <v>173</v>
      </c>
      <c r="C195" s="1051">
        <v>0</v>
      </c>
      <c r="D195" s="1126">
        <v>118491</v>
      </c>
      <c r="E195" s="1031">
        <v>86816.589999999982</v>
      </c>
      <c r="F195" s="1051">
        <v>0</v>
      </c>
      <c r="G195" s="1126">
        <v>4029.9</v>
      </c>
      <c r="H195" s="1031">
        <v>3229.1</v>
      </c>
      <c r="I195" s="1051">
        <v>0</v>
      </c>
      <c r="J195" s="1126">
        <v>6923.95</v>
      </c>
      <c r="K195" s="1031">
        <v>5337.95</v>
      </c>
      <c r="L195" s="1051">
        <v>0</v>
      </c>
      <c r="M195" s="1126">
        <v>11580</v>
      </c>
      <c r="N195" s="1031">
        <v>8610.2900000000009</v>
      </c>
      <c r="O195" s="1051">
        <v>0</v>
      </c>
      <c r="P195" s="1126">
        <v>10458.5</v>
      </c>
      <c r="Q195" s="1031">
        <v>7042.3899999999903</v>
      </c>
      <c r="R195" s="1127">
        <v>0</v>
      </c>
      <c r="S195" s="1126">
        <v>13699.1</v>
      </c>
      <c r="T195" s="1031">
        <v>8680.98</v>
      </c>
      <c r="U195" s="1127">
        <v>0</v>
      </c>
      <c r="V195" s="1126">
        <v>12017.6</v>
      </c>
      <c r="W195" s="1031">
        <v>9481.08</v>
      </c>
      <c r="X195" s="1127">
        <v>0</v>
      </c>
      <c r="Y195" s="1126">
        <v>8810.2999999999993</v>
      </c>
      <c r="Z195" s="1031">
        <v>7200.49</v>
      </c>
      <c r="AA195" s="1127">
        <v>0</v>
      </c>
      <c r="AB195" s="1126">
        <v>8876.7999999999993</v>
      </c>
      <c r="AC195" s="1031">
        <v>3659.7999999999902</v>
      </c>
      <c r="AD195" s="1127">
        <v>0</v>
      </c>
      <c r="AE195" s="1126">
        <v>6714.85</v>
      </c>
      <c r="AF195" s="1031">
        <v>5309.21</v>
      </c>
      <c r="AG195" s="1051">
        <v>0</v>
      </c>
      <c r="AH195" s="1126">
        <v>18540.5</v>
      </c>
      <c r="AI195" s="1031">
        <v>14606.44</v>
      </c>
      <c r="AJ195" s="1051">
        <v>0</v>
      </c>
      <c r="AK195" s="1126">
        <v>7849.8</v>
      </c>
      <c r="AL195" s="1031">
        <v>6357.09</v>
      </c>
      <c r="AM195" s="1051">
        <v>0</v>
      </c>
      <c r="AN195" s="1126">
        <v>8989.7000000000007</v>
      </c>
      <c r="AO195" s="1031">
        <v>7301.77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 profit / ventes</v>
      </c>
      <c r="B196" s="43" t="s">
        <v>165</v>
      </c>
      <c r="C196" s="757"/>
      <c r="D196" s="773"/>
      <c r="E196" s="759">
        <v>0.73268509844629537</v>
      </c>
      <c r="F196" s="757"/>
      <c r="G196" s="773"/>
      <c r="H196" s="759">
        <v>0.80128539169706436</v>
      </c>
      <c r="I196" s="757"/>
      <c r="J196" s="773"/>
      <c r="K196" s="759">
        <v>0.77093999812245895</v>
      </c>
      <c r="L196" s="757"/>
      <c r="M196" s="773"/>
      <c r="N196" s="759">
        <v>0.74354835924006912</v>
      </c>
      <c r="O196" s="757"/>
      <c r="P196" s="773"/>
      <c r="Q196" s="759">
        <v>0.67336520533537225</v>
      </c>
      <c r="R196" s="757"/>
      <c r="S196" s="773"/>
      <c r="T196" s="759">
        <v>0.63368980443970768</v>
      </c>
      <c r="U196" s="757"/>
      <c r="V196" s="773"/>
      <c r="W196" s="759">
        <v>0.78893289841565706</v>
      </c>
      <c r="X196" s="757"/>
      <c r="Y196" s="773"/>
      <c r="Z196" s="759">
        <v>0.81728090984415969</v>
      </c>
      <c r="AA196" s="757"/>
      <c r="AB196" s="773"/>
      <c r="AC196" s="759">
        <v>0.41228821196827581</v>
      </c>
      <c r="AD196" s="757"/>
      <c r="AE196" s="773"/>
      <c r="AF196" s="759">
        <v>0.79066695458573155</v>
      </c>
      <c r="AG196" s="757"/>
      <c r="AH196" s="773"/>
      <c r="AI196" s="759">
        <v>0.78781262641244842</v>
      </c>
      <c r="AJ196" s="757"/>
      <c r="AK196" s="773"/>
      <c r="AL196" s="759">
        <v>0.80984101505770845</v>
      </c>
      <c r="AM196" s="757"/>
      <c r="AN196" s="773"/>
      <c r="AO196" s="759">
        <v>0.81223733828715083</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Bot="1">
      <c r="A197" s="39" t="str">
        <f t="shared" si="2"/>
        <v>Service</v>
      </c>
      <c r="B197" s="4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70"/>
      <c r="X197" s="1062"/>
      <c r="Y197" s="1063"/>
      <c r="Z197" s="1070"/>
      <c r="AA197" s="1062"/>
      <c r="AB197" s="1063"/>
      <c r="AC197" s="1070"/>
      <c r="AD197" s="1062"/>
      <c r="AE197" s="1063"/>
      <c r="AF197" s="1070"/>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Top="1">
      <c r="A198" s="39" t="str">
        <f t="shared" si="2"/>
        <v>ServiceTotal Mécanique</v>
      </c>
      <c r="B198" s="49" t="s">
        <v>174</v>
      </c>
      <c r="C198" s="709"/>
      <c r="D198" s="774">
        <v>4030435.9699999997</v>
      </c>
      <c r="E198" s="711">
        <v>2912896.3699999987</v>
      </c>
      <c r="F198" s="709"/>
      <c r="G198" s="774">
        <v>254802.63999999998</v>
      </c>
      <c r="H198" s="711">
        <v>184054.47000000003</v>
      </c>
      <c r="I198" s="709"/>
      <c r="J198" s="774">
        <v>256200.31999999998</v>
      </c>
      <c r="K198" s="711">
        <v>178542.3599999999</v>
      </c>
      <c r="L198" s="709"/>
      <c r="M198" s="774">
        <v>311810.16000000003</v>
      </c>
      <c r="N198" s="711">
        <v>219030.27999999994</v>
      </c>
      <c r="O198" s="709"/>
      <c r="P198" s="774">
        <v>377239.64</v>
      </c>
      <c r="Q198" s="711">
        <v>273401.67999999988</v>
      </c>
      <c r="R198" s="709"/>
      <c r="S198" s="774">
        <v>399826.57999999996</v>
      </c>
      <c r="T198" s="711">
        <v>284041.78000000003</v>
      </c>
      <c r="U198" s="709"/>
      <c r="V198" s="774">
        <v>317897.62999999983</v>
      </c>
      <c r="W198" s="1107">
        <v>226780.92999999988</v>
      </c>
      <c r="X198" s="709"/>
      <c r="Y198" s="774">
        <v>337642.79999999987</v>
      </c>
      <c r="Z198" s="1107">
        <v>241303.17999999996</v>
      </c>
      <c r="AA198" s="709"/>
      <c r="AB198" s="774">
        <v>333885.31</v>
      </c>
      <c r="AC198" s="1107">
        <v>239098.91999999987</v>
      </c>
      <c r="AD198" s="709"/>
      <c r="AE198" s="774">
        <v>347420.47999999986</v>
      </c>
      <c r="AF198" s="1107">
        <v>252513.41999999998</v>
      </c>
      <c r="AG198" s="709"/>
      <c r="AH198" s="774">
        <v>373690.97000000003</v>
      </c>
      <c r="AI198" s="711">
        <v>280788.15999999997</v>
      </c>
      <c r="AJ198" s="709"/>
      <c r="AK198" s="774">
        <v>427453.13</v>
      </c>
      <c r="AL198" s="711">
        <v>317609.00999999989</v>
      </c>
      <c r="AM198" s="709"/>
      <c r="AN198" s="774">
        <v>292566.31</v>
      </c>
      <c r="AO198" s="711">
        <v>215732.17999999991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Bot="1">
      <c r="A199" s="39" t="str">
        <f t="shared" si="2"/>
        <v>Service</v>
      </c>
      <c r="B199" s="50"/>
      <c r="C199" s="712"/>
      <c r="D199" s="713"/>
      <c r="E199" s="775">
        <v>0.72272488427598047</v>
      </c>
      <c r="F199" s="712"/>
      <c r="G199" s="713"/>
      <c r="H199" s="775">
        <v>0.72234129913253664</v>
      </c>
      <c r="I199" s="712"/>
      <c r="J199" s="713"/>
      <c r="K199" s="775">
        <v>0.69688578062665929</v>
      </c>
      <c r="L199" s="712"/>
      <c r="M199" s="713"/>
      <c r="N199" s="775">
        <v>0.70244754051631908</v>
      </c>
      <c r="O199" s="712"/>
      <c r="P199" s="713"/>
      <c r="Q199" s="775">
        <v>0.72474271261630896</v>
      </c>
      <c r="R199" s="712"/>
      <c r="S199" s="713"/>
      <c r="T199" s="775">
        <v>0.71041244931740166</v>
      </c>
      <c r="U199" s="712"/>
      <c r="V199" s="713"/>
      <c r="W199" s="1128">
        <v>0.71337722775724999</v>
      </c>
      <c r="X199" s="712"/>
      <c r="Y199" s="713"/>
      <c r="Z199" s="1128">
        <v>0.71467000036725215</v>
      </c>
      <c r="AA199" s="712"/>
      <c r="AB199" s="713"/>
      <c r="AC199" s="1128">
        <v>0.71611093042697771</v>
      </c>
      <c r="AD199" s="712"/>
      <c r="AE199" s="713"/>
      <c r="AF199" s="1128">
        <v>0.72682364609017891</v>
      </c>
      <c r="AG199" s="712"/>
      <c r="AH199" s="713"/>
      <c r="AI199" s="775">
        <v>0.75139134349433157</v>
      </c>
      <c r="AJ199" s="712"/>
      <c r="AK199" s="713"/>
      <c r="AL199" s="775">
        <v>0.74302651614692794</v>
      </c>
      <c r="AM199" s="712"/>
      <c r="AN199" s="713"/>
      <c r="AO199" s="775">
        <v>0.73737875013701992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thickTop="1">
      <c r="A200" s="39" t="str">
        <f t="shared" si="2"/>
        <v>Service</v>
      </c>
      <c r="B200" s="47"/>
      <c r="C200" s="715"/>
      <c r="D200" s="716"/>
      <c r="E200" s="776"/>
      <c r="F200" s="715"/>
      <c r="G200" s="716"/>
      <c r="H200" s="776"/>
      <c r="I200" s="715"/>
      <c r="J200" s="716"/>
      <c r="K200" s="776"/>
      <c r="L200" s="715"/>
      <c r="M200" s="716"/>
      <c r="N200" s="776"/>
      <c r="O200" s="715"/>
      <c r="P200" s="716"/>
      <c r="Q200" s="776"/>
      <c r="R200" s="715"/>
      <c r="S200" s="716"/>
      <c r="T200" s="776"/>
      <c r="U200" s="715"/>
      <c r="V200" s="716"/>
      <c r="W200" s="771"/>
      <c r="X200" s="715"/>
      <c r="Y200" s="716"/>
      <c r="Z200" s="771"/>
      <c r="AA200" s="715"/>
      <c r="AB200" s="716"/>
      <c r="AC200" s="771"/>
      <c r="AD200" s="715"/>
      <c r="AE200" s="716"/>
      <c r="AF200" s="771"/>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ServiceDEPENSES</v>
      </c>
      <c r="B201" s="5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cadres</v>
      </c>
      <c r="B202" s="54" t="s">
        <v>120</v>
      </c>
      <c r="C202" s="700"/>
      <c r="D202" s="707"/>
      <c r="E202" s="721">
        <v>183673.44999999998</v>
      </c>
      <c r="F202" s="700"/>
      <c r="G202" s="707"/>
      <c r="H202" s="721">
        <v>14849.23</v>
      </c>
      <c r="I202" s="700"/>
      <c r="J202" s="707"/>
      <c r="K202" s="721">
        <v>14675.88</v>
      </c>
      <c r="L202" s="700"/>
      <c r="M202" s="707"/>
      <c r="N202" s="721">
        <v>17089</v>
      </c>
      <c r="O202" s="700"/>
      <c r="P202" s="707"/>
      <c r="Q202" s="721">
        <v>14201.22</v>
      </c>
      <c r="R202" s="700"/>
      <c r="S202" s="707"/>
      <c r="T202" s="721">
        <v>16126.1</v>
      </c>
      <c r="U202" s="700"/>
      <c r="V202" s="707"/>
      <c r="W202" s="721">
        <v>16198.75</v>
      </c>
      <c r="X202" s="700"/>
      <c r="Y202" s="707"/>
      <c r="Z202" s="721">
        <v>13348.82</v>
      </c>
      <c r="AA202" s="700"/>
      <c r="AB202" s="707"/>
      <c r="AC202" s="721">
        <v>15957.95</v>
      </c>
      <c r="AD202" s="700"/>
      <c r="AE202" s="707"/>
      <c r="AF202" s="721">
        <v>15047.38</v>
      </c>
      <c r="AG202" s="700"/>
      <c r="AH202" s="707"/>
      <c r="AI202" s="721">
        <v>16024.81</v>
      </c>
      <c r="AJ202" s="700"/>
      <c r="AK202" s="707"/>
      <c r="AL202" s="721">
        <v>13027.88</v>
      </c>
      <c r="AM202" s="700"/>
      <c r="AN202" s="707"/>
      <c r="AO202" s="1109">
        <v>17126.43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commis</v>
      </c>
      <c r="B203" s="55" t="s">
        <v>121</v>
      </c>
      <c r="C203" s="700"/>
      <c r="D203" s="707"/>
      <c r="E203" s="721">
        <v>108261.98</v>
      </c>
      <c r="F203" s="700"/>
      <c r="G203" s="707"/>
      <c r="H203" s="721">
        <v>9106.5</v>
      </c>
      <c r="I203" s="700"/>
      <c r="J203" s="707"/>
      <c r="K203" s="721">
        <v>8467.49</v>
      </c>
      <c r="L203" s="700"/>
      <c r="M203" s="707"/>
      <c r="N203" s="721">
        <v>8555.6299999999992</v>
      </c>
      <c r="O203" s="700"/>
      <c r="P203" s="707"/>
      <c r="Q203" s="721">
        <v>7986.65</v>
      </c>
      <c r="R203" s="700"/>
      <c r="S203" s="707"/>
      <c r="T203" s="721">
        <v>6435.82</v>
      </c>
      <c r="U203" s="700"/>
      <c r="V203" s="707"/>
      <c r="W203" s="721">
        <v>8522.5</v>
      </c>
      <c r="X203" s="700"/>
      <c r="Y203" s="707"/>
      <c r="Z203" s="721">
        <v>8258.5</v>
      </c>
      <c r="AA203" s="700"/>
      <c r="AB203" s="707"/>
      <c r="AC203" s="721">
        <v>8950.11</v>
      </c>
      <c r="AD203" s="700"/>
      <c r="AE203" s="707"/>
      <c r="AF203" s="721">
        <v>11197.86</v>
      </c>
      <c r="AG203" s="700"/>
      <c r="AH203" s="707"/>
      <c r="AI203" s="721">
        <v>13008.31</v>
      </c>
      <c r="AJ203" s="700"/>
      <c r="AK203" s="707"/>
      <c r="AL203" s="721">
        <v>8512.83</v>
      </c>
      <c r="AM203" s="700"/>
      <c r="AN203" s="707"/>
      <c r="AO203" s="1109">
        <v>9259.7800000000007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autres</v>
      </c>
      <c r="B204" s="54" t="s">
        <v>122</v>
      </c>
      <c r="C204" s="1011"/>
      <c r="D204" s="1029"/>
      <c r="E204" s="1031">
        <v>228367.15999999997</v>
      </c>
      <c r="F204" s="1011"/>
      <c r="G204" s="1029"/>
      <c r="H204" s="1031">
        <v>16262.27</v>
      </c>
      <c r="I204" s="1011"/>
      <c r="J204" s="1029"/>
      <c r="K204" s="1031">
        <v>14529.05</v>
      </c>
      <c r="L204" s="1011"/>
      <c r="M204" s="1029"/>
      <c r="N204" s="1031">
        <v>16309.16</v>
      </c>
      <c r="O204" s="1011"/>
      <c r="P204" s="1029"/>
      <c r="Q204" s="1031">
        <v>24058.41</v>
      </c>
      <c r="R204" s="1011"/>
      <c r="S204" s="1029"/>
      <c r="T204" s="1031">
        <v>23882.37</v>
      </c>
      <c r="U204" s="1011"/>
      <c r="V204" s="1029"/>
      <c r="W204" s="1031">
        <v>15014.9</v>
      </c>
      <c r="X204" s="1011"/>
      <c r="Y204" s="1029"/>
      <c r="Z204" s="1031">
        <v>14236.65</v>
      </c>
      <c r="AA204" s="1011"/>
      <c r="AB204" s="1029"/>
      <c r="AC204" s="1031">
        <v>16216.28</v>
      </c>
      <c r="AD204" s="1011"/>
      <c r="AE204" s="1029"/>
      <c r="AF204" s="1031">
        <v>17080.45</v>
      </c>
      <c r="AG204" s="1011"/>
      <c r="AH204" s="1029"/>
      <c r="AI204" s="1031">
        <v>24939.74</v>
      </c>
      <c r="AJ204" s="1011"/>
      <c r="AK204" s="1029"/>
      <c r="AL204" s="1031">
        <v>30609.24</v>
      </c>
      <c r="AM204" s="1011"/>
      <c r="AN204" s="1029"/>
      <c r="AO204" s="1112">
        <v>15228.64</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2"/>
        <v>ServiceSalaires spécialistes</v>
      </c>
      <c r="B205" s="54" t="s">
        <v>123</v>
      </c>
      <c r="C205" s="700"/>
      <c r="D205" s="707"/>
      <c r="E205" s="721">
        <v>274785.39</v>
      </c>
      <c r="F205" s="700"/>
      <c r="G205" s="707"/>
      <c r="H205" s="721">
        <v>15854.86</v>
      </c>
      <c r="I205" s="700"/>
      <c r="J205" s="707"/>
      <c r="K205" s="721">
        <v>14700.61</v>
      </c>
      <c r="L205" s="700"/>
      <c r="M205" s="707"/>
      <c r="N205" s="721">
        <v>16437.28</v>
      </c>
      <c r="O205" s="700"/>
      <c r="P205" s="707"/>
      <c r="Q205" s="721">
        <v>24877.040000000001</v>
      </c>
      <c r="R205" s="700"/>
      <c r="S205" s="707"/>
      <c r="T205" s="721">
        <v>30524.63</v>
      </c>
      <c r="U205" s="700"/>
      <c r="V205" s="707"/>
      <c r="W205" s="721">
        <v>23505.88</v>
      </c>
      <c r="X205" s="700"/>
      <c r="Y205" s="707"/>
      <c r="Z205" s="721">
        <v>23437.83</v>
      </c>
      <c r="AA205" s="700"/>
      <c r="AB205" s="707"/>
      <c r="AC205" s="721">
        <v>27254.48</v>
      </c>
      <c r="AD205" s="700"/>
      <c r="AE205" s="707"/>
      <c r="AF205" s="721">
        <v>20452.490000000002</v>
      </c>
      <c r="AG205" s="700"/>
      <c r="AH205" s="707"/>
      <c r="AI205" s="721">
        <v>30312.31</v>
      </c>
      <c r="AJ205" s="700"/>
      <c r="AK205" s="707"/>
      <c r="AL205" s="721">
        <v>32534.71</v>
      </c>
      <c r="AM205" s="700"/>
      <c r="AN205" s="707"/>
      <c r="AO205" s="1109">
        <v>14893.27</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0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0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2"/>
        <v>Service[...]</v>
      </c>
      <c r="B208" s="44" t="s">
        <v>59</v>
      </c>
      <c r="C208" s="700"/>
      <c r="D208" s="707"/>
      <c r="E208" s="721"/>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110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ServiceSalaires en absences</v>
      </c>
      <c r="B209" s="55" t="s">
        <v>124</v>
      </c>
      <c r="C209" s="700"/>
      <c r="D209" s="707"/>
      <c r="E209" s="721">
        <v>196239.24</v>
      </c>
      <c r="F209" s="700"/>
      <c r="G209" s="707"/>
      <c r="H209" s="721">
        <v>15632.41</v>
      </c>
      <c r="I209" s="700"/>
      <c r="J209" s="707"/>
      <c r="K209" s="721">
        <v>12747.9</v>
      </c>
      <c r="L209" s="700"/>
      <c r="M209" s="707"/>
      <c r="N209" s="721">
        <v>13993.31</v>
      </c>
      <c r="O209" s="700"/>
      <c r="P209" s="707"/>
      <c r="Q209" s="721">
        <v>17889.96</v>
      </c>
      <c r="R209" s="700"/>
      <c r="S209" s="707"/>
      <c r="T209" s="721">
        <v>20248.400000000001</v>
      </c>
      <c r="U209" s="700"/>
      <c r="V209" s="707"/>
      <c r="W209" s="721">
        <v>15666.38</v>
      </c>
      <c r="X209" s="700"/>
      <c r="Y209" s="707"/>
      <c r="Z209" s="721">
        <v>15719.95</v>
      </c>
      <c r="AA209" s="700"/>
      <c r="AB209" s="707"/>
      <c r="AC209" s="721">
        <v>15814.18</v>
      </c>
      <c r="AD209" s="700"/>
      <c r="AE209" s="707"/>
      <c r="AF209" s="721">
        <v>13494.11</v>
      </c>
      <c r="AG209" s="700"/>
      <c r="AH209" s="707"/>
      <c r="AI209" s="721">
        <v>20141.89</v>
      </c>
      <c r="AJ209" s="700"/>
      <c r="AK209" s="707"/>
      <c r="AL209" s="721">
        <v>20321.88</v>
      </c>
      <c r="AM209" s="700"/>
      <c r="AN209" s="707"/>
      <c r="AO209" s="1109">
        <v>14568.87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ServiceDéduction à la source</v>
      </c>
      <c r="B210" s="54" t="s">
        <v>125</v>
      </c>
      <c r="C210" s="1011"/>
      <c r="D210" s="1029"/>
      <c r="E210" s="1031">
        <v>245070.75</v>
      </c>
      <c r="F210" s="1011"/>
      <c r="G210" s="1029"/>
      <c r="H210" s="1031">
        <v>18756.32</v>
      </c>
      <c r="I210" s="1011"/>
      <c r="J210" s="1029"/>
      <c r="K210" s="1031">
        <v>15622.95</v>
      </c>
      <c r="L210" s="1011"/>
      <c r="M210" s="1029"/>
      <c r="N210" s="1031">
        <v>16705.810000000001</v>
      </c>
      <c r="O210" s="1011"/>
      <c r="P210" s="1029"/>
      <c r="Q210" s="1031">
        <v>22915.759999999998</v>
      </c>
      <c r="R210" s="1011"/>
      <c r="S210" s="1029"/>
      <c r="T210" s="1031">
        <v>24326.74</v>
      </c>
      <c r="U210" s="1011"/>
      <c r="V210" s="1029"/>
      <c r="W210" s="1031">
        <v>19320.64</v>
      </c>
      <c r="X210" s="1011"/>
      <c r="Y210" s="1029"/>
      <c r="Z210" s="1031">
        <v>19588.689999999999</v>
      </c>
      <c r="AA210" s="1011"/>
      <c r="AB210" s="1029"/>
      <c r="AC210" s="1031">
        <v>19763.599999999999</v>
      </c>
      <c r="AD210" s="1011"/>
      <c r="AE210" s="1029"/>
      <c r="AF210" s="1031">
        <v>16543.66</v>
      </c>
      <c r="AG210" s="1011"/>
      <c r="AH210" s="1029"/>
      <c r="AI210" s="1031">
        <v>24695.16</v>
      </c>
      <c r="AJ210" s="1011"/>
      <c r="AK210" s="1029"/>
      <c r="AL210" s="1031">
        <v>28350.55</v>
      </c>
      <c r="AM210" s="1011"/>
      <c r="AN210" s="1029"/>
      <c r="AO210" s="1112">
        <v>18480.87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ServiceBénéfices marginaux</v>
      </c>
      <c r="B211" s="54" t="s">
        <v>126</v>
      </c>
      <c r="C211" s="700"/>
      <c r="D211" s="707"/>
      <c r="E211" s="721">
        <v>124140.50999999997</v>
      </c>
      <c r="F211" s="700"/>
      <c r="G211" s="707"/>
      <c r="H211" s="721">
        <v>9703.1299999999992</v>
      </c>
      <c r="I211" s="700"/>
      <c r="J211" s="707"/>
      <c r="K211" s="721">
        <v>8530.35</v>
      </c>
      <c r="L211" s="700"/>
      <c r="M211" s="707"/>
      <c r="N211" s="721">
        <v>8464.64</v>
      </c>
      <c r="O211" s="700"/>
      <c r="P211" s="707"/>
      <c r="Q211" s="721">
        <v>11908.5</v>
      </c>
      <c r="R211" s="700"/>
      <c r="S211" s="707"/>
      <c r="T211" s="721">
        <v>12104.1</v>
      </c>
      <c r="U211" s="700"/>
      <c r="V211" s="707"/>
      <c r="W211" s="721">
        <v>9714.61</v>
      </c>
      <c r="X211" s="700"/>
      <c r="Y211" s="707"/>
      <c r="Z211" s="721">
        <v>9363.9599999999991</v>
      </c>
      <c r="AA211" s="700"/>
      <c r="AB211" s="707"/>
      <c r="AC211" s="721">
        <v>11229.07</v>
      </c>
      <c r="AD211" s="700"/>
      <c r="AE211" s="707"/>
      <c r="AF211" s="721">
        <v>7246.2999999999902</v>
      </c>
      <c r="AG211" s="700"/>
      <c r="AH211" s="707"/>
      <c r="AI211" s="721">
        <v>12507.22</v>
      </c>
      <c r="AJ211" s="700"/>
      <c r="AK211" s="707"/>
      <c r="AL211" s="721">
        <v>14431.68</v>
      </c>
      <c r="AM211" s="700"/>
      <c r="AN211" s="707"/>
      <c r="AO211" s="1109">
        <v>8936.9500000000007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ServiceCsst</v>
      </c>
      <c r="B212" s="54" t="s">
        <v>127</v>
      </c>
      <c r="C212" s="700"/>
      <c r="D212" s="707"/>
      <c r="E212" s="721">
        <v>50164.719999999994</v>
      </c>
      <c r="F212" s="700"/>
      <c r="G212" s="707"/>
      <c r="H212" s="721">
        <v>4046.96</v>
      </c>
      <c r="I212" s="700"/>
      <c r="J212" s="707"/>
      <c r="K212" s="721">
        <v>4013.11</v>
      </c>
      <c r="L212" s="700"/>
      <c r="M212" s="707"/>
      <c r="N212" s="721">
        <v>3790.27</v>
      </c>
      <c r="O212" s="700"/>
      <c r="P212" s="707"/>
      <c r="Q212" s="721">
        <v>4529.1000000000004</v>
      </c>
      <c r="R212" s="700"/>
      <c r="S212" s="707"/>
      <c r="T212" s="721">
        <v>4882.72</v>
      </c>
      <c r="U212" s="700"/>
      <c r="V212" s="707"/>
      <c r="W212" s="721">
        <v>3839.48</v>
      </c>
      <c r="X212" s="700"/>
      <c r="Y212" s="707"/>
      <c r="Z212" s="721">
        <v>4356.6099999999997</v>
      </c>
      <c r="AA212" s="700"/>
      <c r="AB212" s="707"/>
      <c r="AC212" s="721">
        <v>4409.13</v>
      </c>
      <c r="AD212" s="700"/>
      <c r="AE212" s="707"/>
      <c r="AF212" s="721">
        <v>3495.07</v>
      </c>
      <c r="AG212" s="700"/>
      <c r="AH212" s="707"/>
      <c r="AI212" s="721">
        <v>5100.5</v>
      </c>
      <c r="AJ212" s="700"/>
      <c r="AK212" s="707"/>
      <c r="AL212" s="721">
        <v>3594.32</v>
      </c>
      <c r="AM212" s="700"/>
      <c r="AN212" s="707"/>
      <c r="AO212" s="1109">
        <v>4107.45</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2"/>
        <v>Service[...]</v>
      </c>
      <c r="B213" s="44" t="s">
        <v>59</v>
      </c>
      <c r="C213" s="726"/>
      <c r="D213" s="727"/>
      <c r="E213" s="724"/>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ServiceTOTAL PERSONNEL</v>
      </c>
      <c r="B214" s="53" t="s">
        <v>128</v>
      </c>
      <c r="C214" s="1024" t="s">
        <v>175</v>
      </c>
      <c r="D214" s="1025">
        <v>0.48429570462199467</v>
      </c>
      <c r="E214" s="1026">
        <v>1410703.2</v>
      </c>
      <c r="F214" s="1024" t="s">
        <v>175</v>
      </c>
      <c r="G214" s="1025">
        <v>0</v>
      </c>
      <c r="H214" s="1026">
        <v>104211.68000000001</v>
      </c>
      <c r="I214" s="1024" t="s">
        <v>175</v>
      </c>
      <c r="J214" s="1025">
        <v>0</v>
      </c>
      <c r="K214" s="1026">
        <v>93287.340000000011</v>
      </c>
      <c r="L214" s="1024" t="s">
        <v>175</v>
      </c>
      <c r="M214" s="1025">
        <v>0</v>
      </c>
      <c r="N214" s="1026">
        <v>101345.09999999999</v>
      </c>
      <c r="O214" s="1024" t="s">
        <v>175</v>
      </c>
      <c r="P214" s="1025">
        <v>0</v>
      </c>
      <c r="Q214" s="1026">
        <v>128366.64</v>
      </c>
      <c r="R214" s="1024" t="s">
        <v>175</v>
      </c>
      <c r="S214" s="1025">
        <v>0</v>
      </c>
      <c r="T214" s="1026">
        <v>138530.88</v>
      </c>
      <c r="U214" s="1024" t="s">
        <v>175</v>
      </c>
      <c r="V214" s="1025">
        <v>0</v>
      </c>
      <c r="W214" s="1111">
        <v>111783.14</v>
      </c>
      <c r="X214" s="1024" t="s">
        <v>175</v>
      </c>
      <c r="Y214" s="1025">
        <v>0</v>
      </c>
      <c r="Z214" s="1111">
        <v>108311.01</v>
      </c>
      <c r="AA214" s="1024" t="s">
        <v>175</v>
      </c>
      <c r="AB214" s="1025">
        <v>0</v>
      </c>
      <c r="AC214" s="1111">
        <v>119594.80000000002</v>
      </c>
      <c r="AD214" s="1024" t="s">
        <v>175</v>
      </c>
      <c r="AE214" s="1025">
        <v>0</v>
      </c>
      <c r="AF214" s="1111">
        <v>104557.32</v>
      </c>
      <c r="AG214" s="1024" t="s">
        <v>175</v>
      </c>
      <c r="AH214" s="1025">
        <v>0</v>
      </c>
      <c r="AI214" s="1026">
        <v>146729.94</v>
      </c>
      <c r="AJ214" s="1024" t="s">
        <v>175</v>
      </c>
      <c r="AK214" s="1025">
        <v>0</v>
      </c>
      <c r="AL214" s="1026">
        <v>151383.09</v>
      </c>
      <c r="AM214" s="1024" t="s">
        <v>175</v>
      </c>
      <c r="AN214" s="1025">
        <v>0</v>
      </c>
      <c r="AO214" s="1026">
        <v>102602.25999999998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ServicePublicité 2</v>
      </c>
      <c r="B215" s="44" t="s">
        <v>129</v>
      </c>
      <c r="C215" s="700"/>
      <c r="D215" s="707"/>
      <c r="E215" s="721">
        <v>149360.56999999998</v>
      </c>
      <c r="F215" s="700"/>
      <c r="G215" s="707"/>
      <c r="H215" s="721">
        <v>15287.83</v>
      </c>
      <c r="I215" s="700"/>
      <c r="J215" s="707"/>
      <c r="K215" s="721">
        <v>10924.02</v>
      </c>
      <c r="L215" s="700"/>
      <c r="M215" s="707"/>
      <c r="N215" s="721">
        <v>13734.02</v>
      </c>
      <c r="O215" s="700"/>
      <c r="P215" s="707"/>
      <c r="Q215" s="721">
        <v>20858.59</v>
      </c>
      <c r="R215" s="700"/>
      <c r="S215" s="707"/>
      <c r="T215" s="721">
        <v>15357.7</v>
      </c>
      <c r="U215" s="700"/>
      <c r="V215" s="707"/>
      <c r="W215" s="721">
        <v>10453.17</v>
      </c>
      <c r="X215" s="700"/>
      <c r="Y215" s="707"/>
      <c r="Z215" s="721">
        <v>10953.22</v>
      </c>
      <c r="AA215" s="700"/>
      <c r="AB215" s="707"/>
      <c r="AC215" s="721">
        <v>11626.62</v>
      </c>
      <c r="AD215" s="700"/>
      <c r="AE215" s="707"/>
      <c r="AF215" s="721">
        <v>7362.47</v>
      </c>
      <c r="AG215" s="700"/>
      <c r="AH215" s="707"/>
      <c r="AI215" s="721">
        <v>10327.75</v>
      </c>
      <c r="AJ215" s="700"/>
      <c r="AK215" s="707"/>
      <c r="AL215" s="721">
        <v>15120.44</v>
      </c>
      <c r="AM215" s="700"/>
      <c r="AN215" s="707"/>
      <c r="AO215" s="1109">
        <v>7354.74</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ServiceService gratuit 2</v>
      </c>
      <c r="B216" s="44" t="s">
        <v>130</v>
      </c>
      <c r="C216" s="700"/>
      <c r="D216" s="707"/>
      <c r="E216" s="721">
        <v>39169.07999999998</v>
      </c>
      <c r="F216" s="700"/>
      <c r="G216" s="707"/>
      <c r="H216" s="721">
        <v>1820.45</v>
      </c>
      <c r="I216" s="700"/>
      <c r="J216" s="707"/>
      <c r="K216" s="721">
        <v>3416.5899999999901</v>
      </c>
      <c r="L216" s="700"/>
      <c r="M216" s="707"/>
      <c r="N216" s="721">
        <v>4779.6099999999997</v>
      </c>
      <c r="O216" s="700"/>
      <c r="P216" s="707"/>
      <c r="Q216" s="721">
        <v>3861.29</v>
      </c>
      <c r="R216" s="700"/>
      <c r="S216" s="707"/>
      <c r="T216" s="721">
        <v>4586.43</v>
      </c>
      <c r="U216" s="700"/>
      <c r="V216" s="707"/>
      <c r="W216" s="721">
        <v>4147.28</v>
      </c>
      <c r="X216" s="700"/>
      <c r="Y216" s="707"/>
      <c r="Z216" s="721">
        <v>1302.06</v>
      </c>
      <c r="AA216" s="700"/>
      <c r="AB216" s="707"/>
      <c r="AC216" s="721">
        <v>4457.92</v>
      </c>
      <c r="AD216" s="700"/>
      <c r="AE216" s="707"/>
      <c r="AF216" s="721">
        <v>2261.8000000000002</v>
      </c>
      <c r="AG216" s="700"/>
      <c r="AH216" s="707"/>
      <c r="AI216" s="721">
        <v>3001.7999999999902</v>
      </c>
      <c r="AJ216" s="700"/>
      <c r="AK216" s="707"/>
      <c r="AL216" s="721">
        <v>3537.33</v>
      </c>
      <c r="AM216" s="700"/>
      <c r="AN216" s="707"/>
      <c r="AO216" s="1109">
        <v>1996.52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véhicules de cie</v>
      </c>
      <c r="B217" s="43" t="s">
        <v>131</v>
      </c>
      <c r="C217" s="726"/>
      <c r="D217" s="727"/>
      <c r="E217" s="725">
        <v>142035.80000000002</v>
      </c>
      <c r="F217" s="726"/>
      <c r="G217" s="727"/>
      <c r="H217" s="725">
        <v>5402.51</v>
      </c>
      <c r="I217" s="726"/>
      <c r="J217" s="727"/>
      <c r="K217" s="725">
        <v>9690.11</v>
      </c>
      <c r="L217" s="726"/>
      <c r="M217" s="727"/>
      <c r="N217" s="725">
        <v>10165.459999999999</v>
      </c>
      <c r="O217" s="726"/>
      <c r="P217" s="727"/>
      <c r="Q217" s="725">
        <v>12388.42</v>
      </c>
      <c r="R217" s="726"/>
      <c r="S217" s="727"/>
      <c r="T217" s="725">
        <v>12345.56</v>
      </c>
      <c r="U217" s="726"/>
      <c r="V217" s="727"/>
      <c r="W217" s="725">
        <v>10331.08</v>
      </c>
      <c r="X217" s="726"/>
      <c r="Y217" s="727"/>
      <c r="Z217" s="725">
        <v>12916.71</v>
      </c>
      <c r="AA217" s="726"/>
      <c r="AB217" s="727"/>
      <c r="AC217" s="725">
        <v>7819.27</v>
      </c>
      <c r="AD217" s="726"/>
      <c r="AE217" s="727"/>
      <c r="AF217" s="725">
        <v>15661.24</v>
      </c>
      <c r="AG217" s="726"/>
      <c r="AH217" s="727"/>
      <c r="AI217" s="725">
        <v>15650.98</v>
      </c>
      <c r="AJ217" s="726"/>
      <c r="AK217" s="727"/>
      <c r="AL217" s="725">
        <v>17276.77</v>
      </c>
      <c r="AM217" s="726"/>
      <c r="AN217" s="727"/>
      <c r="AO217" s="1110">
        <v>12387.69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ServiceInformatique</v>
      </c>
      <c r="B218" s="44" t="s">
        <v>132</v>
      </c>
      <c r="C218" s="700"/>
      <c r="D218" s="707"/>
      <c r="E218" s="721">
        <v>62524.26</v>
      </c>
      <c r="F218" s="700"/>
      <c r="G218" s="707"/>
      <c r="H218" s="721">
        <v>4471.2299999999996</v>
      </c>
      <c r="I218" s="700"/>
      <c r="J218" s="707"/>
      <c r="K218" s="721">
        <v>5191.2</v>
      </c>
      <c r="L218" s="700"/>
      <c r="M218" s="707"/>
      <c r="N218" s="721">
        <v>5301.19</v>
      </c>
      <c r="O218" s="700"/>
      <c r="P218" s="707"/>
      <c r="Q218" s="721">
        <v>4747.1400000000003</v>
      </c>
      <c r="R218" s="700"/>
      <c r="S218" s="707"/>
      <c r="T218" s="721">
        <v>6920.01</v>
      </c>
      <c r="U218" s="700"/>
      <c r="V218" s="707"/>
      <c r="W218" s="721">
        <v>4784.91</v>
      </c>
      <c r="X218" s="700"/>
      <c r="Y218" s="707"/>
      <c r="Z218" s="721">
        <v>5080.0200000000004</v>
      </c>
      <c r="AA218" s="700"/>
      <c r="AB218" s="707"/>
      <c r="AC218" s="721">
        <v>5210.01</v>
      </c>
      <c r="AD218" s="700"/>
      <c r="AE218" s="707"/>
      <c r="AF218" s="721">
        <v>4887.62</v>
      </c>
      <c r="AG218" s="700"/>
      <c r="AH218" s="707"/>
      <c r="AI218" s="721">
        <v>4509.63</v>
      </c>
      <c r="AJ218" s="700"/>
      <c r="AK218" s="707"/>
      <c r="AL218" s="721">
        <v>4199.25</v>
      </c>
      <c r="AM218" s="700"/>
      <c r="AN218" s="707"/>
      <c r="AO218" s="1109">
        <v>7222.05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ServiceFrais de déplacement</v>
      </c>
      <c r="B219" s="44" t="s">
        <v>133</v>
      </c>
      <c r="C219" s="700"/>
      <c r="D219" s="707"/>
      <c r="E219" s="721">
        <v>15061.8</v>
      </c>
      <c r="F219" s="700"/>
      <c r="G219" s="707"/>
      <c r="H219" s="721">
        <v>1484.44</v>
      </c>
      <c r="I219" s="700"/>
      <c r="J219" s="707"/>
      <c r="K219" s="721">
        <v>699.39</v>
      </c>
      <c r="L219" s="700"/>
      <c r="M219" s="707"/>
      <c r="N219" s="721">
        <v>713.23</v>
      </c>
      <c r="O219" s="700"/>
      <c r="P219" s="707"/>
      <c r="Q219" s="721">
        <v>2197.58</v>
      </c>
      <c r="R219" s="700"/>
      <c r="S219" s="707"/>
      <c r="T219" s="721">
        <v>1292</v>
      </c>
      <c r="U219" s="700"/>
      <c r="V219" s="707"/>
      <c r="W219" s="721">
        <v>1689.72</v>
      </c>
      <c r="X219" s="700"/>
      <c r="Y219" s="707"/>
      <c r="Z219" s="721">
        <v>669.31</v>
      </c>
      <c r="AA219" s="700"/>
      <c r="AB219" s="707"/>
      <c r="AC219" s="721">
        <v>844.56</v>
      </c>
      <c r="AD219" s="700"/>
      <c r="AE219" s="707"/>
      <c r="AF219" s="721">
        <v>638.63</v>
      </c>
      <c r="AG219" s="700"/>
      <c r="AH219" s="707"/>
      <c r="AI219" s="721">
        <v>1794.7</v>
      </c>
      <c r="AJ219" s="700"/>
      <c r="AK219" s="707"/>
      <c r="AL219" s="721">
        <v>1303.33</v>
      </c>
      <c r="AM219" s="700"/>
      <c r="AN219" s="707"/>
      <c r="AO219" s="1109">
        <v>1734.91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ServiceServices extérieurs</v>
      </c>
      <c r="B220" s="43" t="s">
        <v>134</v>
      </c>
      <c r="C220" s="726"/>
      <c r="D220" s="727"/>
      <c r="E220" s="725">
        <v>189362.94999999998</v>
      </c>
      <c r="F220" s="726"/>
      <c r="G220" s="727"/>
      <c r="H220" s="725">
        <v>12092.22</v>
      </c>
      <c r="I220" s="726"/>
      <c r="J220" s="727"/>
      <c r="K220" s="725">
        <v>15317.24</v>
      </c>
      <c r="L220" s="726"/>
      <c r="M220" s="727"/>
      <c r="N220" s="725">
        <v>17978.91</v>
      </c>
      <c r="O220" s="726"/>
      <c r="P220" s="727"/>
      <c r="Q220" s="725">
        <v>16230.76</v>
      </c>
      <c r="R220" s="726"/>
      <c r="S220" s="727"/>
      <c r="T220" s="725">
        <v>17314.099999999999</v>
      </c>
      <c r="U220" s="726"/>
      <c r="V220" s="727"/>
      <c r="W220" s="725">
        <v>12639.85</v>
      </c>
      <c r="X220" s="726"/>
      <c r="Y220" s="727"/>
      <c r="Z220" s="725">
        <v>18251.97</v>
      </c>
      <c r="AA220" s="726"/>
      <c r="AB220" s="727"/>
      <c r="AC220" s="725">
        <v>13899.75</v>
      </c>
      <c r="AD220" s="726"/>
      <c r="AE220" s="727"/>
      <c r="AF220" s="725">
        <v>14265.64</v>
      </c>
      <c r="AG220" s="726"/>
      <c r="AH220" s="727"/>
      <c r="AI220" s="725">
        <v>18700.53</v>
      </c>
      <c r="AJ220" s="726"/>
      <c r="AK220" s="727"/>
      <c r="AL220" s="725">
        <v>18392.89</v>
      </c>
      <c r="AM220" s="726"/>
      <c r="AN220" s="727"/>
      <c r="AO220" s="1110">
        <v>14279.09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d'atelier</v>
      </c>
      <c r="B221" s="44" t="s">
        <v>489</v>
      </c>
      <c r="C221" s="700"/>
      <c r="D221" s="707"/>
      <c r="E221" s="721">
        <v>0</v>
      </c>
      <c r="F221" s="700"/>
      <c r="G221" s="707"/>
      <c r="H221" s="721">
        <v>0</v>
      </c>
      <c r="I221" s="700"/>
      <c r="J221" s="707"/>
      <c r="K221" s="721">
        <v>0</v>
      </c>
      <c r="L221" s="700"/>
      <c r="M221" s="707"/>
      <c r="N221" s="721">
        <v>0</v>
      </c>
      <c r="O221" s="700"/>
      <c r="P221" s="707"/>
      <c r="Q221" s="721">
        <v>0</v>
      </c>
      <c r="R221" s="700"/>
      <c r="S221" s="707"/>
      <c r="T221" s="721">
        <v>0</v>
      </c>
      <c r="U221" s="700"/>
      <c r="V221" s="707"/>
      <c r="W221" s="721">
        <v>0</v>
      </c>
      <c r="X221" s="700"/>
      <c r="Y221" s="707"/>
      <c r="Z221" s="721">
        <v>0</v>
      </c>
      <c r="AA221" s="700"/>
      <c r="AB221" s="707"/>
      <c r="AC221" s="721">
        <v>0</v>
      </c>
      <c r="AD221" s="700"/>
      <c r="AE221" s="707"/>
      <c r="AF221" s="721">
        <v>0</v>
      </c>
      <c r="AG221" s="700"/>
      <c r="AH221" s="707"/>
      <c r="AI221" s="721">
        <v>0</v>
      </c>
      <c r="AJ221" s="700"/>
      <c r="AK221" s="707"/>
      <c r="AL221" s="721">
        <v>0</v>
      </c>
      <c r="AM221" s="700"/>
      <c r="AN221" s="707"/>
      <c r="AO221" s="1109">
        <v>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ServiceFournitures autres</v>
      </c>
      <c r="B222" s="44" t="s">
        <v>135</v>
      </c>
      <c r="C222" s="700"/>
      <c r="D222" s="707"/>
      <c r="E222" s="721">
        <v>53124.46</v>
      </c>
      <c r="F222" s="700"/>
      <c r="G222" s="707"/>
      <c r="H222" s="721">
        <v>3709.05</v>
      </c>
      <c r="I222" s="700"/>
      <c r="J222" s="707"/>
      <c r="K222" s="721">
        <v>6854.16</v>
      </c>
      <c r="L222" s="700"/>
      <c r="M222" s="707"/>
      <c r="N222" s="721">
        <v>4593.95</v>
      </c>
      <c r="O222" s="700"/>
      <c r="P222" s="707"/>
      <c r="Q222" s="721">
        <v>5855.42</v>
      </c>
      <c r="R222" s="700"/>
      <c r="S222" s="707"/>
      <c r="T222" s="721">
        <v>6967.67</v>
      </c>
      <c r="U222" s="700"/>
      <c r="V222" s="707"/>
      <c r="W222" s="721">
        <v>1955.12</v>
      </c>
      <c r="X222" s="700"/>
      <c r="Y222" s="707"/>
      <c r="Z222" s="721">
        <v>3095.58</v>
      </c>
      <c r="AA222" s="700"/>
      <c r="AB222" s="707"/>
      <c r="AC222" s="721">
        <v>7129.03</v>
      </c>
      <c r="AD222" s="700"/>
      <c r="AE222" s="707"/>
      <c r="AF222" s="721">
        <v>4463.1000000000004</v>
      </c>
      <c r="AG222" s="700"/>
      <c r="AH222" s="707"/>
      <c r="AI222" s="721">
        <v>4281.8</v>
      </c>
      <c r="AJ222" s="700"/>
      <c r="AK222" s="707"/>
      <c r="AL222" s="721">
        <v>2198</v>
      </c>
      <c r="AM222" s="700"/>
      <c r="AN222" s="707"/>
      <c r="AO222" s="1109">
        <v>2021.58</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ServiceUniformes</v>
      </c>
      <c r="B223" s="44" t="s">
        <v>136</v>
      </c>
      <c r="C223" s="700"/>
      <c r="D223" s="707"/>
      <c r="E223" s="721">
        <v>9617.7300000000014</v>
      </c>
      <c r="F223" s="700"/>
      <c r="G223" s="707"/>
      <c r="H223" s="721">
        <v>578.16999999999996</v>
      </c>
      <c r="I223" s="700"/>
      <c r="J223" s="707"/>
      <c r="K223" s="721">
        <v>605.89</v>
      </c>
      <c r="L223" s="700"/>
      <c r="M223" s="707"/>
      <c r="N223" s="721">
        <v>510.87</v>
      </c>
      <c r="O223" s="700"/>
      <c r="P223" s="707"/>
      <c r="Q223" s="721">
        <v>793.22</v>
      </c>
      <c r="R223" s="700"/>
      <c r="S223" s="707"/>
      <c r="T223" s="721">
        <v>785.83</v>
      </c>
      <c r="U223" s="700"/>
      <c r="V223" s="707"/>
      <c r="W223" s="721">
        <v>1429.5</v>
      </c>
      <c r="X223" s="700"/>
      <c r="Y223" s="707"/>
      <c r="Z223" s="721">
        <v>699.73</v>
      </c>
      <c r="AA223" s="700"/>
      <c r="AB223" s="707"/>
      <c r="AC223" s="721">
        <v>1109.3</v>
      </c>
      <c r="AD223" s="700"/>
      <c r="AE223" s="707"/>
      <c r="AF223" s="721">
        <v>1000.92</v>
      </c>
      <c r="AG223" s="700"/>
      <c r="AH223" s="707"/>
      <c r="AI223" s="721">
        <v>798.57</v>
      </c>
      <c r="AJ223" s="700"/>
      <c r="AK223" s="707"/>
      <c r="AL223" s="721">
        <v>373.79</v>
      </c>
      <c r="AM223" s="700"/>
      <c r="AN223" s="707"/>
      <c r="AO223" s="1109">
        <v>931.94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ServicePapeterie</v>
      </c>
      <c r="B224" s="44" t="s">
        <v>137</v>
      </c>
      <c r="C224" s="700"/>
      <c r="D224" s="707"/>
      <c r="E224" s="721">
        <v>9465.39</v>
      </c>
      <c r="F224" s="700"/>
      <c r="G224" s="707"/>
      <c r="H224" s="721">
        <v>121.3</v>
      </c>
      <c r="I224" s="700"/>
      <c r="J224" s="707"/>
      <c r="K224" s="721">
        <v>781.46</v>
      </c>
      <c r="L224" s="700"/>
      <c r="M224" s="707"/>
      <c r="N224" s="721">
        <v>1332.33</v>
      </c>
      <c r="O224" s="700"/>
      <c r="P224" s="707"/>
      <c r="Q224" s="721">
        <v>43.61</v>
      </c>
      <c r="R224" s="700"/>
      <c r="S224" s="707"/>
      <c r="T224" s="721">
        <v>785.52</v>
      </c>
      <c r="U224" s="700"/>
      <c r="V224" s="707"/>
      <c r="W224" s="721">
        <v>498.88</v>
      </c>
      <c r="X224" s="700"/>
      <c r="Y224" s="707"/>
      <c r="Z224" s="721">
        <v>2994.06</v>
      </c>
      <c r="AA224" s="700"/>
      <c r="AB224" s="707"/>
      <c r="AC224" s="721">
        <v>1223.07</v>
      </c>
      <c r="AD224" s="700"/>
      <c r="AE224" s="707"/>
      <c r="AF224" s="721">
        <v>224.65</v>
      </c>
      <c r="AG224" s="700"/>
      <c r="AH224" s="707"/>
      <c r="AI224" s="721">
        <v>44.21</v>
      </c>
      <c r="AJ224" s="700"/>
      <c r="AK224" s="707"/>
      <c r="AL224" s="721">
        <v>1099.77</v>
      </c>
      <c r="AM224" s="700"/>
      <c r="AN224" s="707"/>
      <c r="AO224" s="1109">
        <v>316.52999999999997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ServiceTéléphone</v>
      </c>
      <c r="B225" s="44" t="s">
        <v>138</v>
      </c>
      <c r="C225" s="700"/>
      <c r="D225" s="707"/>
      <c r="E225" s="721">
        <v>2572.5700000000002</v>
      </c>
      <c r="F225" s="700"/>
      <c r="G225" s="707"/>
      <c r="H225" s="721">
        <v>263.5</v>
      </c>
      <c r="I225" s="700"/>
      <c r="J225" s="707"/>
      <c r="K225" s="721">
        <v>226.91</v>
      </c>
      <c r="L225" s="700"/>
      <c r="M225" s="707"/>
      <c r="N225" s="721">
        <v>194.74</v>
      </c>
      <c r="O225" s="700"/>
      <c r="P225" s="707"/>
      <c r="Q225" s="721">
        <v>201.64</v>
      </c>
      <c r="R225" s="700"/>
      <c r="S225" s="707"/>
      <c r="T225" s="721">
        <v>223.36</v>
      </c>
      <c r="U225" s="700"/>
      <c r="V225" s="707"/>
      <c r="W225" s="721">
        <v>189.37</v>
      </c>
      <c r="X225" s="700"/>
      <c r="Y225" s="707"/>
      <c r="Z225" s="721">
        <v>161.29</v>
      </c>
      <c r="AA225" s="700"/>
      <c r="AB225" s="707"/>
      <c r="AC225" s="721">
        <v>252.33</v>
      </c>
      <c r="AD225" s="700"/>
      <c r="AE225" s="707"/>
      <c r="AF225" s="721">
        <v>201.17</v>
      </c>
      <c r="AG225" s="700"/>
      <c r="AH225" s="707"/>
      <c r="AI225" s="721">
        <v>233.49</v>
      </c>
      <c r="AJ225" s="700"/>
      <c r="AK225" s="707"/>
      <c r="AL225" s="721">
        <v>223.89</v>
      </c>
      <c r="AM225" s="700"/>
      <c r="AN225" s="707"/>
      <c r="AO225" s="1109">
        <v>200.88</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ServiceFrais postaux</v>
      </c>
      <c r="B226" s="44" t="s">
        <v>139</v>
      </c>
      <c r="C226" s="700"/>
      <c r="D226" s="707"/>
      <c r="E226" s="721">
        <v>2562.37</v>
      </c>
      <c r="F226" s="700"/>
      <c r="G226" s="707"/>
      <c r="H226" s="721">
        <v>544.33000000000004</v>
      </c>
      <c r="I226" s="700"/>
      <c r="J226" s="707"/>
      <c r="K226" s="721">
        <v>335.92</v>
      </c>
      <c r="L226" s="700"/>
      <c r="M226" s="707"/>
      <c r="N226" s="721">
        <v>491.87</v>
      </c>
      <c r="O226" s="700"/>
      <c r="P226" s="707"/>
      <c r="Q226" s="721">
        <v>551.49</v>
      </c>
      <c r="R226" s="700"/>
      <c r="S226" s="707"/>
      <c r="T226" s="721">
        <v>158.37</v>
      </c>
      <c r="U226" s="700"/>
      <c r="V226" s="707"/>
      <c r="W226" s="721">
        <v>66.27</v>
      </c>
      <c r="X226" s="700"/>
      <c r="Y226" s="707"/>
      <c r="Z226" s="721">
        <v>40.950000000000003</v>
      </c>
      <c r="AA226" s="700"/>
      <c r="AB226" s="707"/>
      <c r="AC226" s="721">
        <v>153.1</v>
      </c>
      <c r="AD226" s="700"/>
      <c r="AE226" s="707"/>
      <c r="AF226" s="721">
        <v>58.63</v>
      </c>
      <c r="AG226" s="700"/>
      <c r="AH226" s="707"/>
      <c r="AI226" s="721">
        <v>65.45</v>
      </c>
      <c r="AJ226" s="700"/>
      <c r="AK226" s="707"/>
      <c r="AL226" s="721">
        <v>-62.5</v>
      </c>
      <c r="AM226" s="700"/>
      <c r="AN226" s="707"/>
      <c r="AO226" s="1109">
        <v>158.49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ServiceDivers</v>
      </c>
      <c r="B227" s="44" t="s">
        <v>140</v>
      </c>
      <c r="C227" s="700"/>
      <c r="D227" s="707"/>
      <c r="E227" s="721">
        <v>1497.13</v>
      </c>
      <c r="F227" s="700"/>
      <c r="G227" s="707"/>
      <c r="H227" s="721">
        <v>67.069999999999993</v>
      </c>
      <c r="I227" s="700"/>
      <c r="J227" s="707"/>
      <c r="K227" s="721">
        <v>53.4</v>
      </c>
      <c r="L227" s="700"/>
      <c r="M227" s="707"/>
      <c r="N227" s="721">
        <v>53.41</v>
      </c>
      <c r="O227" s="700"/>
      <c r="P227" s="707"/>
      <c r="Q227" s="721">
        <v>90.81</v>
      </c>
      <c r="R227" s="700"/>
      <c r="S227" s="707"/>
      <c r="T227" s="721">
        <v>83.76</v>
      </c>
      <c r="U227" s="700"/>
      <c r="V227" s="707"/>
      <c r="W227" s="721">
        <v>47.04</v>
      </c>
      <c r="X227" s="700"/>
      <c r="Y227" s="707"/>
      <c r="Z227" s="721">
        <v>47.04</v>
      </c>
      <c r="AA227" s="700"/>
      <c r="AB227" s="707"/>
      <c r="AC227" s="721">
        <v>47.04</v>
      </c>
      <c r="AD227" s="700"/>
      <c r="AE227" s="707"/>
      <c r="AF227" s="721">
        <v>101.04</v>
      </c>
      <c r="AG227" s="700"/>
      <c r="AH227" s="707"/>
      <c r="AI227" s="721">
        <v>47.04</v>
      </c>
      <c r="AJ227" s="700"/>
      <c r="AK227" s="707"/>
      <c r="AL227" s="721">
        <v>307.79000000000002</v>
      </c>
      <c r="AM227" s="700"/>
      <c r="AN227" s="707"/>
      <c r="AO227" s="1109">
        <v>551.69000000000005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ServiceFormation</v>
      </c>
      <c r="B228" s="44" t="s">
        <v>141</v>
      </c>
      <c r="C228" s="700"/>
      <c r="D228" s="707"/>
      <c r="E228" s="721">
        <v>13556.070000000002</v>
      </c>
      <c r="F228" s="700"/>
      <c r="G228" s="707"/>
      <c r="H228" s="721">
        <v>359.22</v>
      </c>
      <c r="I228" s="700"/>
      <c r="J228" s="707"/>
      <c r="K228" s="721">
        <v>955.51</v>
      </c>
      <c r="L228" s="700"/>
      <c r="M228" s="707"/>
      <c r="N228" s="721">
        <v>1374.83</v>
      </c>
      <c r="O228" s="700"/>
      <c r="P228" s="707"/>
      <c r="Q228" s="721">
        <v>1047.57</v>
      </c>
      <c r="R228" s="700"/>
      <c r="S228" s="707"/>
      <c r="T228" s="721">
        <v>418.5</v>
      </c>
      <c r="U228" s="700"/>
      <c r="V228" s="707"/>
      <c r="W228" s="721">
        <v>958.23</v>
      </c>
      <c r="X228" s="700"/>
      <c r="Y228" s="707"/>
      <c r="Z228" s="721">
        <v>1328.27</v>
      </c>
      <c r="AA228" s="700"/>
      <c r="AB228" s="707"/>
      <c r="AC228" s="721">
        <v>1431.75</v>
      </c>
      <c r="AD228" s="700"/>
      <c r="AE228" s="707"/>
      <c r="AF228" s="721">
        <v>521.34</v>
      </c>
      <c r="AG228" s="700"/>
      <c r="AH228" s="707"/>
      <c r="AI228" s="721">
        <v>458.45</v>
      </c>
      <c r="AJ228" s="700"/>
      <c r="AK228" s="707"/>
      <c r="AL228" s="721">
        <v>2059.42</v>
      </c>
      <c r="AM228" s="700"/>
      <c r="AN228" s="707"/>
      <c r="AO228" s="1109">
        <v>2642.98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2"/>
        <v>ServiceFrais bancaires</v>
      </c>
      <c r="B229" s="44" t="s">
        <v>142</v>
      </c>
      <c r="C229" s="700"/>
      <c r="D229" s="707"/>
      <c r="E229" s="721">
        <v>24034.350000000006</v>
      </c>
      <c r="F229" s="700"/>
      <c r="G229" s="707"/>
      <c r="H229" s="721">
        <v>1401.4</v>
      </c>
      <c r="I229" s="700"/>
      <c r="J229" s="707"/>
      <c r="K229" s="721">
        <v>1082.69</v>
      </c>
      <c r="L229" s="700"/>
      <c r="M229" s="707"/>
      <c r="N229" s="721">
        <v>1859.91</v>
      </c>
      <c r="O229" s="700"/>
      <c r="P229" s="707"/>
      <c r="Q229" s="721">
        <v>2304.3000000000002</v>
      </c>
      <c r="R229" s="700"/>
      <c r="S229" s="707"/>
      <c r="T229" s="721">
        <v>2279.83</v>
      </c>
      <c r="U229" s="700"/>
      <c r="V229" s="707"/>
      <c r="W229" s="721">
        <v>1756.85</v>
      </c>
      <c r="X229" s="700"/>
      <c r="Y229" s="707"/>
      <c r="Z229" s="721">
        <v>1951.19</v>
      </c>
      <c r="AA229" s="700"/>
      <c r="AB229" s="707"/>
      <c r="AC229" s="721">
        <v>1895.04</v>
      </c>
      <c r="AD229" s="700"/>
      <c r="AE229" s="707"/>
      <c r="AF229" s="721">
        <v>2008.24</v>
      </c>
      <c r="AG229" s="700"/>
      <c r="AH229" s="707"/>
      <c r="AI229" s="721">
        <v>2322.71</v>
      </c>
      <c r="AJ229" s="700"/>
      <c r="AK229" s="707"/>
      <c r="AL229" s="721">
        <v>3179.01</v>
      </c>
      <c r="AM229" s="700"/>
      <c r="AN229" s="707"/>
      <c r="AO229" s="1109">
        <v>1993.18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2"/>
        <v>Service[...]</v>
      </c>
      <c r="B232" s="44" t="s">
        <v>59</v>
      </c>
      <c r="C232" s="700"/>
      <c r="D232" s="707"/>
      <c r="E232" s="708"/>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ServiceTOTAL SEMI-FIXES</v>
      </c>
      <c r="B233" s="53" t="s">
        <v>143</v>
      </c>
      <c r="C233" s="1024" t="s">
        <v>175</v>
      </c>
      <c r="D233" s="1025">
        <v>0.24509781307462034</v>
      </c>
      <c r="E233" s="1026">
        <v>713944.5299999998</v>
      </c>
      <c r="F233" s="1024" t="s">
        <v>175</v>
      </c>
      <c r="G233" s="1025">
        <v>0</v>
      </c>
      <c r="H233" s="1026">
        <v>47602.720000000008</v>
      </c>
      <c r="I233" s="1024" t="s">
        <v>175</v>
      </c>
      <c r="J233" s="1025">
        <v>0</v>
      </c>
      <c r="K233" s="1026">
        <v>56134.49</v>
      </c>
      <c r="L233" s="1024" t="s">
        <v>175</v>
      </c>
      <c r="M233" s="1025">
        <v>0</v>
      </c>
      <c r="N233" s="1026">
        <v>63084.330000000009</v>
      </c>
      <c r="O233" s="1024" t="s">
        <v>175</v>
      </c>
      <c r="P233" s="1025">
        <v>0</v>
      </c>
      <c r="Q233" s="1026">
        <v>71171.840000000026</v>
      </c>
      <c r="R233" s="1024" t="s">
        <v>175</v>
      </c>
      <c r="S233" s="1025">
        <v>0</v>
      </c>
      <c r="T233" s="1026">
        <v>69518.64</v>
      </c>
      <c r="U233" s="1024" t="s">
        <v>175</v>
      </c>
      <c r="V233" s="1025">
        <v>0</v>
      </c>
      <c r="W233" s="1111">
        <v>50947.270000000004</v>
      </c>
      <c r="X233" s="1024" t="s">
        <v>175</v>
      </c>
      <c r="Y233" s="1025">
        <v>0</v>
      </c>
      <c r="Z233" s="1111">
        <v>59491.4</v>
      </c>
      <c r="AA233" s="1024" t="s">
        <v>175</v>
      </c>
      <c r="AB233" s="1025">
        <v>0</v>
      </c>
      <c r="AC233" s="1111">
        <v>57098.790000000008</v>
      </c>
      <c r="AD233" s="1024" t="s">
        <v>175</v>
      </c>
      <c r="AE233" s="1025">
        <v>0</v>
      </c>
      <c r="AF233" s="1111">
        <v>53656.489999999991</v>
      </c>
      <c r="AG233" s="1024" t="s">
        <v>175</v>
      </c>
      <c r="AH233" s="1025">
        <v>0</v>
      </c>
      <c r="AI233" s="1026">
        <v>62237.109999999979</v>
      </c>
      <c r="AJ233" s="1024" t="s">
        <v>175</v>
      </c>
      <c r="AK233" s="1025">
        <v>0</v>
      </c>
      <c r="AL233" s="1026">
        <v>69209.179999999993</v>
      </c>
      <c r="AM233" s="1024" t="s">
        <v>175</v>
      </c>
      <c r="AN233" s="1025">
        <v>0</v>
      </c>
      <c r="AO233" s="1026">
        <v>53792.270000000004</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v>
      </c>
      <c r="B234" s="43"/>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ServiceTOTAL DES DÉPENSES</v>
      </c>
      <c r="B235" s="53" t="s">
        <v>144</v>
      </c>
      <c r="C235" s="1024" t="s">
        <v>119</v>
      </c>
      <c r="D235" s="1046">
        <v>0.72939351769661498</v>
      </c>
      <c r="E235" s="1034">
        <v>2124647.7299999995</v>
      </c>
      <c r="F235" s="1024" t="s">
        <v>119</v>
      </c>
      <c r="G235" s="1046">
        <v>0</v>
      </c>
      <c r="H235" s="1034">
        <v>151814.40000000002</v>
      </c>
      <c r="I235" s="1024" t="s">
        <v>119</v>
      </c>
      <c r="J235" s="1046">
        <v>0</v>
      </c>
      <c r="K235" s="1034">
        <v>149421.83000000002</v>
      </c>
      <c r="L235" s="1024" t="s">
        <v>119</v>
      </c>
      <c r="M235" s="1046">
        <v>0</v>
      </c>
      <c r="N235" s="1034">
        <v>164429.43</v>
      </c>
      <c r="O235" s="1024" t="s">
        <v>119</v>
      </c>
      <c r="P235" s="1046">
        <v>0</v>
      </c>
      <c r="Q235" s="1034">
        <v>199538.48000000004</v>
      </c>
      <c r="R235" s="1024" t="s">
        <v>119</v>
      </c>
      <c r="S235" s="1046">
        <v>0</v>
      </c>
      <c r="T235" s="1034">
        <v>208049.52000000002</v>
      </c>
      <c r="U235" s="1024" t="s">
        <v>119</v>
      </c>
      <c r="V235" s="1046">
        <v>0</v>
      </c>
      <c r="W235" s="1114">
        <v>162730.41</v>
      </c>
      <c r="X235" s="1024" t="s">
        <v>119</v>
      </c>
      <c r="Y235" s="1046">
        <v>0</v>
      </c>
      <c r="Z235" s="1114">
        <v>167802.41</v>
      </c>
      <c r="AA235" s="1024" t="s">
        <v>119</v>
      </c>
      <c r="AB235" s="1046">
        <v>0</v>
      </c>
      <c r="AC235" s="1114">
        <v>176693.59000000003</v>
      </c>
      <c r="AD235" s="1024" t="s">
        <v>119</v>
      </c>
      <c r="AE235" s="1046">
        <v>0</v>
      </c>
      <c r="AF235" s="1114">
        <v>158213.81</v>
      </c>
      <c r="AG235" s="1024" t="s">
        <v>119</v>
      </c>
      <c r="AH235" s="1025">
        <v>0</v>
      </c>
      <c r="AI235" s="1034">
        <v>208967.05</v>
      </c>
      <c r="AJ235" s="1024" t="s">
        <v>119</v>
      </c>
      <c r="AK235" s="1025">
        <v>0</v>
      </c>
      <c r="AL235" s="1034">
        <v>220592.27</v>
      </c>
      <c r="AM235" s="1024" t="s">
        <v>119</v>
      </c>
      <c r="AN235" s="1025">
        <v>0</v>
      </c>
      <c r="AO235" s="1034">
        <v>156394.52999999997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2"/>
        <v>Service</v>
      </c>
      <c r="B236" s="44"/>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thickBot="1">
      <c r="A237" s="39" t="str">
        <f t="shared" si="2"/>
        <v>ServicePROFIT DÉPARTEMENTAL</v>
      </c>
      <c r="B237" s="57" t="s">
        <v>151</v>
      </c>
      <c r="C237" s="1037"/>
      <c r="D237" s="1048"/>
      <c r="E237" s="1040">
        <v>788248.6399999992</v>
      </c>
      <c r="F237" s="1037"/>
      <c r="G237" s="1048"/>
      <c r="H237" s="1040">
        <v>32240.070000000007</v>
      </c>
      <c r="I237" s="1037"/>
      <c r="J237" s="1048"/>
      <c r="K237" s="1040">
        <v>29120.529999999882</v>
      </c>
      <c r="L237" s="1037"/>
      <c r="M237" s="1048"/>
      <c r="N237" s="1040">
        <v>54600.849999999948</v>
      </c>
      <c r="O237" s="1037"/>
      <c r="P237" s="1048"/>
      <c r="Q237" s="1040">
        <v>73863.199999999837</v>
      </c>
      <c r="R237" s="1037"/>
      <c r="S237" s="1048"/>
      <c r="T237" s="1040">
        <v>75992.260000000009</v>
      </c>
      <c r="U237" s="1037"/>
      <c r="V237" s="1048"/>
      <c r="W237" s="1117">
        <v>64050.519999999873</v>
      </c>
      <c r="X237" s="1037"/>
      <c r="Y237" s="1048"/>
      <c r="Z237" s="1117">
        <v>73500.76999999996</v>
      </c>
      <c r="AA237" s="1037"/>
      <c r="AB237" s="1048"/>
      <c r="AC237" s="1117">
        <v>62405.329999999842</v>
      </c>
      <c r="AD237" s="1037"/>
      <c r="AE237" s="1048"/>
      <c r="AF237" s="1117">
        <v>94299.609999999986</v>
      </c>
      <c r="AG237" s="1037"/>
      <c r="AH237" s="1048"/>
      <c r="AI237" s="1040">
        <v>71821.109999999986</v>
      </c>
      <c r="AJ237" s="1037"/>
      <c r="AK237" s="1048"/>
      <c r="AL237" s="1040">
        <v>97016.739999999903</v>
      </c>
      <c r="AM237" s="1037"/>
      <c r="AN237" s="1048"/>
      <c r="AO237" s="1040">
        <v>59337.649999999936</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48"/>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60"/>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61" t="s">
        <v>3840</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thickBot="1">
      <c r="A241" s="39"/>
      <c r="B241" s="62"/>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thickTop="1">
      <c r="A242" s="39"/>
      <c r="B242" s="40" t="s">
        <v>3</v>
      </c>
      <c r="C242" s="685">
        <v>2025</v>
      </c>
      <c r="D242" s="686"/>
      <c r="E242" s="687"/>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93" si="3">+$C$240&amp;B243</f>
        <v>Carrosserie</v>
      </c>
      <c r="B243" s="44"/>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v>
      </c>
      <c r="B244" s="44"/>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CarrosserieM/O Sous-traitement</v>
      </c>
      <c r="B245" s="44" t="s">
        <v>177</v>
      </c>
      <c r="C245" s="754">
        <v>194</v>
      </c>
      <c r="D245" s="755">
        <v>578619.24999999884</v>
      </c>
      <c r="E245" s="721">
        <v>99744.85999999987</v>
      </c>
      <c r="F245" s="754">
        <v>9</v>
      </c>
      <c r="G245" s="755">
        <v>11924.3499999999</v>
      </c>
      <c r="H245" s="721">
        <v>2279.5599999999899</v>
      </c>
      <c r="I245" s="754">
        <v>8</v>
      </c>
      <c r="J245" s="755">
        <v>20608.900000000001</v>
      </c>
      <c r="K245" s="721">
        <v>4905.91</v>
      </c>
      <c r="L245" s="754">
        <v>13</v>
      </c>
      <c r="M245" s="755">
        <v>17190.14</v>
      </c>
      <c r="N245" s="721">
        <v>2742.83</v>
      </c>
      <c r="O245" s="754">
        <v>8</v>
      </c>
      <c r="P245" s="755">
        <v>19150.68</v>
      </c>
      <c r="Q245" s="721">
        <v>4315.59</v>
      </c>
      <c r="R245" s="754">
        <v>5</v>
      </c>
      <c r="S245" s="755">
        <v>7721.01</v>
      </c>
      <c r="T245" s="721">
        <v>2028.98999999999</v>
      </c>
      <c r="U245" s="754">
        <v>6</v>
      </c>
      <c r="V245" s="755">
        <v>14368.83</v>
      </c>
      <c r="W245" s="721">
        <v>3584.99</v>
      </c>
      <c r="X245" s="754">
        <v>14</v>
      </c>
      <c r="Y245" s="755">
        <v>50617.07</v>
      </c>
      <c r="Z245" s="721">
        <v>9648.5899999999892</v>
      </c>
      <c r="AA245" s="754">
        <v>10</v>
      </c>
      <c r="AB245" s="755">
        <v>43848.6</v>
      </c>
      <c r="AC245" s="721">
        <v>9486.8299999999908</v>
      </c>
      <c r="AD245" s="754">
        <v>28</v>
      </c>
      <c r="AE245" s="755">
        <v>92272.269999999902</v>
      </c>
      <c r="AF245" s="721">
        <v>13019</v>
      </c>
      <c r="AG245" s="754">
        <v>29</v>
      </c>
      <c r="AH245" s="755">
        <v>92900.26</v>
      </c>
      <c r="AI245" s="721">
        <v>14676.709999999901</v>
      </c>
      <c r="AJ245" s="754">
        <v>33</v>
      </c>
      <c r="AK245" s="755">
        <v>116450.239999999</v>
      </c>
      <c r="AL245" s="721">
        <v>21438.22</v>
      </c>
      <c r="AM245" s="754">
        <v>31</v>
      </c>
      <c r="AN245" s="755">
        <v>91566.9</v>
      </c>
      <c r="AO245" s="721">
        <v>11617.64</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 profit / ventes</v>
      </c>
      <c r="B246" s="44" t="s">
        <v>165</v>
      </c>
      <c r="C246" s="753"/>
      <c r="D246" s="707"/>
      <c r="E246" s="756">
        <v>0.17238427515157864</v>
      </c>
      <c r="F246" s="753"/>
      <c r="G246" s="707"/>
      <c r="H246" s="756">
        <v>0.19116849136430991</v>
      </c>
      <c r="I246" s="753"/>
      <c r="J246" s="707"/>
      <c r="K246" s="756">
        <v>0.23804812483926846</v>
      </c>
      <c r="L246" s="753"/>
      <c r="M246" s="707"/>
      <c r="N246" s="756">
        <v>0.15955832820442417</v>
      </c>
      <c r="O246" s="753"/>
      <c r="P246" s="707"/>
      <c r="Q246" s="756">
        <v>0.22534917820150513</v>
      </c>
      <c r="R246" s="753"/>
      <c r="S246" s="707"/>
      <c r="T246" s="756">
        <v>0.26278815854402338</v>
      </c>
      <c r="U246" s="753"/>
      <c r="V246" s="707"/>
      <c r="W246" s="756">
        <v>0.24949769744648659</v>
      </c>
      <c r="X246" s="753"/>
      <c r="Y246" s="707"/>
      <c r="Z246" s="756">
        <v>0.19061929108105208</v>
      </c>
      <c r="AA246" s="753"/>
      <c r="AB246" s="707"/>
      <c r="AC246" s="756">
        <v>0.21635422795710677</v>
      </c>
      <c r="AD246" s="753"/>
      <c r="AE246" s="707"/>
      <c r="AF246" s="756">
        <v>0.14109331004862039</v>
      </c>
      <c r="AG246" s="753"/>
      <c r="AH246" s="707"/>
      <c r="AI246" s="756">
        <v>0.15798351909886907</v>
      </c>
      <c r="AJ246" s="753"/>
      <c r="AK246" s="707"/>
      <c r="AL246" s="756">
        <v>0.1840976884203947</v>
      </c>
      <c r="AM246" s="753"/>
      <c r="AN246" s="707"/>
      <c r="AO246" s="756">
        <v>0.1268759781099939</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v>
      </c>
      <c r="B247" s="44"/>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CarrosserieM/O Carrosserie</v>
      </c>
      <c r="B248" s="42" t="s">
        <v>178</v>
      </c>
      <c r="C248" s="1051">
        <v>0</v>
      </c>
      <c r="D248" s="1052">
        <v>0</v>
      </c>
      <c r="E248" s="1031">
        <v>0</v>
      </c>
      <c r="F248" s="1051">
        <v>0</v>
      </c>
      <c r="G248" s="1052">
        <v>0</v>
      </c>
      <c r="H248" s="1031">
        <v>0</v>
      </c>
      <c r="I248" s="1051">
        <v>0</v>
      </c>
      <c r="J248" s="1052">
        <v>0</v>
      </c>
      <c r="K248" s="1031">
        <v>0</v>
      </c>
      <c r="L248" s="1051">
        <v>0</v>
      </c>
      <c r="M248" s="1052">
        <v>0</v>
      </c>
      <c r="N248" s="1031">
        <v>0</v>
      </c>
      <c r="O248" s="1051">
        <v>0</v>
      </c>
      <c r="P248" s="1052">
        <v>0</v>
      </c>
      <c r="Q248" s="1031">
        <v>0</v>
      </c>
      <c r="R248" s="1051">
        <v>0</v>
      </c>
      <c r="S248" s="1052">
        <v>0</v>
      </c>
      <c r="T248" s="1031">
        <v>0</v>
      </c>
      <c r="U248" s="1051">
        <v>0</v>
      </c>
      <c r="V248" s="1052">
        <v>0</v>
      </c>
      <c r="W248" s="1031">
        <v>0</v>
      </c>
      <c r="X248" s="1051">
        <v>0</v>
      </c>
      <c r="Y248" s="1052">
        <v>0</v>
      </c>
      <c r="Z248" s="1031">
        <v>0</v>
      </c>
      <c r="AA248" s="1051">
        <v>0</v>
      </c>
      <c r="AB248" s="1052">
        <v>0</v>
      </c>
      <c r="AC248" s="1031">
        <v>0</v>
      </c>
      <c r="AD248" s="1051">
        <v>0</v>
      </c>
      <c r="AE248" s="1052">
        <v>0</v>
      </c>
      <c r="AF248" s="1031">
        <v>0</v>
      </c>
      <c r="AG248" s="1051">
        <v>0</v>
      </c>
      <c r="AH248" s="1052">
        <v>0</v>
      </c>
      <c r="AI248" s="1031">
        <v>0</v>
      </c>
      <c r="AJ248" s="1051">
        <v>0</v>
      </c>
      <c r="AK248" s="1052">
        <v>0</v>
      </c>
      <c r="AL248" s="1031">
        <v>0</v>
      </c>
      <c r="AM248" s="1051">
        <v>0</v>
      </c>
      <c r="AN248" s="1052">
        <v>0</v>
      </c>
      <c r="AO248" s="1031">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 profit / ventes</v>
      </c>
      <c r="B249" s="44" t="s">
        <v>165</v>
      </c>
      <c r="C249" s="753"/>
      <c r="D249" s="707"/>
      <c r="E249" s="756">
        <v>0</v>
      </c>
      <c r="F249" s="753"/>
      <c r="G249" s="707"/>
      <c r="H249" s="756">
        <v>0</v>
      </c>
      <c r="I249" s="753"/>
      <c r="J249" s="707"/>
      <c r="K249" s="756">
        <v>0</v>
      </c>
      <c r="L249" s="753"/>
      <c r="M249" s="707"/>
      <c r="N249" s="756">
        <v>0</v>
      </c>
      <c r="O249" s="753"/>
      <c r="P249" s="707"/>
      <c r="Q249" s="756">
        <v>0</v>
      </c>
      <c r="R249" s="753"/>
      <c r="S249" s="707"/>
      <c r="T249" s="756">
        <v>0</v>
      </c>
      <c r="U249" s="753"/>
      <c r="V249" s="707"/>
      <c r="W249" s="756">
        <v>0</v>
      </c>
      <c r="X249" s="753"/>
      <c r="Y249" s="707"/>
      <c r="Z249" s="756">
        <v>0</v>
      </c>
      <c r="AA249" s="753"/>
      <c r="AB249" s="707"/>
      <c r="AC249" s="756">
        <v>0</v>
      </c>
      <c r="AD249" s="753"/>
      <c r="AE249" s="707"/>
      <c r="AF249" s="756">
        <v>0</v>
      </c>
      <c r="AG249" s="753"/>
      <c r="AH249" s="707"/>
      <c r="AI249" s="756">
        <v>0</v>
      </c>
      <c r="AJ249" s="753"/>
      <c r="AK249" s="707"/>
      <c r="AL249" s="756">
        <v>0</v>
      </c>
      <c r="AM249" s="753"/>
      <c r="AN249" s="707"/>
      <c r="AO249" s="756">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v>
      </c>
      <c r="B250" s="43"/>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CarrosserieM/O Esthétique Carr.</v>
      </c>
      <c r="B251" s="42" t="s">
        <v>179</v>
      </c>
      <c r="C251" s="1051">
        <v>0</v>
      </c>
      <c r="D251" s="1052">
        <v>0</v>
      </c>
      <c r="E251" s="1031">
        <v>0</v>
      </c>
      <c r="F251" s="1051">
        <v>0</v>
      </c>
      <c r="G251" s="1052">
        <v>0</v>
      </c>
      <c r="H251" s="1031">
        <v>0</v>
      </c>
      <c r="I251" s="1051">
        <v>0</v>
      </c>
      <c r="J251" s="1052">
        <v>0</v>
      </c>
      <c r="K251" s="1031">
        <v>0</v>
      </c>
      <c r="L251" s="1051">
        <v>0</v>
      </c>
      <c r="M251" s="1052">
        <v>0</v>
      </c>
      <c r="N251" s="1031">
        <v>0</v>
      </c>
      <c r="O251" s="1051">
        <v>0</v>
      </c>
      <c r="P251" s="1052">
        <v>0</v>
      </c>
      <c r="Q251" s="1031">
        <v>0</v>
      </c>
      <c r="R251" s="1051">
        <v>0</v>
      </c>
      <c r="S251" s="1052">
        <v>0</v>
      </c>
      <c r="T251" s="1031">
        <v>0</v>
      </c>
      <c r="U251" s="1051">
        <v>0</v>
      </c>
      <c r="V251" s="1052">
        <v>0</v>
      </c>
      <c r="W251" s="1031">
        <v>0</v>
      </c>
      <c r="X251" s="1051">
        <v>0</v>
      </c>
      <c r="Y251" s="1052">
        <v>0</v>
      </c>
      <c r="Z251" s="1031">
        <v>0</v>
      </c>
      <c r="AA251" s="1051">
        <v>0</v>
      </c>
      <c r="AB251" s="1052">
        <v>0</v>
      </c>
      <c r="AC251" s="1031">
        <v>0</v>
      </c>
      <c r="AD251" s="1051">
        <v>0</v>
      </c>
      <c r="AE251" s="1052">
        <v>0</v>
      </c>
      <c r="AF251" s="1031">
        <v>0</v>
      </c>
      <c r="AG251" s="1051">
        <v>0</v>
      </c>
      <c r="AH251" s="1052">
        <v>0</v>
      </c>
      <c r="AI251" s="1031">
        <v>0</v>
      </c>
      <c r="AJ251" s="1051">
        <v>0</v>
      </c>
      <c r="AK251" s="1052">
        <v>0</v>
      </c>
      <c r="AL251" s="1031">
        <v>0</v>
      </c>
      <c r="AM251" s="1051">
        <v>0</v>
      </c>
      <c r="AN251" s="1052">
        <v>0</v>
      </c>
      <c r="AO251" s="1031">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3"/>
        <v>Carrosserie% profit / ventes</v>
      </c>
      <c r="B252" s="44" t="s">
        <v>165</v>
      </c>
      <c r="C252" s="700"/>
      <c r="D252" s="707"/>
      <c r="E252" s="756">
        <v>0</v>
      </c>
      <c r="F252" s="700"/>
      <c r="G252" s="707"/>
      <c r="H252" s="756">
        <v>0</v>
      </c>
      <c r="I252" s="700"/>
      <c r="J252" s="707"/>
      <c r="K252" s="756">
        <v>0</v>
      </c>
      <c r="L252" s="700"/>
      <c r="M252" s="707"/>
      <c r="N252" s="756">
        <v>0</v>
      </c>
      <c r="O252" s="700"/>
      <c r="P252" s="707"/>
      <c r="Q252" s="756">
        <v>0</v>
      </c>
      <c r="R252" s="700"/>
      <c r="S252" s="707"/>
      <c r="T252" s="756">
        <v>0</v>
      </c>
      <c r="U252" s="700"/>
      <c r="V252" s="707"/>
      <c r="W252" s="756">
        <v>0</v>
      </c>
      <c r="X252" s="700"/>
      <c r="Y252" s="707"/>
      <c r="Z252" s="756">
        <v>0</v>
      </c>
      <c r="AA252" s="700"/>
      <c r="AB252" s="707"/>
      <c r="AC252" s="756">
        <v>0</v>
      </c>
      <c r="AD252" s="700"/>
      <c r="AE252" s="707"/>
      <c r="AF252" s="756">
        <v>0</v>
      </c>
      <c r="AG252" s="700"/>
      <c r="AH252" s="707"/>
      <c r="AI252" s="756">
        <v>0</v>
      </c>
      <c r="AJ252" s="700"/>
      <c r="AK252" s="707"/>
      <c r="AL252" s="756">
        <v>0</v>
      </c>
      <c r="AM252" s="700"/>
      <c r="AN252" s="707"/>
      <c r="AO252" s="756">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Bot="1">
      <c r="A253" s="39" t="str">
        <f t="shared" si="3"/>
        <v>Carrosserie</v>
      </c>
      <c r="B253" s="44"/>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Top="1">
      <c r="A254" s="39" t="str">
        <f t="shared" si="3"/>
        <v>CarrosserieTotal Mécanique</v>
      </c>
      <c r="B254" s="49" t="s">
        <v>174</v>
      </c>
      <c r="C254" s="709"/>
      <c r="D254" s="774">
        <v>578619.24999999884</v>
      </c>
      <c r="E254" s="711">
        <v>99744.85999999987</v>
      </c>
      <c r="F254" s="709"/>
      <c r="G254" s="774">
        <v>11924.3499999999</v>
      </c>
      <c r="H254" s="711">
        <v>2279.5599999999899</v>
      </c>
      <c r="I254" s="709"/>
      <c r="J254" s="774">
        <v>20608.900000000001</v>
      </c>
      <c r="K254" s="711">
        <v>4905.91</v>
      </c>
      <c r="L254" s="709"/>
      <c r="M254" s="774">
        <v>17190.14</v>
      </c>
      <c r="N254" s="711">
        <v>2742.83</v>
      </c>
      <c r="O254" s="709"/>
      <c r="P254" s="774">
        <v>19150.68</v>
      </c>
      <c r="Q254" s="711">
        <v>4315.59</v>
      </c>
      <c r="R254" s="709"/>
      <c r="S254" s="774">
        <v>7721.01</v>
      </c>
      <c r="T254" s="711">
        <v>2028.98999999999</v>
      </c>
      <c r="U254" s="709"/>
      <c r="V254" s="774">
        <v>14368.83</v>
      </c>
      <c r="W254" s="1107">
        <v>3584.99</v>
      </c>
      <c r="X254" s="709"/>
      <c r="Y254" s="774">
        <v>50617.07</v>
      </c>
      <c r="Z254" s="1107">
        <v>9648.5899999999892</v>
      </c>
      <c r="AA254" s="709"/>
      <c r="AB254" s="774">
        <v>43848.6</v>
      </c>
      <c r="AC254" s="1107">
        <v>9486.8299999999908</v>
      </c>
      <c r="AD254" s="709"/>
      <c r="AE254" s="774">
        <v>92272.269999999902</v>
      </c>
      <c r="AF254" s="1107">
        <v>13019</v>
      </c>
      <c r="AG254" s="709"/>
      <c r="AH254" s="774">
        <v>92900.26</v>
      </c>
      <c r="AI254" s="711">
        <v>14676.709999999901</v>
      </c>
      <c r="AJ254" s="709"/>
      <c r="AK254" s="774">
        <v>116450.239999999</v>
      </c>
      <c r="AL254" s="711">
        <v>21438.22</v>
      </c>
      <c r="AM254" s="709"/>
      <c r="AN254" s="774">
        <v>91566.9</v>
      </c>
      <c r="AO254" s="711">
        <v>11617.64</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Bot="1">
      <c r="A255" s="39" t="str">
        <f t="shared" si="3"/>
        <v>Carrosserie</v>
      </c>
      <c r="B255" s="50"/>
      <c r="C255" s="712"/>
      <c r="D255" s="713"/>
      <c r="E255" s="775">
        <v>0.17238427515157864</v>
      </c>
      <c r="F255" s="712"/>
      <c r="G255" s="713"/>
      <c r="H255" s="775">
        <v>0.19116849136430991</v>
      </c>
      <c r="I255" s="712"/>
      <c r="J255" s="713"/>
      <c r="K255" s="775">
        <v>0.23804812483926846</v>
      </c>
      <c r="L255" s="712"/>
      <c r="M255" s="713"/>
      <c r="N255" s="775">
        <v>0.15955832820442417</v>
      </c>
      <c r="O255" s="712"/>
      <c r="P255" s="713"/>
      <c r="Q255" s="775">
        <v>0.22534917820150513</v>
      </c>
      <c r="R255" s="712"/>
      <c r="S255" s="713"/>
      <c r="T255" s="775">
        <v>0.26278815854402338</v>
      </c>
      <c r="U255" s="712"/>
      <c r="V255" s="713"/>
      <c r="W255" s="1128">
        <v>0.24949769744648659</v>
      </c>
      <c r="X255" s="712"/>
      <c r="Y255" s="713"/>
      <c r="Z255" s="1128">
        <v>0.19061929108105208</v>
      </c>
      <c r="AA255" s="712"/>
      <c r="AB255" s="713"/>
      <c r="AC255" s="1128">
        <v>0.21635422795710677</v>
      </c>
      <c r="AD255" s="712"/>
      <c r="AE255" s="713"/>
      <c r="AF255" s="1128">
        <v>0.14109331004862039</v>
      </c>
      <c r="AG255" s="712"/>
      <c r="AH255" s="713"/>
      <c r="AI255" s="775">
        <v>0.15798351909886907</v>
      </c>
      <c r="AJ255" s="712"/>
      <c r="AK255" s="713"/>
      <c r="AL255" s="775">
        <v>0.1840976884203947</v>
      </c>
      <c r="AM255" s="712"/>
      <c r="AN255" s="713"/>
      <c r="AO255" s="775">
        <v>0.1268759781099939</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thickTop="1">
      <c r="A256" s="39" t="str">
        <f t="shared" si="3"/>
        <v>Carrosserie</v>
      </c>
      <c r="B256" s="44"/>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CarrosserieDEPENSES</v>
      </c>
      <c r="B257" s="5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cadres</v>
      </c>
      <c r="B258" s="54" t="s">
        <v>120</v>
      </c>
      <c r="C258" s="700"/>
      <c r="D258" s="707"/>
      <c r="E258" s="721">
        <v>10822.559999999998</v>
      </c>
      <c r="F258" s="700"/>
      <c r="G258" s="707"/>
      <c r="H258" s="721">
        <v>901.88</v>
      </c>
      <c r="I258" s="700"/>
      <c r="J258" s="707"/>
      <c r="K258" s="721">
        <v>901.88</v>
      </c>
      <c r="L258" s="700"/>
      <c r="M258" s="707"/>
      <c r="N258" s="721">
        <v>901.88</v>
      </c>
      <c r="O258" s="700"/>
      <c r="P258" s="707"/>
      <c r="Q258" s="721">
        <v>901.88</v>
      </c>
      <c r="R258" s="700"/>
      <c r="S258" s="707"/>
      <c r="T258" s="721">
        <v>901.88</v>
      </c>
      <c r="U258" s="700"/>
      <c r="V258" s="707"/>
      <c r="W258" s="721">
        <v>901.88</v>
      </c>
      <c r="X258" s="700"/>
      <c r="Y258" s="707"/>
      <c r="Z258" s="721">
        <v>901.88</v>
      </c>
      <c r="AA258" s="700"/>
      <c r="AB258" s="707"/>
      <c r="AC258" s="721">
        <v>901.88</v>
      </c>
      <c r="AD258" s="700"/>
      <c r="AE258" s="707"/>
      <c r="AF258" s="721">
        <v>901.88</v>
      </c>
      <c r="AG258" s="700"/>
      <c r="AH258" s="707"/>
      <c r="AI258" s="721">
        <v>901.88</v>
      </c>
      <c r="AJ258" s="700"/>
      <c r="AK258" s="707"/>
      <c r="AL258" s="721">
        <v>901.88</v>
      </c>
      <c r="AM258" s="700"/>
      <c r="AN258" s="707"/>
      <c r="AO258" s="1109">
        <v>901.88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commis</v>
      </c>
      <c r="B259" s="55" t="s">
        <v>121</v>
      </c>
      <c r="C259" s="700"/>
      <c r="D259" s="707"/>
      <c r="E259" s="721">
        <v>53347.590000000004</v>
      </c>
      <c r="F259" s="700"/>
      <c r="G259" s="707"/>
      <c r="H259" s="721">
        <v>3826.58</v>
      </c>
      <c r="I259" s="700"/>
      <c r="J259" s="707"/>
      <c r="K259" s="721">
        <v>3202.8</v>
      </c>
      <c r="L259" s="700"/>
      <c r="M259" s="707"/>
      <c r="N259" s="721">
        <v>4140.6099999999997</v>
      </c>
      <c r="O259" s="700"/>
      <c r="P259" s="707"/>
      <c r="Q259" s="721">
        <v>4215.95</v>
      </c>
      <c r="R259" s="700"/>
      <c r="S259" s="707"/>
      <c r="T259" s="721">
        <v>4976.26</v>
      </c>
      <c r="U259" s="700"/>
      <c r="V259" s="707"/>
      <c r="W259" s="721">
        <v>3859.88</v>
      </c>
      <c r="X259" s="700"/>
      <c r="Y259" s="707"/>
      <c r="Z259" s="721">
        <v>1523.66</v>
      </c>
      <c r="AA259" s="700"/>
      <c r="AB259" s="707"/>
      <c r="AC259" s="721">
        <v>4910.42</v>
      </c>
      <c r="AD259" s="700"/>
      <c r="AE259" s="707"/>
      <c r="AF259" s="721">
        <v>4995.33</v>
      </c>
      <c r="AG259" s="700"/>
      <c r="AH259" s="707"/>
      <c r="AI259" s="721">
        <v>6342.39</v>
      </c>
      <c r="AJ259" s="700"/>
      <c r="AK259" s="707"/>
      <c r="AL259" s="721">
        <v>5917.34</v>
      </c>
      <c r="AM259" s="700"/>
      <c r="AN259" s="707"/>
      <c r="AO259" s="1109">
        <v>5436.37</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autres</v>
      </c>
      <c r="B260" s="54" t="s">
        <v>122</v>
      </c>
      <c r="C260" s="1011"/>
      <c r="D260" s="1029"/>
      <c r="E260" s="1031">
        <v>0.95999999999999985</v>
      </c>
      <c r="F260" s="1011"/>
      <c r="G260" s="1029"/>
      <c r="H260" s="1031">
        <v>0.08</v>
      </c>
      <c r="I260" s="1011"/>
      <c r="J260" s="1029"/>
      <c r="K260" s="1031">
        <v>0.08</v>
      </c>
      <c r="L260" s="1011"/>
      <c r="M260" s="1029"/>
      <c r="N260" s="1031">
        <v>0.08</v>
      </c>
      <c r="O260" s="1011"/>
      <c r="P260" s="1029"/>
      <c r="Q260" s="1031">
        <v>0.08</v>
      </c>
      <c r="R260" s="1011"/>
      <c r="S260" s="1029"/>
      <c r="T260" s="1031">
        <v>0.08</v>
      </c>
      <c r="U260" s="1011"/>
      <c r="V260" s="1029"/>
      <c r="W260" s="1031">
        <v>0.08</v>
      </c>
      <c r="X260" s="1011"/>
      <c r="Y260" s="1029"/>
      <c r="Z260" s="1031">
        <v>0.08</v>
      </c>
      <c r="AA260" s="1011"/>
      <c r="AB260" s="1029"/>
      <c r="AC260" s="1031">
        <v>0.08</v>
      </c>
      <c r="AD260" s="1011"/>
      <c r="AE260" s="1029"/>
      <c r="AF260" s="1031">
        <v>0.08</v>
      </c>
      <c r="AG260" s="1011"/>
      <c r="AH260" s="1029"/>
      <c r="AI260" s="1031">
        <v>0.08</v>
      </c>
      <c r="AJ260" s="1011"/>
      <c r="AK260" s="1029"/>
      <c r="AL260" s="1031">
        <v>0.08</v>
      </c>
      <c r="AM260" s="1011"/>
      <c r="AN260" s="1029"/>
      <c r="AO260" s="1112">
        <v>0.08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3"/>
        <v>CarrosserieSalaires spécialistes</v>
      </c>
      <c r="B261" s="54" t="s">
        <v>123</v>
      </c>
      <c r="C261" s="700"/>
      <c r="D261" s="707"/>
      <c r="E261" s="721">
        <v>0</v>
      </c>
      <c r="F261" s="700"/>
      <c r="G261" s="707"/>
      <c r="H261" s="721">
        <v>0</v>
      </c>
      <c r="I261" s="700"/>
      <c r="J261" s="707"/>
      <c r="K261" s="721">
        <v>0</v>
      </c>
      <c r="L261" s="700"/>
      <c r="M261" s="707"/>
      <c r="N261" s="721">
        <v>0</v>
      </c>
      <c r="O261" s="700"/>
      <c r="P261" s="707"/>
      <c r="Q261" s="721">
        <v>0</v>
      </c>
      <c r="R261" s="700"/>
      <c r="S261" s="707"/>
      <c r="T261" s="721">
        <v>0</v>
      </c>
      <c r="U261" s="700"/>
      <c r="V261" s="707"/>
      <c r="W261" s="721">
        <v>0</v>
      </c>
      <c r="X261" s="700"/>
      <c r="Y261" s="707"/>
      <c r="Z261" s="721">
        <v>0</v>
      </c>
      <c r="AA261" s="700"/>
      <c r="AB261" s="707"/>
      <c r="AC261" s="721">
        <v>0</v>
      </c>
      <c r="AD261" s="700"/>
      <c r="AE261" s="707"/>
      <c r="AF261" s="721">
        <v>0</v>
      </c>
      <c r="AG261" s="700"/>
      <c r="AH261" s="707"/>
      <c r="AI261" s="721">
        <v>0</v>
      </c>
      <c r="AJ261" s="700"/>
      <c r="AK261" s="707"/>
      <c r="AL261" s="721">
        <v>0</v>
      </c>
      <c r="AM261" s="700"/>
      <c r="AN261" s="707"/>
      <c r="AO261" s="1109">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0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0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3"/>
        <v>Carrosserie[...]</v>
      </c>
      <c r="B264" s="44" t="s">
        <v>59</v>
      </c>
      <c r="C264" s="700"/>
      <c r="D264" s="707"/>
      <c r="E264" s="721"/>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110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CarrosserieSalaires en absences</v>
      </c>
      <c r="B265" s="55" t="s">
        <v>124</v>
      </c>
      <c r="C265" s="700"/>
      <c r="D265" s="707"/>
      <c r="E265" s="721">
        <v>6331.14</v>
      </c>
      <c r="F265" s="700"/>
      <c r="G265" s="707"/>
      <c r="H265" s="721">
        <v>476.39</v>
      </c>
      <c r="I265" s="700"/>
      <c r="J265" s="707"/>
      <c r="K265" s="721">
        <v>292.58999999999997</v>
      </c>
      <c r="L265" s="700"/>
      <c r="M265" s="707"/>
      <c r="N265" s="721">
        <v>244.69</v>
      </c>
      <c r="O265" s="700"/>
      <c r="P265" s="707"/>
      <c r="Q265" s="721">
        <v>537.70000000000005</v>
      </c>
      <c r="R265" s="700"/>
      <c r="S265" s="707"/>
      <c r="T265" s="721">
        <v>572.55999999999995</v>
      </c>
      <c r="U265" s="700"/>
      <c r="V265" s="707"/>
      <c r="W265" s="721">
        <v>567.5</v>
      </c>
      <c r="X265" s="700"/>
      <c r="Y265" s="707"/>
      <c r="Z265" s="721">
        <v>810.54</v>
      </c>
      <c r="AA265" s="700"/>
      <c r="AB265" s="707"/>
      <c r="AC265" s="721">
        <v>295.61</v>
      </c>
      <c r="AD265" s="700"/>
      <c r="AE265" s="707"/>
      <c r="AF265" s="721">
        <v>545.54999999999995</v>
      </c>
      <c r="AG265" s="700"/>
      <c r="AH265" s="707"/>
      <c r="AI265" s="721">
        <v>664.46</v>
      </c>
      <c r="AJ265" s="700"/>
      <c r="AK265" s="707"/>
      <c r="AL265" s="721">
        <v>303.14</v>
      </c>
      <c r="AM265" s="700"/>
      <c r="AN265" s="707"/>
      <c r="AO265" s="1109">
        <v>1020.41</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CarrosserieDéduction à la source</v>
      </c>
      <c r="B266" s="54" t="s">
        <v>125</v>
      </c>
      <c r="C266" s="1011"/>
      <c r="D266" s="1029"/>
      <c r="E266" s="1031">
        <v>16996.59</v>
      </c>
      <c r="F266" s="1011"/>
      <c r="G266" s="1029"/>
      <c r="H266" s="1031">
        <v>1514.63</v>
      </c>
      <c r="I266" s="1011"/>
      <c r="J266" s="1029"/>
      <c r="K266" s="1031">
        <v>1514.91</v>
      </c>
      <c r="L266" s="1011"/>
      <c r="M266" s="1029"/>
      <c r="N266" s="1031">
        <v>1234.45</v>
      </c>
      <c r="O266" s="1011"/>
      <c r="P266" s="1029"/>
      <c r="Q266" s="1031">
        <v>1369.98</v>
      </c>
      <c r="R266" s="1011"/>
      <c r="S266" s="1029"/>
      <c r="T266" s="1031">
        <v>1444.17</v>
      </c>
      <c r="U266" s="1011"/>
      <c r="V266" s="1029"/>
      <c r="W266" s="1031">
        <v>1253.82</v>
      </c>
      <c r="X266" s="1011"/>
      <c r="Y266" s="1029"/>
      <c r="Z266" s="1031">
        <v>1273.5999999999999</v>
      </c>
      <c r="AA266" s="1011"/>
      <c r="AB266" s="1029"/>
      <c r="AC266" s="1031">
        <v>1352.19</v>
      </c>
      <c r="AD266" s="1011"/>
      <c r="AE266" s="1029"/>
      <c r="AF266" s="1031">
        <v>1443.66</v>
      </c>
      <c r="AG266" s="1011"/>
      <c r="AH266" s="1029"/>
      <c r="AI266" s="1031">
        <v>1628.76</v>
      </c>
      <c r="AJ266" s="1011"/>
      <c r="AK266" s="1029"/>
      <c r="AL266" s="1031">
        <v>1353.77</v>
      </c>
      <c r="AM266" s="1011"/>
      <c r="AN266" s="1029"/>
      <c r="AO266" s="1112">
        <v>1612.65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CarrosserieBénéfices marginaux</v>
      </c>
      <c r="B267" s="54" t="s">
        <v>126</v>
      </c>
      <c r="C267" s="700"/>
      <c r="D267" s="707"/>
      <c r="E267" s="721">
        <v>2671.9199999999983</v>
      </c>
      <c r="F267" s="700"/>
      <c r="G267" s="707"/>
      <c r="H267" s="721">
        <v>509.87</v>
      </c>
      <c r="I267" s="700"/>
      <c r="J267" s="707"/>
      <c r="K267" s="721">
        <v>383.38</v>
      </c>
      <c r="L267" s="700"/>
      <c r="M267" s="707"/>
      <c r="N267" s="721">
        <v>383.32</v>
      </c>
      <c r="O267" s="700"/>
      <c r="P267" s="707"/>
      <c r="Q267" s="721">
        <v>382.41999999999899</v>
      </c>
      <c r="R267" s="700"/>
      <c r="S267" s="707"/>
      <c r="T267" s="721">
        <v>463.91999999999899</v>
      </c>
      <c r="U267" s="700"/>
      <c r="V267" s="707"/>
      <c r="W267" s="721">
        <v>-396.9</v>
      </c>
      <c r="X267" s="700"/>
      <c r="Y267" s="707"/>
      <c r="Z267" s="721">
        <v>111.41</v>
      </c>
      <c r="AA267" s="700"/>
      <c r="AB267" s="707"/>
      <c r="AC267" s="721">
        <v>113.64</v>
      </c>
      <c r="AD267" s="700"/>
      <c r="AE267" s="707"/>
      <c r="AF267" s="721">
        <v>98.28</v>
      </c>
      <c r="AG267" s="700"/>
      <c r="AH267" s="707"/>
      <c r="AI267" s="721">
        <v>126.81</v>
      </c>
      <c r="AJ267" s="700"/>
      <c r="AK267" s="707"/>
      <c r="AL267" s="721">
        <v>236.68</v>
      </c>
      <c r="AM267" s="700"/>
      <c r="AN267" s="707"/>
      <c r="AO267" s="1109">
        <v>259.08999999999997</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3"/>
        <v>CarrosserieCsst</v>
      </c>
      <c r="B268" s="54" t="s">
        <v>127</v>
      </c>
      <c r="C268" s="700"/>
      <c r="D268" s="707"/>
      <c r="E268" s="721">
        <v>2604.19</v>
      </c>
      <c r="F268" s="700"/>
      <c r="G268" s="707"/>
      <c r="H268" s="721">
        <v>170.57</v>
      </c>
      <c r="I268" s="700"/>
      <c r="J268" s="707"/>
      <c r="K268" s="721">
        <v>340.27</v>
      </c>
      <c r="L268" s="700"/>
      <c r="M268" s="707"/>
      <c r="N268" s="721">
        <v>203.82</v>
      </c>
      <c r="O268" s="700"/>
      <c r="P268" s="707"/>
      <c r="Q268" s="721">
        <v>341.14</v>
      </c>
      <c r="R268" s="700"/>
      <c r="S268" s="707"/>
      <c r="T268" s="721">
        <v>164.21</v>
      </c>
      <c r="U268" s="700"/>
      <c r="V268" s="707"/>
      <c r="W268" s="721">
        <v>131.69999999999999</v>
      </c>
      <c r="X268" s="700"/>
      <c r="Y268" s="707"/>
      <c r="Z268" s="721">
        <v>299.07</v>
      </c>
      <c r="AA268" s="700"/>
      <c r="AB268" s="707"/>
      <c r="AC268" s="721">
        <v>123.68</v>
      </c>
      <c r="AD268" s="700"/>
      <c r="AE268" s="707"/>
      <c r="AF268" s="721">
        <v>139.08000000000001</v>
      </c>
      <c r="AG268" s="700"/>
      <c r="AH268" s="707"/>
      <c r="AI268" s="721">
        <v>371.61</v>
      </c>
      <c r="AJ268" s="700"/>
      <c r="AK268" s="707"/>
      <c r="AL268" s="721">
        <v>139.32</v>
      </c>
      <c r="AM268" s="700"/>
      <c r="AN268" s="707"/>
      <c r="AO268" s="1109">
        <v>179.72</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3"/>
        <v>Carrosserie[...]</v>
      </c>
      <c r="B269" s="44" t="s">
        <v>59</v>
      </c>
      <c r="C269" s="726"/>
      <c r="D269" s="727"/>
      <c r="E269" s="72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CarrosserieTOTAL PERSONNEL</v>
      </c>
      <c r="B270" s="53" t="s">
        <v>128</v>
      </c>
      <c r="C270" s="1024" t="s">
        <v>119</v>
      </c>
      <c r="D270" s="1025">
        <v>0</v>
      </c>
      <c r="E270" s="1026">
        <v>92774.95</v>
      </c>
      <c r="F270" s="1024" t="s">
        <v>119</v>
      </c>
      <c r="G270" s="1025">
        <v>0</v>
      </c>
      <c r="H270" s="1026">
        <v>7400</v>
      </c>
      <c r="I270" s="1024" t="s">
        <v>119</v>
      </c>
      <c r="J270" s="1025">
        <v>0</v>
      </c>
      <c r="K270" s="1026">
        <v>6635.91</v>
      </c>
      <c r="L270" s="1024" t="s">
        <v>119</v>
      </c>
      <c r="M270" s="1025">
        <v>0</v>
      </c>
      <c r="N270" s="1026">
        <v>7108.8499999999985</v>
      </c>
      <c r="O270" s="1024" t="s">
        <v>119</v>
      </c>
      <c r="P270" s="1025">
        <v>0</v>
      </c>
      <c r="Q270" s="1026">
        <v>7749.15</v>
      </c>
      <c r="R270" s="1024" t="s">
        <v>119</v>
      </c>
      <c r="S270" s="1025">
        <v>0</v>
      </c>
      <c r="T270" s="1026">
        <v>8523.0799999999981</v>
      </c>
      <c r="U270" s="1024" t="s">
        <v>119</v>
      </c>
      <c r="V270" s="1025">
        <v>0</v>
      </c>
      <c r="W270" s="1111">
        <v>6317.96</v>
      </c>
      <c r="X270" s="1024" t="s">
        <v>119</v>
      </c>
      <c r="Y270" s="1025">
        <v>0</v>
      </c>
      <c r="Z270" s="1111">
        <v>4920.24</v>
      </c>
      <c r="AA270" s="1024" t="s">
        <v>119</v>
      </c>
      <c r="AB270" s="1025">
        <v>0</v>
      </c>
      <c r="AC270" s="1111">
        <v>7697.5000000000009</v>
      </c>
      <c r="AD270" s="1024" t="s">
        <v>119</v>
      </c>
      <c r="AE270" s="1025">
        <v>0</v>
      </c>
      <c r="AF270" s="1111">
        <v>8123.86</v>
      </c>
      <c r="AG270" s="1024" t="s">
        <v>119</v>
      </c>
      <c r="AH270" s="1025">
        <v>0</v>
      </c>
      <c r="AI270" s="1026">
        <v>10035.99</v>
      </c>
      <c r="AJ270" s="1024" t="s">
        <v>119</v>
      </c>
      <c r="AK270" s="1025">
        <v>0</v>
      </c>
      <c r="AL270" s="1026">
        <v>8852.2100000000009</v>
      </c>
      <c r="AM270" s="1024" t="s">
        <v>119</v>
      </c>
      <c r="AN270" s="1025">
        <v>0</v>
      </c>
      <c r="AO270" s="1026">
        <v>9410.1999999999989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CarrosseriePublicité 2</v>
      </c>
      <c r="B271" s="63" t="s">
        <v>129</v>
      </c>
      <c r="C271" s="700"/>
      <c r="D271" s="707"/>
      <c r="E271" s="721">
        <v>333.71999999999997</v>
      </c>
      <c r="F271" s="700"/>
      <c r="G271" s="707"/>
      <c r="H271" s="721">
        <v>7</v>
      </c>
      <c r="I271" s="700"/>
      <c r="J271" s="707"/>
      <c r="K271" s="721">
        <v>24.5</v>
      </c>
      <c r="L271" s="700"/>
      <c r="M271" s="707"/>
      <c r="N271" s="721">
        <v>40.25</v>
      </c>
      <c r="O271" s="700"/>
      <c r="P271" s="707"/>
      <c r="Q271" s="721">
        <v>28</v>
      </c>
      <c r="R271" s="700"/>
      <c r="S271" s="707"/>
      <c r="T271" s="721">
        <v>3.5</v>
      </c>
      <c r="U271" s="700"/>
      <c r="V271" s="707"/>
      <c r="W271" s="721">
        <v>33.46</v>
      </c>
      <c r="X271" s="700"/>
      <c r="Y271" s="707"/>
      <c r="Z271" s="721">
        <v>89.88</v>
      </c>
      <c r="AA271" s="700"/>
      <c r="AB271" s="707"/>
      <c r="AC271" s="721">
        <v>38.08</v>
      </c>
      <c r="AD271" s="700"/>
      <c r="AE271" s="707"/>
      <c r="AF271" s="721">
        <v>14</v>
      </c>
      <c r="AG271" s="700"/>
      <c r="AH271" s="707"/>
      <c r="AI271" s="721">
        <v>13.02</v>
      </c>
      <c r="AJ271" s="700"/>
      <c r="AK271" s="707"/>
      <c r="AL271" s="721">
        <v>0.01</v>
      </c>
      <c r="AM271" s="700"/>
      <c r="AN271" s="707"/>
      <c r="AO271" s="1109">
        <v>42.02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CarrosserieService gratuit 2</v>
      </c>
      <c r="B272" s="54" t="s">
        <v>130</v>
      </c>
      <c r="C272" s="700"/>
      <c r="D272" s="707"/>
      <c r="E272" s="721">
        <v>12872.140000000001</v>
      </c>
      <c r="F272" s="700"/>
      <c r="G272" s="707"/>
      <c r="H272" s="721">
        <v>11717.2</v>
      </c>
      <c r="I272" s="700"/>
      <c r="J272" s="707"/>
      <c r="K272" s="721">
        <v>0</v>
      </c>
      <c r="L272" s="700"/>
      <c r="M272" s="707"/>
      <c r="N272" s="721">
        <v>0</v>
      </c>
      <c r="O272" s="700"/>
      <c r="P272" s="707"/>
      <c r="Q272" s="721">
        <v>609.52</v>
      </c>
      <c r="R272" s="700"/>
      <c r="S272" s="707"/>
      <c r="T272" s="721">
        <v>0</v>
      </c>
      <c r="U272" s="700"/>
      <c r="V272" s="707"/>
      <c r="W272" s="721">
        <v>0</v>
      </c>
      <c r="X272" s="700"/>
      <c r="Y272" s="707"/>
      <c r="Z272" s="721">
        <v>0</v>
      </c>
      <c r="AA272" s="700"/>
      <c r="AB272" s="707"/>
      <c r="AC272" s="721">
        <v>0</v>
      </c>
      <c r="AD272" s="700"/>
      <c r="AE272" s="707"/>
      <c r="AF272" s="721">
        <v>88.95</v>
      </c>
      <c r="AG272" s="700"/>
      <c r="AH272" s="707"/>
      <c r="AI272" s="721">
        <v>349.3</v>
      </c>
      <c r="AJ272" s="700"/>
      <c r="AK272" s="707"/>
      <c r="AL272" s="721">
        <v>48.11</v>
      </c>
      <c r="AM272" s="700"/>
      <c r="AN272" s="707"/>
      <c r="AO272" s="1109">
        <v>59.06</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CarrosserieFrais véhicules de cie</v>
      </c>
      <c r="B273" s="55" t="s">
        <v>131</v>
      </c>
      <c r="C273" s="726"/>
      <c r="D273" s="727"/>
      <c r="E273" s="725">
        <v>1985.9100000000003</v>
      </c>
      <c r="F273" s="726"/>
      <c r="G273" s="727"/>
      <c r="H273" s="725">
        <v>177.91</v>
      </c>
      <c r="I273" s="726"/>
      <c r="J273" s="727"/>
      <c r="K273" s="725">
        <v>157.77000000000001</v>
      </c>
      <c r="L273" s="726"/>
      <c r="M273" s="727"/>
      <c r="N273" s="725">
        <v>157.77000000000001</v>
      </c>
      <c r="O273" s="726"/>
      <c r="P273" s="727"/>
      <c r="Q273" s="725">
        <v>157.77000000000001</v>
      </c>
      <c r="R273" s="726"/>
      <c r="S273" s="727"/>
      <c r="T273" s="725">
        <v>177.91</v>
      </c>
      <c r="U273" s="726"/>
      <c r="V273" s="727"/>
      <c r="W273" s="725">
        <v>157.77000000000001</v>
      </c>
      <c r="X273" s="726"/>
      <c r="Y273" s="727"/>
      <c r="Z273" s="725">
        <v>157.77000000000001</v>
      </c>
      <c r="AA273" s="726"/>
      <c r="AB273" s="727"/>
      <c r="AC273" s="725">
        <v>177.91</v>
      </c>
      <c r="AD273" s="726"/>
      <c r="AE273" s="727"/>
      <c r="AF273" s="725">
        <v>157.77000000000001</v>
      </c>
      <c r="AG273" s="726"/>
      <c r="AH273" s="727"/>
      <c r="AI273" s="725">
        <v>177.91</v>
      </c>
      <c r="AJ273" s="726"/>
      <c r="AK273" s="727"/>
      <c r="AL273" s="725">
        <v>157.77000000000001</v>
      </c>
      <c r="AM273" s="726"/>
      <c r="AN273" s="727"/>
      <c r="AO273" s="1110">
        <v>169.88</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CarrosserieInformatique</v>
      </c>
      <c r="B274" s="54" t="s">
        <v>132</v>
      </c>
      <c r="C274" s="700"/>
      <c r="D274" s="707"/>
      <c r="E274" s="721">
        <v>19885.97</v>
      </c>
      <c r="F274" s="700"/>
      <c r="G274" s="707"/>
      <c r="H274" s="721">
        <v>2230.21</v>
      </c>
      <c r="I274" s="700"/>
      <c r="J274" s="707"/>
      <c r="K274" s="721">
        <v>1160.31</v>
      </c>
      <c r="L274" s="700"/>
      <c r="M274" s="707"/>
      <c r="N274" s="721">
        <v>1609.3</v>
      </c>
      <c r="O274" s="700"/>
      <c r="P274" s="707"/>
      <c r="Q274" s="721">
        <v>1872.86</v>
      </c>
      <c r="R274" s="700"/>
      <c r="S274" s="707"/>
      <c r="T274" s="721">
        <v>2065.0700000000002</v>
      </c>
      <c r="U274" s="700"/>
      <c r="V274" s="707"/>
      <c r="W274" s="721">
        <v>1449.66</v>
      </c>
      <c r="X274" s="700"/>
      <c r="Y274" s="707"/>
      <c r="Z274" s="721">
        <v>1544.79</v>
      </c>
      <c r="AA274" s="700"/>
      <c r="AB274" s="707"/>
      <c r="AC274" s="721">
        <v>1592.18</v>
      </c>
      <c r="AD274" s="700"/>
      <c r="AE274" s="707"/>
      <c r="AF274" s="721">
        <v>1496.8</v>
      </c>
      <c r="AG274" s="700"/>
      <c r="AH274" s="707"/>
      <c r="AI274" s="721">
        <v>1116.99</v>
      </c>
      <c r="AJ274" s="700"/>
      <c r="AK274" s="707"/>
      <c r="AL274" s="721">
        <v>2002.96</v>
      </c>
      <c r="AM274" s="700"/>
      <c r="AN274" s="707"/>
      <c r="AO274" s="1109">
        <v>1744.84</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CarrosserieFrais de déplacement</v>
      </c>
      <c r="B275" s="54" t="s">
        <v>133</v>
      </c>
      <c r="C275" s="700"/>
      <c r="D275" s="707"/>
      <c r="E275" s="721">
        <v>3384.0000000000005</v>
      </c>
      <c r="F275" s="700"/>
      <c r="G275" s="707"/>
      <c r="H275" s="721">
        <v>292.13</v>
      </c>
      <c r="I275" s="700"/>
      <c r="J275" s="707"/>
      <c r="K275" s="721">
        <v>203.97</v>
      </c>
      <c r="L275" s="700"/>
      <c r="M275" s="707"/>
      <c r="N275" s="721">
        <v>191.76</v>
      </c>
      <c r="O275" s="700"/>
      <c r="P275" s="707"/>
      <c r="Q275" s="721">
        <v>285.75</v>
      </c>
      <c r="R275" s="700"/>
      <c r="S275" s="707"/>
      <c r="T275" s="721">
        <v>264.81</v>
      </c>
      <c r="U275" s="700"/>
      <c r="V275" s="707"/>
      <c r="W275" s="721">
        <v>435.98</v>
      </c>
      <c r="X275" s="700"/>
      <c r="Y275" s="707"/>
      <c r="Z275" s="721">
        <v>179.64</v>
      </c>
      <c r="AA275" s="700"/>
      <c r="AB275" s="707"/>
      <c r="AC275" s="721">
        <v>167.36</v>
      </c>
      <c r="AD275" s="700"/>
      <c r="AE275" s="707"/>
      <c r="AF275" s="721">
        <v>186.27</v>
      </c>
      <c r="AG275" s="700"/>
      <c r="AH275" s="707"/>
      <c r="AI275" s="721">
        <v>482.13</v>
      </c>
      <c r="AJ275" s="700"/>
      <c r="AK275" s="707"/>
      <c r="AL275" s="721">
        <v>364.88</v>
      </c>
      <c r="AM275" s="700"/>
      <c r="AN275" s="707"/>
      <c r="AO275" s="1109">
        <v>329.32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CarrosserieServices extérieurs</v>
      </c>
      <c r="B276" s="54" t="s">
        <v>134</v>
      </c>
      <c r="C276" s="726"/>
      <c r="D276" s="727"/>
      <c r="E276" s="725">
        <v>8546.1900000000023</v>
      </c>
      <c r="F276" s="726"/>
      <c r="G276" s="727"/>
      <c r="H276" s="725">
        <v>825.52</v>
      </c>
      <c r="I276" s="726"/>
      <c r="J276" s="727"/>
      <c r="K276" s="725">
        <v>841.55</v>
      </c>
      <c r="L276" s="726"/>
      <c r="M276" s="727"/>
      <c r="N276" s="725">
        <v>1423.27</v>
      </c>
      <c r="O276" s="726"/>
      <c r="P276" s="727"/>
      <c r="Q276" s="725">
        <v>726.05</v>
      </c>
      <c r="R276" s="726"/>
      <c r="S276" s="727"/>
      <c r="T276" s="725">
        <v>730.06</v>
      </c>
      <c r="U276" s="726"/>
      <c r="V276" s="727"/>
      <c r="W276" s="725">
        <v>494.99</v>
      </c>
      <c r="X276" s="726"/>
      <c r="Y276" s="727"/>
      <c r="Z276" s="725">
        <v>987.01</v>
      </c>
      <c r="AA276" s="726"/>
      <c r="AB276" s="727"/>
      <c r="AC276" s="725">
        <v>531.78</v>
      </c>
      <c r="AD276" s="726"/>
      <c r="AE276" s="727"/>
      <c r="AF276" s="725">
        <v>978.56</v>
      </c>
      <c r="AG276" s="726"/>
      <c r="AH276" s="727"/>
      <c r="AI276" s="725">
        <v>890.54</v>
      </c>
      <c r="AJ276" s="726"/>
      <c r="AK276" s="727"/>
      <c r="AL276" s="725">
        <v>1148.67</v>
      </c>
      <c r="AM276" s="726"/>
      <c r="AN276" s="727"/>
      <c r="AO276" s="1110">
        <v>-1031.81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d'atelier</v>
      </c>
      <c r="B277" s="54" t="s">
        <v>489</v>
      </c>
      <c r="C277" s="700"/>
      <c r="D277" s="707"/>
      <c r="E277" s="721">
        <v>0</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0</v>
      </c>
      <c r="AD277" s="700"/>
      <c r="AE277" s="707"/>
      <c r="AF277" s="721">
        <v>0</v>
      </c>
      <c r="AG277" s="700"/>
      <c r="AH277" s="707"/>
      <c r="AI277" s="721">
        <v>0</v>
      </c>
      <c r="AJ277" s="700"/>
      <c r="AK277" s="707"/>
      <c r="AL277" s="721">
        <v>0</v>
      </c>
      <c r="AM277" s="700"/>
      <c r="AN277" s="707"/>
      <c r="AO277" s="1109">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CarrosserieFournitures autres</v>
      </c>
      <c r="B278" s="63" t="s">
        <v>135</v>
      </c>
      <c r="C278" s="700"/>
      <c r="D278" s="707"/>
      <c r="E278" s="721">
        <v>10.199999999999999</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4.59</v>
      </c>
      <c r="AD278" s="700"/>
      <c r="AE278" s="707"/>
      <c r="AF278" s="721">
        <v>5.61</v>
      </c>
      <c r="AG278" s="700"/>
      <c r="AH278" s="707"/>
      <c r="AI278" s="721">
        <v>0</v>
      </c>
      <c r="AJ278" s="700"/>
      <c r="AK278" s="707"/>
      <c r="AL278" s="721">
        <v>0</v>
      </c>
      <c r="AM278" s="700"/>
      <c r="AN278" s="707"/>
      <c r="AO278" s="1109">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CarrosserieUniformes</v>
      </c>
      <c r="B279" s="54" t="s">
        <v>136</v>
      </c>
      <c r="C279" s="700"/>
      <c r="D279" s="707"/>
      <c r="E279" s="721">
        <v>0</v>
      </c>
      <c r="F279" s="700"/>
      <c r="G279" s="707"/>
      <c r="H279" s="721">
        <v>0</v>
      </c>
      <c r="I279" s="700"/>
      <c r="J279" s="707"/>
      <c r="K279" s="721">
        <v>0</v>
      </c>
      <c r="L279" s="700"/>
      <c r="M279" s="707"/>
      <c r="N279" s="721">
        <v>0</v>
      </c>
      <c r="O279" s="700"/>
      <c r="P279" s="707"/>
      <c r="Q279" s="721">
        <v>0</v>
      </c>
      <c r="R279" s="700"/>
      <c r="S279" s="707"/>
      <c r="T279" s="721">
        <v>0</v>
      </c>
      <c r="U279" s="700"/>
      <c r="V279" s="707"/>
      <c r="W279" s="721">
        <v>0</v>
      </c>
      <c r="X279" s="700"/>
      <c r="Y279" s="707"/>
      <c r="Z279" s="721">
        <v>0</v>
      </c>
      <c r="AA279" s="700"/>
      <c r="AB279" s="707"/>
      <c r="AC279" s="721">
        <v>0</v>
      </c>
      <c r="AD279" s="700"/>
      <c r="AE279" s="707"/>
      <c r="AF279" s="721">
        <v>0</v>
      </c>
      <c r="AG279" s="700"/>
      <c r="AH279" s="707"/>
      <c r="AI279" s="721">
        <v>0</v>
      </c>
      <c r="AJ279" s="700"/>
      <c r="AK279" s="707"/>
      <c r="AL279" s="721">
        <v>0</v>
      </c>
      <c r="AM279" s="700"/>
      <c r="AN279" s="707"/>
      <c r="AO279" s="1109">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CarrosseriePapeterie</v>
      </c>
      <c r="B280" s="54" t="s">
        <v>137</v>
      </c>
      <c r="C280" s="700"/>
      <c r="D280" s="707"/>
      <c r="E280" s="721">
        <v>1390.1699999999998</v>
      </c>
      <c r="F280" s="700"/>
      <c r="G280" s="707"/>
      <c r="H280" s="721">
        <v>35.380000000000003</v>
      </c>
      <c r="I280" s="700"/>
      <c r="J280" s="707"/>
      <c r="K280" s="721">
        <v>227.94</v>
      </c>
      <c r="L280" s="700"/>
      <c r="M280" s="707"/>
      <c r="N280" s="721">
        <v>118.8</v>
      </c>
      <c r="O280" s="700"/>
      <c r="P280" s="707"/>
      <c r="Q280" s="721">
        <v>12.72</v>
      </c>
      <c r="R280" s="700"/>
      <c r="S280" s="707"/>
      <c r="T280" s="721">
        <v>229.11</v>
      </c>
      <c r="U280" s="700"/>
      <c r="V280" s="707"/>
      <c r="W280" s="721">
        <v>89.36</v>
      </c>
      <c r="X280" s="700"/>
      <c r="Y280" s="707"/>
      <c r="Z280" s="721">
        <v>47.8</v>
      </c>
      <c r="AA280" s="700"/>
      <c r="AB280" s="707"/>
      <c r="AC280" s="721">
        <v>172.13</v>
      </c>
      <c r="AD280" s="700"/>
      <c r="AE280" s="707"/>
      <c r="AF280" s="721">
        <v>65.52</v>
      </c>
      <c r="AG280" s="700"/>
      <c r="AH280" s="707"/>
      <c r="AI280" s="721">
        <v>12.89</v>
      </c>
      <c r="AJ280" s="700"/>
      <c r="AK280" s="707"/>
      <c r="AL280" s="721">
        <v>320.76</v>
      </c>
      <c r="AM280" s="700"/>
      <c r="AN280" s="707"/>
      <c r="AO280" s="1109">
        <v>57.76</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CarrosserieTéléphone</v>
      </c>
      <c r="B281" s="54" t="s">
        <v>138</v>
      </c>
      <c r="C281" s="700"/>
      <c r="D281" s="707"/>
      <c r="E281" s="721">
        <v>335.71000000000004</v>
      </c>
      <c r="F281" s="700"/>
      <c r="G281" s="707"/>
      <c r="H281" s="721">
        <v>36.47</v>
      </c>
      <c r="I281" s="700"/>
      <c r="J281" s="707"/>
      <c r="K281" s="721">
        <v>33.880000000000003</v>
      </c>
      <c r="L281" s="700"/>
      <c r="M281" s="707"/>
      <c r="N281" s="721">
        <v>24.49</v>
      </c>
      <c r="O281" s="700"/>
      <c r="P281" s="707"/>
      <c r="Q281" s="721">
        <v>26.51</v>
      </c>
      <c r="R281" s="700"/>
      <c r="S281" s="707"/>
      <c r="T281" s="721">
        <v>24.76</v>
      </c>
      <c r="U281" s="700"/>
      <c r="V281" s="707"/>
      <c r="W281" s="721">
        <v>22.93</v>
      </c>
      <c r="X281" s="700"/>
      <c r="Y281" s="707"/>
      <c r="Z281" s="721">
        <v>17.43</v>
      </c>
      <c r="AA281" s="700"/>
      <c r="AB281" s="707"/>
      <c r="AC281" s="721">
        <v>35.9</v>
      </c>
      <c r="AD281" s="700"/>
      <c r="AE281" s="707"/>
      <c r="AF281" s="721">
        <v>26.36</v>
      </c>
      <c r="AG281" s="700"/>
      <c r="AH281" s="707"/>
      <c r="AI281" s="721">
        <v>27.71</v>
      </c>
      <c r="AJ281" s="700"/>
      <c r="AK281" s="707"/>
      <c r="AL281" s="721">
        <v>32.99</v>
      </c>
      <c r="AM281" s="700"/>
      <c r="AN281" s="707"/>
      <c r="AO281" s="1109">
        <v>26.28</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CarrosserieFrais postaux</v>
      </c>
      <c r="B282" s="54" t="s">
        <v>139</v>
      </c>
      <c r="C282" s="700"/>
      <c r="D282" s="707"/>
      <c r="E282" s="721">
        <v>587.62999999999988</v>
      </c>
      <c r="F282" s="700"/>
      <c r="G282" s="707"/>
      <c r="H282" s="721">
        <v>158.76</v>
      </c>
      <c r="I282" s="700"/>
      <c r="J282" s="707"/>
      <c r="K282" s="721">
        <v>97.98</v>
      </c>
      <c r="L282" s="700"/>
      <c r="M282" s="707"/>
      <c r="N282" s="721">
        <v>88.77</v>
      </c>
      <c r="O282" s="700"/>
      <c r="P282" s="707"/>
      <c r="Q282" s="721">
        <v>28.72</v>
      </c>
      <c r="R282" s="700"/>
      <c r="S282" s="707"/>
      <c r="T282" s="721">
        <v>46.19</v>
      </c>
      <c r="U282" s="700"/>
      <c r="V282" s="707"/>
      <c r="W282" s="721">
        <v>19.329999999999998</v>
      </c>
      <c r="X282" s="700"/>
      <c r="Y282" s="707"/>
      <c r="Z282" s="721">
        <v>11.94</v>
      </c>
      <c r="AA282" s="700"/>
      <c r="AB282" s="707"/>
      <c r="AC282" s="721">
        <v>44.65</v>
      </c>
      <c r="AD282" s="700"/>
      <c r="AE282" s="707"/>
      <c r="AF282" s="721">
        <v>17.11</v>
      </c>
      <c r="AG282" s="700"/>
      <c r="AH282" s="707"/>
      <c r="AI282" s="721">
        <v>19.09</v>
      </c>
      <c r="AJ282" s="700"/>
      <c r="AK282" s="707"/>
      <c r="AL282" s="721">
        <v>25.53</v>
      </c>
      <c r="AM282" s="700"/>
      <c r="AN282" s="707"/>
      <c r="AO282" s="1109">
        <v>29.56</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CarrosserieDivers</v>
      </c>
      <c r="B283" s="54" t="s">
        <v>140</v>
      </c>
      <c r="C283" s="700"/>
      <c r="D283" s="707"/>
      <c r="E283" s="721">
        <v>436.65999999999997</v>
      </c>
      <c r="F283" s="700"/>
      <c r="G283" s="707"/>
      <c r="H283" s="721">
        <v>19.57</v>
      </c>
      <c r="I283" s="700"/>
      <c r="J283" s="707"/>
      <c r="K283" s="721">
        <v>15.58</v>
      </c>
      <c r="L283" s="700"/>
      <c r="M283" s="707"/>
      <c r="N283" s="721">
        <v>15.58</v>
      </c>
      <c r="O283" s="700"/>
      <c r="P283" s="707"/>
      <c r="Q283" s="721">
        <v>26.49</v>
      </c>
      <c r="R283" s="700"/>
      <c r="S283" s="707"/>
      <c r="T283" s="721">
        <v>24.43</v>
      </c>
      <c r="U283" s="700"/>
      <c r="V283" s="707"/>
      <c r="W283" s="721">
        <v>13.72</v>
      </c>
      <c r="X283" s="700"/>
      <c r="Y283" s="707"/>
      <c r="Z283" s="721">
        <v>13.72</v>
      </c>
      <c r="AA283" s="700"/>
      <c r="AB283" s="707"/>
      <c r="AC283" s="721">
        <v>13.72</v>
      </c>
      <c r="AD283" s="700"/>
      <c r="AE283" s="707"/>
      <c r="AF283" s="721">
        <v>29.47</v>
      </c>
      <c r="AG283" s="700"/>
      <c r="AH283" s="707"/>
      <c r="AI283" s="721">
        <v>13.72</v>
      </c>
      <c r="AJ283" s="700"/>
      <c r="AK283" s="707"/>
      <c r="AL283" s="721">
        <v>89.76</v>
      </c>
      <c r="AM283" s="700"/>
      <c r="AN283" s="707"/>
      <c r="AO283" s="1109">
        <v>160.9</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CarrosserieFormation</v>
      </c>
      <c r="B284" s="54" t="s">
        <v>141</v>
      </c>
      <c r="C284" s="700"/>
      <c r="D284" s="707"/>
      <c r="E284" s="721">
        <v>868.87</v>
      </c>
      <c r="F284" s="700"/>
      <c r="G284" s="707"/>
      <c r="H284" s="721">
        <v>22.33</v>
      </c>
      <c r="I284" s="700"/>
      <c r="J284" s="707"/>
      <c r="K284" s="721">
        <v>66.58</v>
      </c>
      <c r="L284" s="700"/>
      <c r="M284" s="707"/>
      <c r="N284" s="721">
        <v>148.75</v>
      </c>
      <c r="O284" s="700"/>
      <c r="P284" s="707"/>
      <c r="Q284" s="721">
        <v>22.33</v>
      </c>
      <c r="R284" s="700"/>
      <c r="S284" s="707"/>
      <c r="T284" s="721">
        <v>-9.5500000000000007</v>
      </c>
      <c r="U284" s="700"/>
      <c r="V284" s="707"/>
      <c r="W284" s="721">
        <v>22.33</v>
      </c>
      <c r="X284" s="700"/>
      <c r="Y284" s="707"/>
      <c r="Z284" s="721">
        <v>131.96</v>
      </c>
      <c r="AA284" s="700"/>
      <c r="AB284" s="707"/>
      <c r="AC284" s="721">
        <v>91.95</v>
      </c>
      <c r="AD284" s="700"/>
      <c r="AE284" s="707"/>
      <c r="AF284" s="721">
        <v>90.63</v>
      </c>
      <c r="AG284" s="700"/>
      <c r="AH284" s="707"/>
      <c r="AI284" s="721">
        <v>133.72</v>
      </c>
      <c r="AJ284" s="700"/>
      <c r="AK284" s="707"/>
      <c r="AL284" s="721">
        <v>125.51</v>
      </c>
      <c r="AM284" s="700"/>
      <c r="AN284" s="707"/>
      <c r="AO284" s="1109">
        <v>22.33</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3"/>
        <v>CarrosserieFrais bancaires</v>
      </c>
      <c r="B285" s="54" t="s">
        <v>142</v>
      </c>
      <c r="C285" s="700"/>
      <c r="D285" s="707"/>
      <c r="E285" s="721">
        <v>2670.5399999999995</v>
      </c>
      <c r="F285" s="700"/>
      <c r="G285" s="707"/>
      <c r="H285" s="721">
        <v>155.71</v>
      </c>
      <c r="I285" s="700"/>
      <c r="J285" s="707"/>
      <c r="K285" s="721">
        <v>120.3</v>
      </c>
      <c r="L285" s="700"/>
      <c r="M285" s="707"/>
      <c r="N285" s="721">
        <v>206.67</v>
      </c>
      <c r="O285" s="700"/>
      <c r="P285" s="707"/>
      <c r="Q285" s="721">
        <v>256.04000000000002</v>
      </c>
      <c r="R285" s="700"/>
      <c r="S285" s="707"/>
      <c r="T285" s="721">
        <v>253.32</v>
      </c>
      <c r="U285" s="700"/>
      <c r="V285" s="707"/>
      <c r="W285" s="721">
        <v>195.21</v>
      </c>
      <c r="X285" s="700"/>
      <c r="Y285" s="707"/>
      <c r="Z285" s="721">
        <v>216.81</v>
      </c>
      <c r="AA285" s="700"/>
      <c r="AB285" s="707"/>
      <c r="AC285" s="721">
        <v>210.56</v>
      </c>
      <c r="AD285" s="700"/>
      <c r="AE285" s="707"/>
      <c r="AF285" s="721">
        <v>223.14</v>
      </c>
      <c r="AG285" s="700"/>
      <c r="AH285" s="707"/>
      <c r="AI285" s="721">
        <v>258.08</v>
      </c>
      <c r="AJ285" s="700"/>
      <c r="AK285" s="707"/>
      <c r="AL285" s="721">
        <v>353.23</v>
      </c>
      <c r="AM285" s="700"/>
      <c r="AN285" s="707"/>
      <c r="AO285" s="1109">
        <v>221.47</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3"/>
        <v>Carrosserie[...]</v>
      </c>
      <c r="B288" s="54" t="s">
        <v>59</v>
      </c>
      <c r="C288" s="700"/>
      <c r="D288" s="707"/>
      <c r="E288" s="708"/>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CarrosserieTOTAL SEMI-FIXES</v>
      </c>
      <c r="B289" s="64" t="s">
        <v>143</v>
      </c>
      <c r="C289" s="732" t="s">
        <v>119</v>
      </c>
      <c r="D289" s="1036">
        <v>0</v>
      </c>
      <c r="E289" s="733">
        <v>53307.710000000006</v>
      </c>
      <c r="F289" s="732" t="s">
        <v>119</v>
      </c>
      <c r="G289" s="1036">
        <v>0</v>
      </c>
      <c r="H289" s="733">
        <v>15678.189999999997</v>
      </c>
      <c r="I289" s="732" t="s">
        <v>119</v>
      </c>
      <c r="J289" s="1036">
        <v>0</v>
      </c>
      <c r="K289" s="733">
        <v>2950.36</v>
      </c>
      <c r="L289" s="732" t="s">
        <v>119</v>
      </c>
      <c r="M289" s="1036">
        <v>0</v>
      </c>
      <c r="N289" s="733">
        <v>4025.41</v>
      </c>
      <c r="O289" s="732" t="s">
        <v>119</v>
      </c>
      <c r="P289" s="1036">
        <v>0</v>
      </c>
      <c r="Q289" s="733">
        <v>4052.7599999999993</v>
      </c>
      <c r="R289" s="732" t="s">
        <v>119</v>
      </c>
      <c r="S289" s="1036">
        <v>0</v>
      </c>
      <c r="T289" s="733">
        <v>3809.61</v>
      </c>
      <c r="U289" s="732" t="s">
        <v>119</v>
      </c>
      <c r="V289" s="1036">
        <v>0</v>
      </c>
      <c r="W289" s="1115">
        <v>2934.7399999999993</v>
      </c>
      <c r="X289" s="732" t="s">
        <v>119</v>
      </c>
      <c r="Y289" s="1036">
        <v>0</v>
      </c>
      <c r="Z289" s="1115">
        <v>3398.75</v>
      </c>
      <c r="AA289" s="732" t="s">
        <v>119</v>
      </c>
      <c r="AB289" s="1036">
        <v>0</v>
      </c>
      <c r="AC289" s="1115">
        <v>3080.8100000000004</v>
      </c>
      <c r="AD289" s="732" t="s">
        <v>119</v>
      </c>
      <c r="AE289" s="1036">
        <v>0</v>
      </c>
      <c r="AF289" s="1115">
        <v>3380.19</v>
      </c>
      <c r="AG289" s="732" t="s">
        <v>119</v>
      </c>
      <c r="AH289" s="1025">
        <v>0</v>
      </c>
      <c r="AI289" s="733">
        <v>3495.0999999999995</v>
      </c>
      <c r="AJ289" s="732" t="s">
        <v>119</v>
      </c>
      <c r="AK289" s="1025">
        <v>0</v>
      </c>
      <c r="AL289" s="733">
        <v>4670.18</v>
      </c>
      <c r="AM289" s="732" t="s">
        <v>119</v>
      </c>
      <c r="AN289" s="1025">
        <v>0</v>
      </c>
      <c r="AO289" s="733">
        <v>1831.61</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v>
      </c>
      <c r="B290" s="43"/>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CarrosserieTOTAL DES DÉPENSES</v>
      </c>
      <c r="B291" s="53" t="s">
        <v>144</v>
      </c>
      <c r="C291" s="1024" t="s">
        <v>119</v>
      </c>
      <c r="D291" s="1046">
        <v>0</v>
      </c>
      <c r="E291" s="1034">
        <v>146082.66</v>
      </c>
      <c r="F291" s="1024" t="s">
        <v>119</v>
      </c>
      <c r="G291" s="1046">
        <v>0</v>
      </c>
      <c r="H291" s="1034">
        <v>23078.189999999995</v>
      </c>
      <c r="I291" s="1024" t="s">
        <v>119</v>
      </c>
      <c r="J291" s="1046">
        <v>0</v>
      </c>
      <c r="K291" s="1034">
        <v>9586.27</v>
      </c>
      <c r="L291" s="1024" t="s">
        <v>119</v>
      </c>
      <c r="M291" s="1046">
        <v>0</v>
      </c>
      <c r="N291" s="1034">
        <v>11134.259999999998</v>
      </c>
      <c r="O291" s="1024" t="s">
        <v>119</v>
      </c>
      <c r="P291" s="1046">
        <v>0</v>
      </c>
      <c r="Q291" s="1034">
        <v>11801.91</v>
      </c>
      <c r="R291" s="1024" t="s">
        <v>119</v>
      </c>
      <c r="S291" s="1046">
        <v>0</v>
      </c>
      <c r="T291" s="1034">
        <v>12332.689999999999</v>
      </c>
      <c r="U291" s="1024" t="s">
        <v>119</v>
      </c>
      <c r="V291" s="1046">
        <v>0</v>
      </c>
      <c r="W291" s="1114">
        <v>9252.6999999999989</v>
      </c>
      <c r="X291" s="1024" t="s">
        <v>119</v>
      </c>
      <c r="Y291" s="1046">
        <v>0</v>
      </c>
      <c r="Z291" s="1114">
        <v>8318.99</v>
      </c>
      <c r="AA291" s="1024" t="s">
        <v>119</v>
      </c>
      <c r="AB291" s="1046">
        <v>0</v>
      </c>
      <c r="AC291" s="1114">
        <v>10778.310000000001</v>
      </c>
      <c r="AD291" s="1024" t="s">
        <v>119</v>
      </c>
      <c r="AE291" s="1046">
        <v>0</v>
      </c>
      <c r="AF291" s="1114">
        <v>11504.05</v>
      </c>
      <c r="AG291" s="1024" t="s">
        <v>119</v>
      </c>
      <c r="AH291" s="1025">
        <v>0</v>
      </c>
      <c r="AI291" s="1034">
        <v>13531.09</v>
      </c>
      <c r="AJ291" s="1024" t="s">
        <v>119</v>
      </c>
      <c r="AK291" s="1025">
        <v>0</v>
      </c>
      <c r="AL291" s="1034">
        <v>13522.390000000001</v>
      </c>
      <c r="AM291" s="1024" t="s">
        <v>119</v>
      </c>
      <c r="AN291" s="1025">
        <v>0</v>
      </c>
      <c r="AO291" s="1034">
        <v>11241.81</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3"/>
        <v>Carrosserie</v>
      </c>
      <c r="B292" s="44"/>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thickBot="1">
      <c r="A293" s="39" t="str">
        <f t="shared" si="3"/>
        <v>CarrosseriePROFIT DÉPARTEMENTAL</v>
      </c>
      <c r="B293" s="57" t="s">
        <v>151</v>
      </c>
      <c r="C293" s="1037"/>
      <c r="D293" s="1048"/>
      <c r="E293" s="1040">
        <v>-46337.800000000134</v>
      </c>
      <c r="F293" s="1037"/>
      <c r="G293" s="1048"/>
      <c r="H293" s="1040">
        <v>-20798.630000000005</v>
      </c>
      <c r="I293" s="1037"/>
      <c r="J293" s="1048"/>
      <c r="K293" s="1040">
        <v>-4680.3600000000006</v>
      </c>
      <c r="L293" s="1037"/>
      <c r="M293" s="1048"/>
      <c r="N293" s="1040">
        <v>-8391.4299999999985</v>
      </c>
      <c r="O293" s="1037"/>
      <c r="P293" s="1048"/>
      <c r="Q293" s="1040">
        <v>-7486.32</v>
      </c>
      <c r="R293" s="1037"/>
      <c r="S293" s="1048"/>
      <c r="T293" s="1040">
        <v>-10303.700000000008</v>
      </c>
      <c r="U293" s="1037"/>
      <c r="V293" s="1048"/>
      <c r="W293" s="1117">
        <v>-5667.7099999999991</v>
      </c>
      <c r="X293" s="1037"/>
      <c r="Y293" s="1048"/>
      <c r="Z293" s="1117">
        <v>1329.5999999999894</v>
      </c>
      <c r="AA293" s="1037"/>
      <c r="AB293" s="1048"/>
      <c r="AC293" s="1117">
        <v>-1291.4800000000105</v>
      </c>
      <c r="AD293" s="1037"/>
      <c r="AE293" s="1048"/>
      <c r="AF293" s="1117">
        <v>1514.9500000000007</v>
      </c>
      <c r="AG293" s="1037"/>
      <c r="AH293" s="1048"/>
      <c r="AI293" s="1040">
        <v>1145.6199999999008</v>
      </c>
      <c r="AJ293" s="1037"/>
      <c r="AK293" s="1048"/>
      <c r="AL293" s="1040">
        <v>7915.83</v>
      </c>
      <c r="AM293" s="1037"/>
      <c r="AN293" s="1048"/>
      <c r="AO293" s="1040">
        <v>375.82999999999993</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48"/>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1" t="s">
        <v>3840</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Bot="1">
      <c r="A296" s="39"/>
      <c r="B296" s="62"/>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thickTop="1">
      <c r="A297" s="39"/>
      <c r="B297" s="40" t="s">
        <v>3</v>
      </c>
      <c r="C297" s="685">
        <v>2025</v>
      </c>
      <c r="D297" s="686"/>
      <c r="E297" s="687"/>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57" si="4">+$C$295&amp;B298</f>
        <v>Pièces</v>
      </c>
      <c r="B298" s="44"/>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Clients</v>
      </c>
      <c r="B299" s="44" t="s">
        <v>182</v>
      </c>
      <c r="C299" s="754">
        <v>1068736.54</v>
      </c>
      <c r="D299" s="751">
        <v>0.3426406287184674</v>
      </c>
      <c r="E299" s="721">
        <v>366192.55999999947</v>
      </c>
      <c r="F299" s="754">
        <v>67070.5</v>
      </c>
      <c r="G299" s="751">
        <v>0.32451867810736468</v>
      </c>
      <c r="H299" s="721">
        <v>21765.63</v>
      </c>
      <c r="I299" s="754">
        <v>60578.83</v>
      </c>
      <c r="J299" s="751">
        <v>0.28341881148909609</v>
      </c>
      <c r="K299" s="721">
        <v>17169.18</v>
      </c>
      <c r="L299" s="754">
        <v>76633.429999999993</v>
      </c>
      <c r="M299" s="751">
        <v>0.30231636506417503</v>
      </c>
      <c r="N299" s="721">
        <v>23167.539999999899</v>
      </c>
      <c r="O299" s="754">
        <v>79614.17</v>
      </c>
      <c r="P299" s="751">
        <v>0.33377638679144556</v>
      </c>
      <c r="Q299" s="721">
        <v>26573.3299999999</v>
      </c>
      <c r="R299" s="754">
        <v>118021.43</v>
      </c>
      <c r="S299" s="751">
        <v>0.31805825433567364</v>
      </c>
      <c r="T299" s="721">
        <v>37537.6899999999</v>
      </c>
      <c r="U299" s="754">
        <v>86209.07</v>
      </c>
      <c r="V299" s="751">
        <v>0.33914215754792387</v>
      </c>
      <c r="W299" s="721">
        <v>29237.13</v>
      </c>
      <c r="X299" s="754">
        <v>87058.76</v>
      </c>
      <c r="Y299" s="751">
        <v>0.34657282047205706</v>
      </c>
      <c r="Z299" s="721">
        <v>30172.199999999899</v>
      </c>
      <c r="AA299" s="754">
        <v>86794.299999999901</v>
      </c>
      <c r="AB299" s="751">
        <v>0.37558307400370688</v>
      </c>
      <c r="AC299" s="721">
        <v>32598.469999999899</v>
      </c>
      <c r="AD299" s="754">
        <v>86276.05</v>
      </c>
      <c r="AE299" s="751">
        <v>0.38774375971083513</v>
      </c>
      <c r="AF299" s="721">
        <v>33453</v>
      </c>
      <c r="AG299" s="754">
        <v>113725.39</v>
      </c>
      <c r="AH299" s="751">
        <v>0.33353070936929741</v>
      </c>
      <c r="AI299" s="721">
        <v>37930.910000000003</v>
      </c>
      <c r="AJ299" s="754">
        <v>130393.98</v>
      </c>
      <c r="AK299" s="751">
        <v>0.37232447387525103</v>
      </c>
      <c r="AL299" s="721">
        <v>48548.87</v>
      </c>
      <c r="AM299" s="754">
        <v>76360.63</v>
      </c>
      <c r="AN299" s="751">
        <v>0.36718672960136656</v>
      </c>
      <c r="AO299" s="721">
        <v>28038.61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PiècesPièces Ro Carrosserie</v>
      </c>
      <c r="B300" s="44" t="s">
        <v>183</v>
      </c>
      <c r="C300" s="754">
        <v>326097.83</v>
      </c>
      <c r="D300" s="751">
        <v>0.23345794726692898</v>
      </c>
      <c r="E300" s="721">
        <v>76130.129999999976</v>
      </c>
      <c r="F300" s="754">
        <v>2353.8200000000002</v>
      </c>
      <c r="G300" s="751">
        <v>0.27891682456602457</v>
      </c>
      <c r="H300" s="721">
        <v>656.52</v>
      </c>
      <c r="I300" s="754">
        <v>10964.62</v>
      </c>
      <c r="J300" s="751">
        <v>0.23183931590880485</v>
      </c>
      <c r="K300" s="721">
        <v>2542.0300000000002</v>
      </c>
      <c r="L300" s="754">
        <v>4912.8599999999997</v>
      </c>
      <c r="M300" s="751">
        <v>0.21582336968690133</v>
      </c>
      <c r="N300" s="721">
        <v>1060.3099999999899</v>
      </c>
      <c r="O300" s="754">
        <v>5388.62</v>
      </c>
      <c r="P300" s="751">
        <v>0.25085829024870748</v>
      </c>
      <c r="Q300" s="721">
        <v>1351.77999999999</v>
      </c>
      <c r="R300" s="754">
        <v>1379.61</v>
      </c>
      <c r="S300" s="751">
        <v>0.23078986090271819</v>
      </c>
      <c r="T300" s="721">
        <v>318.39999999999901</v>
      </c>
      <c r="U300" s="754">
        <v>6139.71</v>
      </c>
      <c r="V300" s="751">
        <v>0.23077474343250742</v>
      </c>
      <c r="W300" s="721">
        <v>1416.89</v>
      </c>
      <c r="X300" s="754">
        <v>18886.29</v>
      </c>
      <c r="Y300" s="751">
        <v>0.23393848130045655</v>
      </c>
      <c r="Z300" s="721">
        <v>4418.2299999999996</v>
      </c>
      <c r="AA300" s="754">
        <v>7894.69</v>
      </c>
      <c r="AB300" s="751">
        <v>0.23078170263810233</v>
      </c>
      <c r="AC300" s="721">
        <v>1821.95</v>
      </c>
      <c r="AD300" s="754">
        <v>61917.71</v>
      </c>
      <c r="AE300" s="751">
        <v>0.23422248658744002</v>
      </c>
      <c r="AF300" s="721">
        <v>14502.52</v>
      </c>
      <c r="AG300" s="754">
        <v>65502.26</v>
      </c>
      <c r="AH300" s="751">
        <v>0.23487235402259402</v>
      </c>
      <c r="AI300" s="721">
        <v>15384.67</v>
      </c>
      <c r="AJ300" s="754">
        <v>79245.39</v>
      </c>
      <c r="AK300" s="751">
        <v>0.23140828759881174</v>
      </c>
      <c r="AL300" s="721">
        <v>18338.04</v>
      </c>
      <c r="AM300" s="754">
        <v>61512.25</v>
      </c>
      <c r="AN300" s="751">
        <v>0.2327794870127495</v>
      </c>
      <c r="AO300" s="721">
        <v>14318.79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PiècesP/A Garantie</v>
      </c>
      <c r="B301" s="44" t="s">
        <v>184</v>
      </c>
      <c r="C301" s="754">
        <v>1034204.6900000002</v>
      </c>
      <c r="D301" s="751">
        <v>0.23300102226378366</v>
      </c>
      <c r="E301" s="721">
        <v>240970.74999999953</v>
      </c>
      <c r="F301" s="754">
        <v>93363.8</v>
      </c>
      <c r="G301" s="751">
        <v>0.2310724285001253</v>
      </c>
      <c r="H301" s="721">
        <v>21573.8</v>
      </c>
      <c r="I301" s="754">
        <v>81364.36</v>
      </c>
      <c r="J301" s="751">
        <v>0.23102350955627257</v>
      </c>
      <c r="K301" s="721">
        <v>18797.080000000002</v>
      </c>
      <c r="L301" s="754">
        <v>136018.10999999999</v>
      </c>
      <c r="M301" s="751">
        <v>0.23098468284848175</v>
      </c>
      <c r="N301" s="721">
        <v>31418.0999999999</v>
      </c>
      <c r="O301" s="754">
        <v>49369.33</v>
      </c>
      <c r="P301" s="751">
        <v>0.24429944664025213</v>
      </c>
      <c r="Q301" s="721">
        <v>12060.9</v>
      </c>
      <c r="R301" s="754">
        <v>85718.31</v>
      </c>
      <c r="S301" s="751">
        <v>0.2366525891609389</v>
      </c>
      <c r="T301" s="721">
        <v>20285.46</v>
      </c>
      <c r="U301" s="754">
        <v>73741.789999999994</v>
      </c>
      <c r="V301" s="751">
        <v>0.23132961649018696</v>
      </c>
      <c r="W301" s="721">
        <v>17058.659999999902</v>
      </c>
      <c r="X301" s="754">
        <v>95506.71</v>
      </c>
      <c r="Y301" s="751">
        <v>0.23560993777295858</v>
      </c>
      <c r="Z301" s="721">
        <v>22502.33</v>
      </c>
      <c r="AA301" s="754">
        <v>101671.38</v>
      </c>
      <c r="AB301" s="751">
        <v>0.23110790863662811</v>
      </c>
      <c r="AC301" s="721">
        <v>23497.059999999899</v>
      </c>
      <c r="AD301" s="754">
        <v>97642.15</v>
      </c>
      <c r="AE301" s="751">
        <v>0.23087375687651185</v>
      </c>
      <c r="AF301" s="721">
        <v>22543.0099999999</v>
      </c>
      <c r="AG301" s="754">
        <v>95605.78</v>
      </c>
      <c r="AH301" s="751">
        <v>0.23241199433757978</v>
      </c>
      <c r="AI301" s="721">
        <v>22219.929999999898</v>
      </c>
      <c r="AJ301" s="754">
        <v>17813.3</v>
      </c>
      <c r="AK301" s="751">
        <v>0.23083426428567419</v>
      </c>
      <c r="AL301" s="721">
        <v>4111.92</v>
      </c>
      <c r="AM301" s="754">
        <v>106389.67</v>
      </c>
      <c r="AN301" s="751">
        <v>0.23406877754203018</v>
      </c>
      <c r="AO301" s="721">
        <v>24902.5</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Internes</v>
      </c>
      <c r="B302" s="44" t="s">
        <v>185</v>
      </c>
      <c r="C302" s="754">
        <v>777694.79999999993</v>
      </c>
      <c r="D302" s="751">
        <v>0.28146415534731545</v>
      </c>
      <c r="E302" s="721">
        <v>218893.20999999941</v>
      </c>
      <c r="F302" s="754">
        <v>80439.509999999995</v>
      </c>
      <c r="G302" s="751">
        <v>0.26709399398380101</v>
      </c>
      <c r="H302" s="721">
        <v>21484.909999999902</v>
      </c>
      <c r="I302" s="754">
        <v>63496.06</v>
      </c>
      <c r="J302" s="751">
        <v>0.25951720468955081</v>
      </c>
      <c r="K302" s="721">
        <v>16478.32</v>
      </c>
      <c r="L302" s="754">
        <v>47434.68</v>
      </c>
      <c r="M302" s="751">
        <v>0.278487385178945</v>
      </c>
      <c r="N302" s="721">
        <v>13209.96</v>
      </c>
      <c r="O302" s="754">
        <v>51699.32</v>
      </c>
      <c r="P302" s="751">
        <v>0.32751823428238519</v>
      </c>
      <c r="Q302" s="721">
        <v>16932.47</v>
      </c>
      <c r="R302" s="754">
        <v>56839.72</v>
      </c>
      <c r="S302" s="751">
        <v>0.28767435870549679</v>
      </c>
      <c r="T302" s="721">
        <v>16351.33</v>
      </c>
      <c r="U302" s="754">
        <v>66243.42</v>
      </c>
      <c r="V302" s="751">
        <v>0.28202242577451314</v>
      </c>
      <c r="W302" s="721">
        <v>18682.129999999899</v>
      </c>
      <c r="X302" s="754">
        <v>73676.91</v>
      </c>
      <c r="Y302" s="751">
        <v>0.28959995743578282</v>
      </c>
      <c r="Z302" s="721">
        <v>21336.83</v>
      </c>
      <c r="AA302" s="754">
        <v>70514.59</v>
      </c>
      <c r="AB302" s="751">
        <v>0.29256314189729954</v>
      </c>
      <c r="AC302" s="721">
        <v>20629.969999999899</v>
      </c>
      <c r="AD302" s="754">
        <v>82005.509999999995</v>
      </c>
      <c r="AE302" s="751">
        <v>0.28171643588339251</v>
      </c>
      <c r="AF302" s="721">
        <v>23102.299999999901</v>
      </c>
      <c r="AG302" s="754">
        <v>47768.99</v>
      </c>
      <c r="AH302" s="751">
        <v>0.27434157598893971</v>
      </c>
      <c r="AI302" s="721">
        <v>13105.0199999999</v>
      </c>
      <c r="AJ302" s="754">
        <v>71056.259999999995</v>
      </c>
      <c r="AK302" s="751">
        <v>0.24788048231077603</v>
      </c>
      <c r="AL302" s="721">
        <v>17613.459999999901</v>
      </c>
      <c r="AM302" s="754">
        <v>66519.83</v>
      </c>
      <c r="AN302" s="751">
        <v>0.30015876468716168</v>
      </c>
      <c r="AO302" s="721">
        <v>19966.509999999998</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Détails</v>
      </c>
      <c r="B303" s="44" t="s">
        <v>186</v>
      </c>
      <c r="C303" s="754">
        <v>221768.57</v>
      </c>
      <c r="D303" s="751">
        <v>0.28474386609427987</v>
      </c>
      <c r="E303" s="721">
        <v>63147.23999999994</v>
      </c>
      <c r="F303" s="754">
        <v>11490.9</v>
      </c>
      <c r="G303" s="751">
        <v>0.34181569763900044</v>
      </c>
      <c r="H303" s="721">
        <v>3927.76999999999</v>
      </c>
      <c r="I303" s="754">
        <v>19021.86</v>
      </c>
      <c r="J303" s="751">
        <v>0.28937180696314663</v>
      </c>
      <c r="K303" s="721">
        <v>5504.39</v>
      </c>
      <c r="L303" s="754">
        <v>13465.41</v>
      </c>
      <c r="M303" s="751">
        <v>0.33371356683532105</v>
      </c>
      <c r="N303" s="721">
        <v>4493.59</v>
      </c>
      <c r="O303" s="754">
        <v>18999.689999999999</v>
      </c>
      <c r="P303" s="751">
        <v>0.26101741659995453</v>
      </c>
      <c r="Q303" s="721">
        <v>4959.24999999999</v>
      </c>
      <c r="R303" s="754">
        <v>22502.2</v>
      </c>
      <c r="S303" s="751">
        <v>0.24628525210868227</v>
      </c>
      <c r="T303" s="721">
        <v>5541.95999999999</v>
      </c>
      <c r="U303" s="754">
        <v>18169.66</v>
      </c>
      <c r="V303" s="751">
        <v>0.29129438855762796</v>
      </c>
      <c r="W303" s="721">
        <v>5292.7199999999903</v>
      </c>
      <c r="X303" s="754">
        <v>15743.02</v>
      </c>
      <c r="Y303" s="751">
        <v>0.29404713962124163</v>
      </c>
      <c r="Z303" s="721">
        <v>4629.1899999999996</v>
      </c>
      <c r="AA303" s="754">
        <v>14854.09</v>
      </c>
      <c r="AB303" s="751">
        <v>0.31747081106954378</v>
      </c>
      <c r="AC303" s="721">
        <v>4715.74</v>
      </c>
      <c r="AD303" s="754">
        <v>25579.81</v>
      </c>
      <c r="AE303" s="751">
        <v>0.29575669248520609</v>
      </c>
      <c r="AF303" s="721">
        <v>7565.4</v>
      </c>
      <c r="AG303" s="754">
        <v>21253.360000000001</v>
      </c>
      <c r="AH303" s="751">
        <v>0.24759708582548831</v>
      </c>
      <c r="AI303" s="721">
        <v>5262.27</v>
      </c>
      <c r="AJ303" s="754">
        <v>28107.19</v>
      </c>
      <c r="AK303" s="751">
        <v>0.26250756479036114</v>
      </c>
      <c r="AL303" s="721">
        <v>7378.3499999999904</v>
      </c>
      <c r="AM303" s="754">
        <v>12581.38</v>
      </c>
      <c r="AN303" s="751">
        <v>0.3081227973401956</v>
      </c>
      <c r="AO303" s="721">
        <v>3876.6099999999901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PiècesVentes de Gros</v>
      </c>
      <c r="B304" s="44" t="s">
        <v>187</v>
      </c>
      <c r="C304" s="754">
        <v>2334098.1999999997</v>
      </c>
      <c r="D304" s="751">
        <v>0.13910266071924443</v>
      </c>
      <c r="E304" s="721">
        <v>324679.26999999909</v>
      </c>
      <c r="F304" s="754">
        <v>197836.52</v>
      </c>
      <c r="G304" s="751">
        <v>0.12331332961174156</v>
      </c>
      <c r="H304" s="721">
        <v>24395.879999999899</v>
      </c>
      <c r="I304" s="754">
        <v>198781.86</v>
      </c>
      <c r="J304" s="751">
        <v>0.12800126731885847</v>
      </c>
      <c r="K304" s="721">
        <v>25444.3299999999</v>
      </c>
      <c r="L304" s="754">
        <v>219537.13</v>
      </c>
      <c r="M304" s="751">
        <v>0.15792066699605664</v>
      </c>
      <c r="N304" s="721">
        <v>34669.449999999997</v>
      </c>
      <c r="O304" s="754">
        <v>185450.93</v>
      </c>
      <c r="P304" s="751">
        <v>0.1377988236564783</v>
      </c>
      <c r="Q304" s="721">
        <v>25554.9199999999</v>
      </c>
      <c r="R304" s="754">
        <v>196342.46</v>
      </c>
      <c r="S304" s="751">
        <v>0.13329399051025387</v>
      </c>
      <c r="T304" s="721">
        <v>26171.269999999899</v>
      </c>
      <c r="U304" s="754">
        <v>164152.71</v>
      </c>
      <c r="V304" s="751">
        <v>0.13230771517570378</v>
      </c>
      <c r="W304" s="721">
        <v>21718.6699999999</v>
      </c>
      <c r="X304" s="754">
        <v>186492.61</v>
      </c>
      <c r="Y304" s="751">
        <v>0.13094845956630616</v>
      </c>
      <c r="Z304" s="721">
        <v>24420.9199999999</v>
      </c>
      <c r="AA304" s="754">
        <v>199492.56</v>
      </c>
      <c r="AB304" s="751">
        <v>0.14976428193612784</v>
      </c>
      <c r="AC304" s="721">
        <v>29876.859999999899</v>
      </c>
      <c r="AD304" s="754">
        <v>193165.16</v>
      </c>
      <c r="AE304" s="751">
        <v>0.12674071245560017</v>
      </c>
      <c r="AF304" s="721">
        <v>24481.89</v>
      </c>
      <c r="AG304" s="754">
        <v>228136.25</v>
      </c>
      <c r="AH304" s="751">
        <v>0.17792555983540495</v>
      </c>
      <c r="AI304" s="721">
        <v>40591.269999999902</v>
      </c>
      <c r="AJ304" s="754">
        <v>193330.53</v>
      </c>
      <c r="AK304" s="751">
        <v>0.11165168791499148</v>
      </c>
      <c r="AL304" s="721">
        <v>21585.679999999898</v>
      </c>
      <c r="AM304" s="754">
        <v>171379.48</v>
      </c>
      <c r="AN304" s="751">
        <v>0.15035714894221874</v>
      </c>
      <c r="AO304" s="721">
        <v>25768.13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v>
      </c>
      <c r="B305" s="44" t="s">
        <v>59</v>
      </c>
      <c r="C305" s="754"/>
      <c r="D305" s="751"/>
      <c r="E305" s="721"/>
      <c r="F305" s="754"/>
      <c r="G305" s="751"/>
      <c r="H305" s="721"/>
      <c r="I305" s="754"/>
      <c r="J305" s="751"/>
      <c r="K305" s="721"/>
      <c r="L305" s="754"/>
      <c r="M305" s="751"/>
      <c r="N305" s="721"/>
      <c r="O305" s="754"/>
      <c r="P305" s="751"/>
      <c r="Q305" s="721"/>
      <c r="R305" s="754"/>
      <c r="S305" s="751"/>
      <c r="T305" s="721"/>
      <c r="U305" s="754"/>
      <c r="V305" s="751"/>
      <c r="W305" s="721"/>
      <c r="X305" s="754"/>
      <c r="Y305" s="751"/>
      <c r="Z305" s="721"/>
      <c r="AA305" s="754"/>
      <c r="AB305" s="751"/>
      <c r="AC305" s="721"/>
      <c r="AD305" s="754"/>
      <c r="AE305" s="751"/>
      <c r="AF305" s="721"/>
      <c r="AG305" s="754"/>
      <c r="AH305" s="751"/>
      <c r="AI305" s="721"/>
      <c r="AJ305" s="754"/>
      <c r="AK305" s="751"/>
      <c r="AL305" s="721"/>
      <c r="AM305" s="754"/>
      <c r="AN305" s="751"/>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PiècesEscomptes</v>
      </c>
      <c r="B306" s="44" t="s">
        <v>188</v>
      </c>
      <c r="C306" s="754">
        <v>0</v>
      </c>
      <c r="D306" s="751">
        <v>0</v>
      </c>
      <c r="E306" s="721">
        <v>221717.48999999996</v>
      </c>
      <c r="F306" s="754">
        <v>0</v>
      </c>
      <c r="G306" s="751">
        <v>0</v>
      </c>
      <c r="H306" s="721">
        <v>6625.76</v>
      </c>
      <c r="I306" s="754">
        <v>0</v>
      </c>
      <c r="J306" s="751">
        <v>0</v>
      </c>
      <c r="K306" s="721">
        <v>5644.3099999999904</v>
      </c>
      <c r="L306" s="754">
        <v>0</v>
      </c>
      <c r="M306" s="751">
        <v>0</v>
      </c>
      <c r="N306" s="721">
        <v>4948.08</v>
      </c>
      <c r="O306" s="754">
        <v>0</v>
      </c>
      <c r="P306" s="751">
        <v>0</v>
      </c>
      <c r="Q306" s="721">
        <v>8155.1299999999901</v>
      </c>
      <c r="R306" s="754">
        <v>0</v>
      </c>
      <c r="S306" s="751">
        <v>0</v>
      </c>
      <c r="T306" s="721">
        <v>22987.82</v>
      </c>
      <c r="U306" s="754">
        <v>0</v>
      </c>
      <c r="V306" s="751">
        <v>0</v>
      </c>
      <c r="W306" s="721">
        <v>5450.69</v>
      </c>
      <c r="X306" s="754">
        <v>0</v>
      </c>
      <c r="Y306" s="751">
        <v>0</v>
      </c>
      <c r="Z306" s="721">
        <v>4672.6899999999996</v>
      </c>
      <c r="AA306" s="754">
        <v>0</v>
      </c>
      <c r="AB306" s="751">
        <v>0</v>
      </c>
      <c r="AC306" s="721">
        <v>75917.240000000005</v>
      </c>
      <c r="AD306" s="754">
        <v>0</v>
      </c>
      <c r="AE306" s="751">
        <v>0</v>
      </c>
      <c r="AF306" s="721">
        <v>6967.79</v>
      </c>
      <c r="AG306" s="754">
        <v>0</v>
      </c>
      <c r="AH306" s="751">
        <v>0</v>
      </c>
      <c r="AI306" s="721">
        <v>12626.59</v>
      </c>
      <c r="AJ306" s="754">
        <v>0</v>
      </c>
      <c r="AK306" s="751">
        <v>0</v>
      </c>
      <c r="AL306" s="721">
        <v>34531.65</v>
      </c>
      <c r="AM306" s="754">
        <v>0</v>
      </c>
      <c r="AN306" s="751">
        <v>0</v>
      </c>
      <c r="AO306" s="721">
        <v>33189.74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PiècesRectif. Inventaire</v>
      </c>
      <c r="B307" s="43" t="s">
        <v>189</v>
      </c>
      <c r="C307" s="754">
        <v>0</v>
      </c>
      <c r="D307" s="751">
        <v>0</v>
      </c>
      <c r="E307" s="721">
        <v>59190.97</v>
      </c>
      <c r="F307" s="754">
        <v>0</v>
      </c>
      <c r="G307" s="751">
        <v>0</v>
      </c>
      <c r="H307" s="721">
        <v>0</v>
      </c>
      <c r="I307" s="754">
        <v>0</v>
      </c>
      <c r="J307" s="751">
        <v>0</v>
      </c>
      <c r="K307" s="721">
        <v>0</v>
      </c>
      <c r="L307" s="754">
        <v>0</v>
      </c>
      <c r="M307" s="751">
        <v>0</v>
      </c>
      <c r="N307" s="721">
        <v>0</v>
      </c>
      <c r="O307" s="754">
        <v>0</v>
      </c>
      <c r="P307" s="751">
        <v>0</v>
      </c>
      <c r="Q307" s="721">
        <v>0</v>
      </c>
      <c r="R307" s="754">
        <v>0</v>
      </c>
      <c r="S307" s="751">
        <v>0</v>
      </c>
      <c r="T307" s="721">
        <v>0</v>
      </c>
      <c r="U307" s="754">
        <v>0</v>
      </c>
      <c r="V307" s="751">
        <v>0</v>
      </c>
      <c r="W307" s="721">
        <v>0</v>
      </c>
      <c r="X307" s="754">
        <v>0</v>
      </c>
      <c r="Y307" s="751">
        <v>0</v>
      </c>
      <c r="Z307" s="721">
        <v>0</v>
      </c>
      <c r="AA307" s="754">
        <v>0</v>
      </c>
      <c r="AB307" s="751">
        <v>0</v>
      </c>
      <c r="AC307" s="721">
        <v>0</v>
      </c>
      <c r="AD307" s="754">
        <v>0</v>
      </c>
      <c r="AE307" s="751">
        <v>0</v>
      </c>
      <c r="AF307" s="721">
        <v>0</v>
      </c>
      <c r="AG307" s="754">
        <v>0</v>
      </c>
      <c r="AH307" s="751">
        <v>0</v>
      </c>
      <c r="AI307" s="721">
        <v>0</v>
      </c>
      <c r="AJ307" s="754">
        <v>0</v>
      </c>
      <c r="AK307" s="751">
        <v>0</v>
      </c>
      <c r="AL307" s="721">
        <v>0</v>
      </c>
      <c r="AM307" s="754">
        <v>0</v>
      </c>
      <c r="AN307" s="751">
        <v>0</v>
      </c>
      <c r="AO307" s="721">
        <v>59190.97</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PiècesSous-total Pièces</v>
      </c>
      <c r="B308" s="47" t="s">
        <v>190</v>
      </c>
      <c r="C308" s="1068">
        <v>5762600.6299999999</v>
      </c>
      <c r="D308" s="1069">
        <v>0.27260636661541426</v>
      </c>
      <c r="E308" s="1070">
        <v>1570921.6199999973</v>
      </c>
      <c r="F308" s="1068">
        <v>452555.05</v>
      </c>
      <c r="G308" s="1069">
        <v>0.22191835004382293</v>
      </c>
      <c r="H308" s="1070">
        <v>100430.26999999979</v>
      </c>
      <c r="I308" s="1068">
        <v>434207.58999999997</v>
      </c>
      <c r="J308" s="1069">
        <v>0.21091211233778734</v>
      </c>
      <c r="K308" s="1070">
        <v>91579.639999999898</v>
      </c>
      <c r="L308" s="1068">
        <v>498001.61999999994</v>
      </c>
      <c r="M308" s="1069">
        <v>0.22684068778732047</v>
      </c>
      <c r="N308" s="1070">
        <v>112967.0299999998</v>
      </c>
      <c r="O308" s="1068">
        <v>390522.06</v>
      </c>
      <c r="P308" s="1069">
        <v>0.24476921995136403</v>
      </c>
      <c r="Q308" s="1070">
        <v>95587.779999999781</v>
      </c>
      <c r="R308" s="1068">
        <v>480803.73</v>
      </c>
      <c r="S308" s="1069">
        <v>0.26870409262423939</v>
      </c>
      <c r="T308" s="1070">
        <v>129193.92999999979</v>
      </c>
      <c r="U308" s="1068">
        <v>414656.36</v>
      </c>
      <c r="V308" s="1069">
        <v>0.23840678580210298</v>
      </c>
      <c r="W308" s="1070">
        <v>98856.889999999694</v>
      </c>
      <c r="X308" s="1068">
        <v>477364.30000000005</v>
      </c>
      <c r="Y308" s="1069">
        <v>0.23494088267597682</v>
      </c>
      <c r="Z308" s="1070">
        <v>112152.38999999981</v>
      </c>
      <c r="AA308" s="1068">
        <v>481221.60999999993</v>
      </c>
      <c r="AB308" s="1069">
        <v>0.39286949312188957</v>
      </c>
      <c r="AC308" s="1070">
        <v>189057.2899999996</v>
      </c>
      <c r="AD308" s="1068">
        <v>546586.39</v>
      </c>
      <c r="AE308" s="1069">
        <v>0.24262570826178054</v>
      </c>
      <c r="AF308" s="1070">
        <v>132615.9099999998</v>
      </c>
      <c r="AG308" s="1068">
        <v>571992.03</v>
      </c>
      <c r="AH308" s="1069">
        <v>0.25720753486722481</v>
      </c>
      <c r="AI308" s="1070">
        <v>147120.65999999971</v>
      </c>
      <c r="AJ308" s="1068">
        <v>519946.65</v>
      </c>
      <c r="AK308" s="1069">
        <v>0.2925453409498836</v>
      </c>
      <c r="AL308" s="1070">
        <v>152107.9699999998</v>
      </c>
      <c r="AM308" s="1068">
        <v>494743.24</v>
      </c>
      <c r="AN308" s="1069">
        <v>0.42295041767523694</v>
      </c>
      <c r="AO308" s="1070">
        <v>209251.86</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4"/>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
      </c>
      <c r="B310" s="43"/>
      <c r="C310" s="726"/>
      <c r="D310" s="727"/>
      <c r="E310" s="777"/>
      <c r="F310" s="726">
        <v>0</v>
      </c>
      <c r="G310" s="727">
        <v>0</v>
      </c>
      <c r="H310" s="777">
        <v>0</v>
      </c>
      <c r="I310" s="726">
        <v>0</v>
      </c>
      <c r="J310" s="727">
        <v>0</v>
      </c>
      <c r="K310" s="777">
        <v>0</v>
      </c>
      <c r="L310" s="726">
        <v>0</v>
      </c>
      <c r="M310" s="727">
        <v>0</v>
      </c>
      <c r="N310" s="777">
        <v>0</v>
      </c>
      <c r="O310" s="726">
        <v>0</v>
      </c>
      <c r="P310" s="727">
        <v>0</v>
      </c>
      <c r="Q310" s="777">
        <v>0</v>
      </c>
      <c r="R310" s="726">
        <v>0</v>
      </c>
      <c r="S310" s="727">
        <v>0</v>
      </c>
      <c r="T310" s="777">
        <v>0</v>
      </c>
      <c r="U310" s="726">
        <v>0</v>
      </c>
      <c r="V310" s="727">
        <v>0</v>
      </c>
      <c r="W310" s="777">
        <v>0</v>
      </c>
      <c r="X310" s="726">
        <v>0</v>
      </c>
      <c r="Y310" s="727">
        <v>0</v>
      </c>
      <c r="Z310" s="777">
        <v>0</v>
      </c>
      <c r="AA310" s="726">
        <v>0</v>
      </c>
      <c r="AB310" s="727">
        <v>0</v>
      </c>
      <c r="AC310" s="777">
        <v>0</v>
      </c>
      <c r="AD310" s="726">
        <v>0</v>
      </c>
      <c r="AE310" s="727">
        <v>0</v>
      </c>
      <c r="AF310" s="777">
        <v>0</v>
      </c>
      <c r="AG310" s="726">
        <v>0</v>
      </c>
      <c r="AH310" s="727">
        <v>0</v>
      </c>
      <c r="AI310" s="777">
        <v>0</v>
      </c>
      <c r="AJ310" s="726">
        <v>0</v>
      </c>
      <c r="AK310" s="727">
        <v>0</v>
      </c>
      <c r="AL310" s="777">
        <v>0</v>
      </c>
      <c r="AM310" s="726">
        <v>0</v>
      </c>
      <c r="AN310" s="727">
        <v>0</v>
      </c>
      <c r="AO310" s="777">
        <v>0</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PiècesVentes Pneus</v>
      </c>
      <c r="B311" s="44" t="s">
        <v>191</v>
      </c>
      <c r="C311" s="754">
        <v>630398.0299999998</v>
      </c>
      <c r="D311" s="751">
        <v>0.17757660188119559</v>
      </c>
      <c r="E311" s="721">
        <v>111943.93999999996</v>
      </c>
      <c r="F311" s="754">
        <v>53714.22</v>
      </c>
      <c r="G311" s="751">
        <v>0.14131881650706274</v>
      </c>
      <c r="H311" s="721">
        <v>7590.83</v>
      </c>
      <c r="I311" s="754">
        <v>49338.75</v>
      </c>
      <c r="J311" s="751">
        <v>0.17106047477895145</v>
      </c>
      <c r="K311" s="721">
        <v>8439.9099999999908</v>
      </c>
      <c r="L311" s="754">
        <v>28787.21</v>
      </c>
      <c r="M311" s="751">
        <v>0.16886874414019248</v>
      </c>
      <c r="N311" s="721">
        <v>4861.2599999999902</v>
      </c>
      <c r="O311" s="754">
        <v>42082.239999999998</v>
      </c>
      <c r="P311" s="751">
        <v>0.16357636855832769</v>
      </c>
      <c r="Q311" s="721">
        <v>6883.66</v>
      </c>
      <c r="R311" s="754">
        <v>41058.479999999901</v>
      </c>
      <c r="S311" s="751">
        <v>0.16683398898351828</v>
      </c>
      <c r="T311" s="721">
        <v>6849.9499999999898</v>
      </c>
      <c r="U311" s="754">
        <v>28187.74</v>
      </c>
      <c r="V311" s="751">
        <v>0.16461199088681816</v>
      </c>
      <c r="W311" s="721">
        <v>4640.04</v>
      </c>
      <c r="X311" s="754">
        <v>32612.16</v>
      </c>
      <c r="Y311" s="751">
        <v>0.17193372042820837</v>
      </c>
      <c r="Z311" s="721">
        <v>5607.13</v>
      </c>
      <c r="AA311" s="754">
        <v>24174.58</v>
      </c>
      <c r="AB311" s="751">
        <v>0.19221595576841458</v>
      </c>
      <c r="AC311" s="721">
        <v>4646.74</v>
      </c>
      <c r="AD311" s="754">
        <v>40681.85</v>
      </c>
      <c r="AE311" s="751">
        <v>0.1991182800192221</v>
      </c>
      <c r="AF311" s="721">
        <v>8100.49999999999</v>
      </c>
      <c r="AG311" s="754">
        <v>68380.94</v>
      </c>
      <c r="AH311" s="751">
        <v>0.18902898965705939</v>
      </c>
      <c r="AI311" s="721">
        <v>12925.98</v>
      </c>
      <c r="AJ311" s="754">
        <v>144545.14000000001</v>
      </c>
      <c r="AK311" s="751">
        <v>0.18635908478140459</v>
      </c>
      <c r="AL311" s="721">
        <v>26937.3</v>
      </c>
      <c r="AM311" s="754">
        <v>76834.720000000001</v>
      </c>
      <c r="AN311" s="751">
        <v>0.18820449921597943</v>
      </c>
      <c r="AO311" s="721">
        <v>14460.64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PiècesHuiles et Graisse</v>
      </c>
      <c r="B312" s="43" t="s">
        <v>192</v>
      </c>
      <c r="C312" s="754">
        <v>281617.26999999996</v>
      </c>
      <c r="D312" s="751">
        <v>0.27555934335987237</v>
      </c>
      <c r="E312" s="721">
        <v>77602.269999999873</v>
      </c>
      <c r="F312" s="754">
        <v>16409.46</v>
      </c>
      <c r="G312" s="751">
        <v>0.24421644587938848</v>
      </c>
      <c r="H312" s="721">
        <v>4007.45999999999</v>
      </c>
      <c r="I312" s="754">
        <v>16154.19</v>
      </c>
      <c r="J312" s="751">
        <v>0.25065199802651816</v>
      </c>
      <c r="K312" s="721">
        <v>4049.08</v>
      </c>
      <c r="L312" s="754">
        <v>16784.47</v>
      </c>
      <c r="M312" s="751">
        <v>0.26567058715586489</v>
      </c>
      <c r="N312" s="721">
        <v>4459.1400000000003</v>
      </c>
      <c r="O312" s="754">
        <v>27375.41</v>
      </c>
      <c r="P312" s="751">
        <v>0.26588460227627642</v>
      </c>
      <c r="Q312" s="721">
        <v>7278.7</v>
      </c>
      <c r="R312" s="754">
        <v>30042.26</v>
      </c>
      <c r="S312" s="751">
        <v>0.26962452225631461</v>
      </c>
      <c r="T312" s="721">
        <v>8100.1299999999901</v>
      </c>
      <c r="U312" s="754">
        <v>21272.07</v>
      </c>
      <c r="V312" s="751">
        <v>0.27779854052755565</v>
      </c>
      <c r="W312" s="721">
        <v>5909.35</v>
      </c>
      <c r="X312" s="754">
        <v>25642.9</v>
      </c>
      <c r="Y312" s="751">
        <v>0.28574459207031966</v>
      </c>
      <c r="Z312" s="721">
        <v>7327.32</v>
      </c>
      <c r="AA312" s="754">
        <v>22150.16</v>
      </c>
      <c r="AB312" s="751">
        <v>0.28566069048711162</v>
      </c>
      <c r="AC312" s="721">
        <v>6327.43</v>
      </c>
      <c r="AD312" s="754">
        <v>23823.07</v>
      </c>
      <c r="AE312" s="751">
        <v>0.2876854242547241</v>
      </c>
      <c r="AF312" s="721">
        <v>6853.5499999999902</v>
      </c>
      <c r="AG312" s="754">
        <v>28019.52</v>
      </c>
      <c r="AH312" s="751">
        <v>0.27804152248147007</v>
      </c>
      <c r="AI312" s="721">
        <v>7790.59</v>
      </c>
      <c r="AJ312" s="754">
        <v>37460.559999999998</v>
      </c>
      <c r="AK312" s="751">
        <v>0.28788437759606106</v>
      </c>
      <c r="AL312" s="721">
        <v>10784.309999999899</v>
      </c>
      <c r="AM312" s="754">
        <v>16483.2</v>
      </c>
      <c r="AN312" s="751">
        <v>0.28606156571539504</v>
      </c>
      <c r="AO312" s="721">
        <v>4715.21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PiècesSous-total Pièces et Acc.</v>
      </c>
      <c r="B313" s="47" t="s">
        <v>193</v>
      </c>
      <c r="C313" s="1068">
        <v>6674615.9299999997</v>
      </c>
      <c r="D313" s="1069">
        <v>0.26375567500256109</v>
      </c>
      <c r="E313" s="1070">
        <v>1760467.829999997</v>
      </c>
      <c r="F313" s="1068">
        <v>522678.73000000004</v>
      </c>
      <c r="G313" s="1069">
        <v>0.21433541020504082</v>
      </c>
      <c r="H313" s="1070">
        <v>112028.55999999978</v>
      </c>
      <c r="I313" s="1068">
        <v>499700.52999999997</v>
      </c>
      <c r="J313" s="1069">
        <v>0.20826199644014765</v>
      </c>
      <c r="K313" s="1070">
        <v>104068.62999999989</v>
      </c>
      <c r="L313" s="1068">
        <v>543573.29999999993</v>
      </c>
      <c r="M313" s="1069">
        <v>0.22496953032829206</v>
      </c>
      <c r="N313" s="1070">
        <v>122287.42999999979</v>
      </c>
      <c r="O313" s="1068">
        <v>459979.70999999996</v>
      </c>
      <c r="P313" s="1069">
        <v>0.23859778510665131</v>
      </c>
      <c r="Q313" s="1070">
        <v>109750.13999999978</v>
      </c>
      <c r="R313" s="1068">
        <v>551904.46999999986</v>
      </c>
      <c r="S313" s="1069">
        <v>0.26117565237331708</v>
      </c>
      <c r="T313" s="1070">
        <v>144144.00999999978</v>
      </c>
      <c r="U313" s="1068">
        <v>464116.17</v>
      </c>
      <c r="V313" s="1069">
        <v>0.23573037759059268</v>
      </c>
      <c r="W313" s="1070">
        <v>109406.27999999969</v>
      </c>
      <c r="X313" s="1068">
        <v>535619.36</v>
      </c>
      <c r="Y313" s="1069">
        <v>0.23353681614495755</v>
      </c>
      <c r="Z313" s="1070">
        <v>125086.83999999982</v>
      </c>
      <c r="AA313" s="1068">
        <v>527546.35</v>
      </c>
      <c r="AB313" s="1069">
        <v>0.3791732423132102</v>
      </c>
      <c r="AC313" s="1070">
        <v>200031.45999999958</v>
      </c>
      <c r="AD313" s="1068">
        <v>611091.30999999994</v>
      </c>
      <c r="AE313" s="1069">
        <v>0.24148594094718809</v>
      </c>
      <c r="AF313" s="1070">
        <v>147569.95999999979</v>
      </c>
      <c r="AG313" s="1068">
        <v>668392.49</v>
      </c>
      <c r="AH313" s="1069">
        <v>0.25110579863038218</v>
      </c>
      <c r="AI313" s="1070">
        <v>167837.22999999972</v>
      </c>
      <c r="AJ313" s="1068">
        <v>701952.35000000009</v>
      </c>
      <c r="AK313" s="1069">
        <v>0.27043086329150356</v>
      </c>
      <c r="AL313" s="1070">
        <v>189829.5799999997</v>
      </c>
      <c r="AM313" s="1068">
        <v>588061.15999999992</v>
      </c>
      <c r="AN313" s="1069">
        <v>0.38844209673701291</v>
      </c>
      <c r="AO313" s="1070">
        <v>228427.71</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v>
      </c>
      <c r="B314" s="44"/>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PiècesPièces recond. MCPA</v>
      </c>
      <c r="B315" s="44" t="s">
        <v>3804</v>
      </c>
      <c r="C315" s="700">
        <v>0</v>
      </c>
      <c r="D315" s="778">
        <v>0</v>
      </c>
      <c r="E315" s="701">
        <v>0</v>
      </c>
      <c r="F315" s="700"/>
      <c r="G315" s="778"/>
      <c r="H315" s="701"/>
      <c r="I315" s="700"/>
      <c r="J315" s="778"/>
      <c r="K315" s="701"/>
      <c r="L315" s="700"/>
      <c r="M315" s="778"/>
      <c r="N315" s="701"/>
      <c r="O315" s="700"/>
      <c r="P315" s="778"/>
      <c r="Q315" s="701"/>
      <c r="R315" s="700"/>
      <c r="S315" s="778"/>
      <c r="T315" s="701"/>
      <c r="U315" s="700"/>
      <c r="V315" s="778"/>
      <c r="W315" s="701"/>
      <c r="X315" s="700"/>
      <c r="Y315" s="778"/>
      <c r="Z315" s="701"/>
      <c r="AA315" s="700"/>
      <c r="AB315" s="778"/>
      <c r="AC315" s="701"/>
      <c r="AD315" s="700"/>
      <c r="AE315" s="778"/>
      <c r="AF315" s="701"/>
      <c r="AG315" s="700"/>
      <c r="AH315" s="751"/>
      <c r="AI315" s="701"/>
      <c r="AJ315" s="700"/>
      <c r="AK315" s="751"/>
      <c r="AL315" s="701"/>
      <c r="AM315" s="700"/>
      <c r="AN315" s="751"/>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
        <v>PiècesAutostock</v>
      </c>
      <c r="B316" s="43" t="s">
        <v>194</v>
      </c>
      <c r="C316" s="780">
        <v>0</v>
      </c>
      <c r="D316" s="779">
        <v>0</v>
      </c>
      <c r="E316" s="731">
        <v>0</v>
      </c>
      <c r="F316" s="780">
        <v>0</v>
      </c>
      <c r="G316" s="779">
        <v>0</v>
      </c>
      <c r="H316" s="731">
        <v>0</v>
      </c>
      <c r="I316" s="780">
        <v>0</v>
      </c>
      <c r="J316" s="779">
        <v>0</v>
      </c>
      <c r="K316" s="731">
        <v>0</v>
      </c>
      <c r="L316" s="780">
        <v>0</v>
      </c>
      <c r="M316" s="779">
        <v>0</v>
      </c>
      <c r="N316" s="731">
        <v>0</v>
      </c>
      <c r="O316" s="780">
        <v>0</v>
      </c>
      <c r="P316" s="779">
        <v>0</v>
      </c>
      <c r="Q316" s="731">
        <v>0</v>
      </c>
      <c r="R316" s="780">
        <v>0</v>
      </c>
      <c r="S316" s="779">
        <v>0</v>
      </c>
      <c r="T316" s="731">
        <v>0</v>
      </c>
      <c r="U316" s="780">
        <v>0</v>
      </c>
      <c r="V316" s="779">
        <v>0</v>
      </c>
      <c r="W316" s="731">
        <v>0</v>
      </c>
      <c r="X316" s="780">
        <v>0</v>
      </c>
      <c r="Y316" s="779">
        <v>0</v>
      </c>
      <c r="Z316" s="731">
        <v>0</v>
      </c>
      <c r="AA316" s="780">
        <v>0</v>
      </c>
      <c r="AB316" s="779">
        <v>0</v>
      </c>
      <c r="AC316" s="731">
        <v>0</v>
      </c>
      <c r="AD316" s="780">
        <v>0</v>
      </c>
      <c r="AE316" s="779">
        <v>0</v>
      </c>
      <c r="AF316" s="731">
        <v>0</v>
      </c>
      <c r="AG316" s="780">
        <v>0</v>
      </c>
      <c r="AH316" s="779">
        <v>0</v>
      </c>
      <c r="AI316" s="731">
        <v>0</v>
      </c>
      <c r="AJ316" s="780">
        <v>0</v>
      </c>
      <c r="AK316" s="779">
        <v>0</v>
      </c>
      <c r="AL316" s="731">
        <v>0</v>
      </c>
      <c r="AM316" s="780">
        <v>0</v>
      </c>
      <c r="AN316" s="779">
        <v>0</v>
      </c>
      <c r="AO316" s="731">
        <v>0</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Bot="1">
      <c r="A317" s="39" t="str">
        <f t="shared" si="4"/>
        <v>Pièces</v>
      </c>
      <c r="B317" s="44"/>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Top="1">
      <c r="A318" s="39" t="str">
        <f t="shared" si="4"/>
        <v>PiècesTotal Dépt. Pièces</v>
      </c>
      <c r="B318" s="49" t="s">
        <v>195</v>
      </c>
      <c r="C318" s="709">
        <v>6674615.9299999997</v>
      </c>
      <c r="D318" s="781">
        <v>0.26375567500256109</v>
      </c>
      <c r="E318" s="711">
        <v>1760467.829999997</v>
      </c>
      <c r="F318" s="709">
        <v>522678.73000000004</v>
      </c>
      <c r="G318" s="781">
        <v>0.21433541020504082</v>
      </c>
      <c r="H318" s="711">
        <v>112028.55999999978</v>
      </c>
      <c r="I318" s="709">
        <v>499700.52999999997</v>
      </c>
      <c r="J318" s="781">
        <v>0.20826199644014765</v>
      </c>
      <c r="K318" s="711">
        <v>104068.62999999989</v>
      </c>
      <c r="L318" s="709">
        <v>543573.29999999993</v>
      </c>
      <c r="M318" s="781">
        <v>0.22496953032829206</v>
      </c>
      <c r="N318" s="711">
        <v>122287.42999999979</v>
      </c>
      <c r="O318" s="709">
        <v>459979.70999999996</v>
      </c>
      <c r="P318" s="781">
        <v>0.23859778510665131</v>
      </c>
      <c r="Q318" s="711">
        <v>109750.13999999978</v>
      </c>
      <c r="R318" s="709">
        <v>551904.46999999986</v>
      </c>
      <c r="S318" s="781">
        <v>0.26117565237331708</v>
      </c>
      <c r="T318" s="711">
        <v>144144.00999999978</v>
      </c>
      <c r="U318" s="709">
        <v>464116.17</v>
      </c>
      <c r="V318" s="781">
        <v>0.23573037759059268</v>
      </c>
      <c r="W318" s="1107">
        <v>109406.27999999969</v>
      </c>
      <c r="X318" s="709">
        <v>535619.36</v>
      </c>
      <c r="Y318" s="781">
        <v>0.23353681614495755</v>
      </c>
      <c r="Z318" s="1107">
        <v>125086.83999999982</v>
      </c>
      <c r="AA318" s="709">
        <v>527546.35</v>
      </c>
      <c r="AB318" s="781">
        <v>0.3791732423132102</v>
      </c>
      <c r="AC318" s="1107">
        <v>200031.45999999958</v>
      </c>
      <c r="AD318" s="709">
        <v>611091.30999999994</v>
      </c>
      <c r="AE318" s="781">
        <v>0.24148594094718809</v>
      </c>
      <c r="AF318" s="1107">
        <v>147569.95999999979</v>
      </c>
      <c r="AG318" s="709">
        <v>668392.49</v>
      </c>
      <c r="AH318" s="781">
        <v>0.25110579863038218</v>
      </c>
      <c r="AI318" s="711">
        <v>167837.22999999972</v>
      </c>
      <c r="AJ318" s="709">
        <v>701952.35000000009</v>
      </c>
      <c r="AK318" s="781">
        <v>0.27043086329150356</v>
      </c>
      <c r="AL318" s="711">
        <v>189829.5799999997</v>
      </c>
      <c r="AM318" s="709">
        <v>588061.15999999992</v>
      </c>
      <c r="AN318" s="781">
        <v>0.38844209673701291</v>
      </c>
      <c r="AO318" s="711">
        <v>228427.71</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Bot="1">
      <c r="A319" s="39" t="str">
        <f t="shared" si="4"/>
        <v>Pièces</v>
      </c>
      <c r="B319" s="65"/>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129"/>
      <c r="X319" s="1072"/>
      <c r="Y319" s="1073"/>
      <c r="Z319" s="1129"/>
      <c r="AA319" s="1072"/>
      <c r="AB319" s="1073"/>
      <c r="AC319" s="1129"/>
      <c r="AD319" s="1072"/>
      <c r="AE319" s="1073"/>
      <c r="AF319" s="1129"/>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thickTop="1">
      <c r="A320" s="39" t="str">
        <f t="shared" si="4"/>
        <v>Pièces</v>
      </c>
      <c r="B320" s="47"/>
      <c r="C320" s="782"/>
      <c r="D320" s="783"/>
      <c r="E320" s="736"/>
      <c r="F320" s="782"/>
      <c r="G320" s="783"/>
      <c r="H320" s="736"/>
      <c r="I320" s="782"/>
      <c r="J320" s="783"/>
      <c r="K320" s="736"/>
      <c r="L320" s="782"/>
      <c r="M320" s="783"/>
      <c r="N320" s="736"/>
      <c r="O320" s="782"/>
      <c r="P320" s="783"/>
      <c r="Q320" s="736"/>
      <c r="R320" s="782"/>
      <c r="S320" s="783"/>
      <c r="T320" s="736"/>
      <c r="U320" s="782"/>
      <c r="V320" s="783"/>
      <c r="W320" s="1116"/>
      <c r="X320" s="782"/>
      <c r="Y320" s="783"/>
      <c r="Z320" s="1116"/>
      <c r="AA320" s="782"/>
      <c r="AB320" s="783"/>
      <c r="AC320" s="1116"/>
      <c r="AD320" s="782"/>
      <c r="AE320" s="783"/>
      <c r="AF320" s="111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PiècesDEPENSES</v>
      </c>
      <c r="B321" s="52" t="s">
        <v>110</v>
      </c>
      <c r="C321" s="700"/>
      <c r="D321" s="707"/>
      <c r="E321" s="701"/>
      <c r="F321" s="700"/>
      <c r="G321" s="707"/>
      <c r="H321" s="1130"/>
      <c r="I321" s="700"/>
      <c r="J321" s="707"/>
      <c r="K321" s="1130"/>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cadres</v>
      </c>
      <c r="B322" s="54" t="s">
        <v>120</v>
      </c>
      <c r="C322" s="700"/>
      <c r="D322" s="707"/>
      <c r="E322" s="721">
        <v>109729.98</v>
      </c>
      <c r="F322" s="700"/>
      <c r="G322" s="707"/>
      <c r="H322" s="721">
        <v>9997.7199999999993</v>
      </c>
      <c r="I322" s="700"/>
      <c r="J322" s="707"/>
      <c r="K322" s="721">
        <v>8533.68</v>
      </c>
      <c r="L322" s="700"/>
      <c r="M322" s="707"/>
      <c r="N322" s="721">
        <v>10126.49</v>
      </c>
      <c r="O322" s="700"/>
      <c r="P322" s="707"/>
      <c r="Q322" s="721">
        <v>7994.18</v>
      </c>
      <c r="R322" s="700"/>
      <c r="S322" s="707"/>
      <c r="T322" s="721">
        <v>9851.89</v>
      </c>
      <c r="U322" s="700"/>
      <c r="V322" s="707"/>
      <c r="W322" s="721">
        <v>9334.2999999999993</v>
      </c>
      <c r="X322" s="700"/>
      <c r="Y322" s="707"/>
      <c r="Z322" s="721">
        <v>8530.26</v>
      </c>
      <c r="AA322" s="700"/>
      <c r="AB322" s="707"/>
      <c r="AC322" s="721">
        <v>8454.76</v>
      </c>
      <c r="AD322" s="700"/>
      <c r="AE322" s="707"/>
      <c r="AF322" s="721">
        <v>10042.18</v>
      </c>
      <c r="AG322" s="700"/>
      <c r="AH322" s="707"/>
      <c r="AI322" s="721">
        <v>9901.6</v>
      </c>
      <c r="AJ322" s="700"/>
      <c r="AK322" s="707"/>
      <c r="AL322" s="721">
        <v>7300.68</v>
      </c>
      <c r="AM322" s="700"/>
      <c r="AN322" s="707"/>
      <c r="AO322" s="1109">
        <v>9662.24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commis</v>
      </c>
      <c r="B323" s="55" t="s">
        <v>121</v>
      </c>
      <c r="C323" s="700"/>
      <c r="D323" s="707"/>
      <c r="E323" s="721">
        <v>303846.52999999997</v>
      </c>
      <c r="F323" s="700"/>
      <c r="G323" s="707"/>
      <c r="H323" s="721">
        <v>27924.71</v>
      </c>
      <c r="I323" s="700"/>
      <c r="J323" s="707"/>
      <c r="K323" s="721">
        <v>25401.96</v>
      </c>
      <c r="L323" s="700"/>
      <c r="M323" s="707"/>
      <c r="N323" s="721">
        <v>25203.67</v>
      </c>
      <c r="O323" s="700"/>
      <c r="P323" s="707"/>
      <c r="Q323" s="721">
        <v>24736.400000000001</v>
      </c>
      <c r="R323" s="700"/>
      <c r="S323" s="707"/>
      <c r="T323" s="721">
        <v>30722.14</v>
      </c>
      <c r="U323" s="700"/>
      <c r="V323" s="707"/>
      <c r="W323" s="721">
        <v>23696.7</v>
      </c>
      <c r="X323" s="700"/>
      <c r="Y323" s="707"/>
      <c r="Z323" s="721">
        <v>22650.76</v>
      </c>
      <c r="AA323" s="700"/>
      <c r="AB323" s="707"/>
      <c r="AC323" s="721">
        <v>24603.3</v>
      </c>
      <c r="AD323" s="700"/>
      <c r="AE323" s="707"/>
      <c r="AF323" s="721">
        <v>25984.86</v>
      </c>
      <c r="AG323" s="700"/>
      <c r="AH323" s="707"/>
      <c r="AI323" s="721">
        <v>28079.91</v>
      </c>
      <c r="AJ323" s="700"/>
      <c r="AK323" s="707"/>
      <c r="AL323" s="721">
        <v>22449.58</v>
      </c>
      <c r="AM323" s="700"/>
      <c r="AN323" s="707"/>
      <c r="AO323" s="1109">
        <v>22392.54</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autres</v>
      </c>
      <c r="B324" s="54" t="s">
        <v>122</v>
      </c>
      <c r="C324" s="1011"/>
      <c r="D324" s="1029"/>
      <c r="E324" s="1031">
        <v>1367.0400000000002</v>
      </c>
      <c r="F324" s="1011"/>
      <c r="G324" s="1029"/>
      <c r="H324" s="1031">
        <v>113.92</v>
      </c>
      <c r="I324" s="1011"/>
      <c r="J324" s="1029"/>
      <c r="K324" s="1031">
        <v>113.92</v>
      </c>
      <c r="L324" s="1011"/>
      <c r="M324" s="1029"/>
      <c r="N324" s="1031">
        <v>113.92</v>
      </c>
      <c r="O324" s="1011"/>
      <c r="P324" s="1029"/>
      <c r="Q324" s="1031">
        <v>113.92</v>
      </c>
      <c r="R324" s="1011"/>
      <c r="S324" s="1029"/>
      <c r="T324" s="1031">
        <v>113.92</v>
      </c>
      <c r="U324" s="1011"/>
      <c r="V324" s="1029"/>
      <c r="W324" s="1031">
        <v>113.92</v>
      </c>
      <c r="X324" s="1011"/>
      <c r="Y324" s="1029"/>
      <c r="Z324" s="1031">
        <v>113.92</v>
      </c>
      <c r="AA324" s="1011"/>
      <c r="AB324" s="1029"/>
      <c r="AC324" s="1031">
        <v>113.92</v>
      </c>
      <c r="AD324" s="1011"/>
      <c r="AE324" s="1029"/>
      <c r="AF324" s="1031">
        <v>113.92</v>
      </c>
      <c r="AG324" s="1011"/>
      <c r="AH324" s="1029"/>
      <c r="AI324" s="1031">
        <v>113.92</v>
      </c>
      <c r="AJ324" s="1011"/>
      <c r="AK324" s="1029"/>
      <c r="AL324" s="1031">
        <v>113.92</v>
      </c>
      <c r="AM324" s="1011"/>
      <c r="AN324" s="1029"/>
      <c r="AO324" s="1112">
        <v>113.92</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PiècesSalaires spécialistes</v>
      </c>
      <c r="B325" s="54" t="s">
        <v>123</v>
      </c>
      <c r="C325" s="700"/>
      <c r="D325" s="707"/>
      <c r="E325" s="721">
        <v>0</v>
      </c>
      <c r="F325" s="700"/>
      <c r="G325" s="707"/>
      <c r="H325" s="721">
        <v>0</v>
      </c>
      <c r="I325" s="700"/>
      <c r="J325" s="707"/>
      <c r="K325" s="721">
        <v>0</v>
      </c>
      <c r="L325" s="700"/>
      <c r="M325" s="707"/>
      <c r="N325" s="721">
        <v>0</v>
      </c>
      <c r="O325" s="700"/>
      <c r="P325" s="707"/>
      <c r="Q325" s="721">
        <v>0</v>
      </c>
      <c r="R325" s="700"/>
      <c r="S325" s="707"/>
      <c r="T325" s="721">
        <v>0</v>
      </c>
      <c r="U325" s="700"/>
      <c r="V325" s="707"/>
      <c r="W325" s="721">
        <v>0</v>
      </c>
      <c r="X325" s="700"/>
      <c r="Y325" s="707"/>
      <c r="Z325" s="721">
        <v>0</v>
      </c>
      <c r="AA325" s="700"/>
      <c r="AB325" s="707"/>
      <c r="AC325" s="721">
        <v>0</v>
      </c>
      <c r="AD325" s="700"/>
      <c r="AE325" s="707"/>
      <c r="AF325" s="721">
        <v>0</v>
      </c>
      <c r="AG325" s="700"/>
      <c r="AH325" s="707"/>
      <c r="AI325" s="721">
        <v>0</v>
      </c>
      <c r="AJ325" s="700"/>
      <c r="AK325" s="707"/>
      <c r="AL325" s="721">
        <v>0</v>
      </c>
      <c r="AM325" s="700"/>
      <c r="AN325" s="707"/>
      <c r="AO325" s="1109">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0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0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v>
      </c>
      <c r="B328" s="44" t="s">
        <v>59</v>
      </c>
      <c r="C328" s="700"/>
      <c r="D328" s="707"/>
      <c r="E328" s="721"/>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110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PiècesSalaires en absences</v>
      </c>
      <c r="B329" s="55" t="s">
        <v>124</v>
      </c>
      <c r="C329" s="700"/>
      <c r="D329" s="707"/>
      <c r="E329" s="721">
        <v>43969.920000000006</v>
      </c>
      <c r="F329" s="700"/>
      <c r="G329" s="707"/>
      <c r="H329" s="721">
        <v>5295.44</v>
      </c>
      <c r="I329" s="700"/>
      <c r="J329" s="707"/>
      <c r="K329" s="721">
        <v>3031.99</v>
      </c>
      <c r="L329" s="700"/>
      <c r="M329" s="707"/>
      <c r="N329" s="721">
        <v>3793.81</v>
      </c>
      <c r="O329" s="700"/>
      <c r="P329" s="707"/>
      <c r="Q329" s="721">
        <v>4453.74</v>
      </c>
      <c r="R329" s="700"/>
      <c r="S329" s="707"/>
      <c r="T329" s="721">
        <v>4518.67</v>
      </c>
      <c r="U329" s="700"/>
      <c r="V329" s="707"/>
      <c r="W329" s="721">
        <v>3502.47</v>
      </c>
      <c r="X329" s="700"/>
      <c r="Y329" s="707"/>
      <c r="Z329" s="721">
        <v>3917.79</v>
      </c>
      <c r="AA329" s="700"/>
      <c r="AB329" s="707"/>
      <c r="AC329" s="721">
        <v>3562.92</v>
      </c>
      <c r="AD329" s="700"/>
      <c r="AE329" s="707"/>
      <c r="AF329" s="721">
        <v>1519.03</v>
      </c>
      <c r="AG329" s="700"/>
      <c r="AH329" s="707"/>
      <c r="AI329" s="721">
        <v>3850.07</v>
      </c>
      <c r="AJ329" s="700"/>
      <c r="AK329" s="707"/>
      <c r="AL329" s="721">
        <v>3229.19</v>
      </c>
      <c r="AM329" s="700"/>
      <c r="AN329" s="707"/>
      <c r="AO329" s="1109">
        <v>3294.8</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PiècesDéduction à la source</v>
      </c>
      <c r="B330" s="54" t="s">
        <v>125</v>
      </c>
      <c r="C330" s="1011"/>
      <c r="D330" s="1029"/>
      <c r="E330" s="1031">
        <v>70618.63</v>
      </c>
      <c r="F330" s="1011"/>
      <c r="G330" s="1029"/>
      <c r="H330" s="1031">
        <v>9261.6</v>
      </c>
      <c r="I330" s="1011"/>
      <c r="J330" s="1029"/>
      <c r="K330" s="1031">
        <v>8266.7199999999993</v>
      </c>
      <c r="L330" s="1011"/>
      <c r="M330" s="1029"/>
      <c r="N330" s="1031">
        <v>4791.7</v>
      </c>
      <c r="O330" s="1011"/>
      <c r="P330" s="1029"/>
      <c r="Q330" s="1031">
        <v>4954.4799999999996</v>
      </c>
      <c r="R330" s="1011"/>
      <c r="S330" s="1029"/>
      <c r="T330" s="1131">
        <v>6165.28</v>
      </c>
      <c r="U330" s="1011"/>
      <c r="V330" s="1029"/>
      <c r="W330" s="1031">
        <v>8011.01</v>
      </c>
      <c r="X330" s="1011"/>
      <c r="Y330" s="1029"/>
      <c r="Z330" s="1031">
        <v>6835.35</v>
      </c>
      <c r="AA330" s="1011"/>
      <c r="AB330" s="1029"/>
      <c r="AC330" s="1031">
        <v>4964.9399999999996</v>
      </c>
      <c r="AD330" s="1011"/>
      <c r="AE330" s="1029"/>
      <c r="AF330" s="1031">
        <v>301.86</v>
      </c>
      <c r="AG330" s="1011"/>
      <c r="AH330" s="1029"/>
      <c r="AI330" s="1031">
        <v>6057.79</v>
      </c>
      <c r="AJ330" s="1011"/>
      <c r="AK330" s="1029"/>
      <c r="AL330" s="1031">
        <v>5788.36</v>
      </c>
      <c r="AM330" s="1011"/>
      <c r="AN330" s="1029"/>
      <c r="AO330" s="1112">
        <v>5219.54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PiècesBénéfices marginaux</v>
      </c>
      <c r="B331" s="54" t="s">
        <v>126</v>
      </c>
      <c r="C331" s="700"/>
      <c r="D331" s="707"/>
      <c r="E331" s="721">
        <v>16317.810000000001</v>
      </c>
      <c r="F331" s="700"/>
      <c r="G331" s="707"/>
      <c r="H331" s="721">
        <v>2134.81</v>
      </c>
      <c r="I331" s="700"/>
      <c r="J331" s="707"/>
      <c r="K331" s="721">
        <v>1589.14</v>
      </c>
      <c r="L331" s="700"/>
      <c r="M331" s="707"/>
      <c r="N331" s="721">
        <v>1593.34</v>
      </c>
      <c r="O331" s="700"/>
      <c r="P331" s="707"/>
      <c r="Q331" s="721">
        <v>1601.67</v>
      </c>
      <c r="R331" s="700"/>
      <c r="S331" s="707"/>
      <c r="T331" s="721">
        <v>1705.62</v>
      </c>
      <c r="U331" s="700"/>
      <c r="V331" s="707"/>
      <c r="W331" s="721">
        <v>-1280.45</v>
      </c>
      <c r="X331" s="700"/>
      <c r="Y331" s="707"/>
      <c r="Z331" s="721">
        <v>756.55</v>
      </c>
      <c r="AA331" s="700"/>
      <c r="AB331" s="707"/>
      <c r="AC331" s="721">
        <v>1812.95</v>
      </c>
      <c r="AD331" s="700"/>
      <c r="AE331" s="707"/>
      <c r="AF331" s="721">
        <v>1554.18</v>
      </c>
      <c r="AG331" s="700"/>
      <c r="AH331" s="707"/>
      <c r="AI331" s="721">
        <v>1816.9</v>
      </c>
      <c r="AJ331" s="700"/>
      <c r="AK331" s="707"/>
      <c r="AL331" s="721">
        <v>1424.57</v>
      </c>
      <c r="AM331" s="700"/>
      <c r="AN331" s="707"/>
      <c r="AO331" s="1109">
        <v>1608.53</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PiècesCsst</v>
      </c>
      <c r="B332" s="54" t="s">
        <v>127</v>
      </c>
      <c r="C332" s="700"/>
      <c r="D332" s="707"/>
      <c r="E332" s="721">
        <v>13142.74</v>
      </c>
      <c r="F332" s="700"/>
      <c r="G332" s="707"/>
      <c r="H332" s="721">
        <v>1160.49</v>
      </c>
      <c r="I332" s="700"/>
      <c r="J332" s="707"/>
      <c r="K332" s="721">
        <v>1613.73</v>
      </c>
      <c r="L332" s="700"/>
      <c r="M332" s="707"/>
      <c r="N332" s="721">
        <v>1136.6600000000001</v>
      </c>
      <c r="O332" s="700"/>
      <c r="P332" s="707"/>
      <c r="Q332" s="721">
        <v>1626.85</v>
      </c>
      <c r="R332" s="700"/>
      <c r="S332" s="707"/>
      <c r="T332" s="1125">
        <v>1138</v>
      </c>
      <c r="U332" s="700"/>
      <c r="V332" s="707"/>
      <c r="W332" s="721">
        <v>839.5</v>
      </c>
      <c r="X332" s="700"/>
      <c r="Y332" s="707"/>
      <c r="Z332" s="721">
        <v>1425.7</v>
      </c>
      <c r="AA332" s="700"/>
      <c r="AB332" s="707"/>
      <c r="AC332" s="721">
        <v>833.81</v>
      </c>
      <c r="AD332" s="700"/>
      <c r="AE332" s="707"/>
      <c r="AF332" s="721">
        <v>695.16</v>
      </c>
      <c r="AG332" s="700"/>
      <c r="AH332" s="707"/>
      <c r="AI332" s="721">
        <v>1401.04</v>
      </c>
      <c r="AJ332" s="700"/>
      <c r="AK332" s="707"/>
      <c r="AL332" s="721">
        <v>620.52</v>
      </c>
      <c r="AM332" s="700"/>
      <c r="AN332" s="707"/>
      <c r="AO332" s="1109">
        <v>651.28</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v>
      </c>
      <c r="B333" s="44" t="s">
        <v>59</v>
      </c>
      <c r="C333" s="726"/>
      <c r="D333" s="727"/>
      <c r="E333" s="724"/>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1132"/>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PiècesTOTAL PERSONNEL</v>
      </c>
      <c r="B334" s="53" t="s">
        <v>128</v>
      </c>
      <c r="C334" s="1024" t="s">
        <v>119</v>
      </c>
      <c r="D334" s="1025">
        <v>0.3175250580977676</v>
      </c>
      <c r="E334" s="1026">
        <v>558992.64999999991</v>
      </c>
      <c r="F334" s="1024"/>
      <c r="G334" s="1025"/>
      <c r="H334" s="1026">
        <v>55888.6899999999</v>
      </c>
      <c r="I334" s="1024"/>
      <c r="J334" s="1025"/>
      <c r="K334" s="1026">
        <v>48551.14</v>
      </c>
      <c r="L334" s="1024"/>
      <c r="M334" s="1025"/>
      <c r="N334" s="1026">
        <v>46759.589999999902</v>
      </c>
      <c r="O334" s="1024"/>
      <c r="P334" s="1025"/>
      <c r="Q334" s="1026">
        <v>45481.24</v>
      </c>
      <c r="R334" s="1024"/>
      <c r="S334" s="1025"/>
      <c r="T334" s="1026">
        <v>54215.519999999997</v>
      </c>
      <c r="U334" s="1024"/>
      <c r="V334" s="1025"/>
      <c r="W334" s="1111">
        <v>44217.45</v>
      </c>
      <c r="X334" s="1024"/>
      <c r="Y334" s="1025"/>
      <c r="Z334" s="1111">
        <v>44230.3299999999</v>
      </c>
      <c r="AA334" s="1024"/>
      <c r="AB334" s="1025"/>
      <c r="AC334" s="1111">
        <v>44346.599999999897</v>
      </c>
      <c r="AD334" s="1024"/>
      <c r="AE334" s="1025"/>
      <c r="AF334" s="1111">
        <v>40211.19</v>
      </c>
      <c r="AG334" s="1024"/>
      <c r="AH334" s="1025"/>
      <c r="AI334" s="1026">
        <v>51221.23</v>
      </c>
      <c r="AJ334" s="1024"/>
      <c r="AK334" s="1025"/>
      <c r="AL334" s="1026">
        <v>40926.82</v>
      </c>
      <c r="AM334" s="1024"/>
      <c r="AN334" s="1025"/>
      <c r="AO334" s="1026">
        <v>42942.85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PiècesPublicité 2</v>
      </c>
      <c r="B335" s="63" t="s">
        <v>129</v>
      </c>
      <c r="C335" s="700"/>
      <c r="D335" s="707"/>
      <c r="E335" s="721">
        <v>59265.64</v>
      </c>
      <c r="F335" s="700"/>
      <c r="G335" s="707"/>
      <c r="H335" s="721">
        <v>7036.21</v>
      </c>
      <c r="I335" s="700"/>
      <c r="J335" s="707"/>
      <c r="K335" s="721">
        <v>2753.47</v>
      </c>
      <c r="L335" s="700"/>
      <c r="M335" s="707"/>
      <c r="N335" s="721">
        <v>5459.85</v>
      </c>
      <c r="O335" s="700"/>
      <c r="P335" s="707"/>
      <c r="Q335" s="721">
        <v>12743.83</v>
      </c>
      <c r="R335" s="700"/>
      <c r="S335" s="707"/>
      <c r="T335" s="721">
        <v>7263.68</v>
      </c>
      <c r="U335" s="700"/>
      <c r="V335" s="707"/>
      <c r="W335" s="721">
        <v>1697.62</v>
      </c>
      <c r="X335" s="700"/>
      <c r="Y335" s="707"/>
      <c r="Z335" s="721">
        <v>2995.28</v>
      </c>
      <c r="AA335" s="700"/>
      <c r="AB335" s="707"/>
      <c r="AC335" s="721">
        <v>5154.0600000000004</v>
      </c>
      <c r="AD335" s="700"/>
      <c r="AE335" s="707"/>
      <c r="AF335" s="721">
        <v>784.84</v>
      </c>
      <c r="AG335" s="700"/>
      <c r="AH335" s="707"/>
      <c r="AI335" s="721">
        <v>3851.62</v>
      </c>
      <c r="AJ335" s="700"/>
      <c r="AK335" s="707"/>
      <c r="AL335" s="721">
        <v>8642.44</v>
      </c>
      <c r="AM335" s="700"/>
      <c r="AN335" s="707"/>
      <c r="AO335" s="1109">
        <v>882.74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PiècesService gratuit 2</v>
      </c>
      <c r="B336" s="54" t="s">
        <v>130</v>
      </c>
      <c r="C336" s="700"/>
      <c r="D336" s="707"/>
      <c r="E336" s="721">
        <v>12407.42</v>
      </c>
      <c r="F336" s="700"/>
      <c r="G336" s="707"/>
      <c r="H336" s="721">
        <v>269.95</v>
      </c>
      <c r="I336" s="700"/>
      <c r="J336" s="707"/>
      <c r="K336" s="721">
        <v>6048.78</v>
      </c>
      <c r="L336" s="700"/>
      <c r="M336" s="707"/>
      <c r="N336" s="721">
        <v>271.33</v>
      </c>
      <c r="O336" s="700"/>
      <c r="P336" s="707"/>
      <c r="Q336" s="721">
        <v>669.47</v>
      </c>
      <c r="R336" s="700"/>
      <c r="S336" s="707"/>
      <c r="T336" s="721">
        <v>522.87</v>
      </c>
      <c r="U336" s="700"/>
      <c r="V336" s="707"/>
      <c r="W336" s="721">
        <v>4182.3</v>
      </c>
      <c r="X336" s="700"/>
      <c r="Y336" s="707"/>
      <c r="Z336" s="721">
        <v>517.6</v>
      </c>
      <c r="AA336" s="700"/>
      <c r="AB336" s="707"/>
      <c r="AC336" s="721">
        <v>-54.59</v>
      </c>
      <c r="AD336" s="700"/>
      <c r="AE336" s="707"/>
      <c r="AF336" s="721">
        <v>-678.09</v>
      </c>
      <c r="AG336" s="700"/>
      <c r="AH336" s="707"/>
      <c r="AI336" s="721">
        <v>25.22</v>
      </c>
      <c r="AJ336" s="700"/>
      <c r="AK336" s="707"/>
      <c r="AL336" s="721">
        <v>571.02</v>
      </c>
      <c r="AM336" s="700"/>
      <c r="AN336" s="707"/>
      <c r="AO336" s="1109">
        <v>61.56</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PiècesFrais véhicules de cie</v>
      </c>
      <c r="B337" s="55" t="s">
        <v>131</v>
      </c>
      <c r="C337" s="726"/>
      <c r="D337" s="727"/>
      <c r="E337" s="725">
        <v>14609.640000000001</v>
      </c>
      <c r="F337" s="726"/>
      <c r="G337" s="727"/>
      <c r="H337" s="725">
        <v>1353.63</v>
      </c>
      <c r="I337" s="726"/>
      <c r="J337" s="727"/>
      <c r="K337" s="725">
        <v>1170.8399999999999</v>
      </c>
      <c r="L337" s="726"/>
      <c r="M337" s="727"/>
      <c r="N337" s="725">
        <v>1170.8399999999999</v>
      </c>
      <c r="O337" s="726"/>
      <c r="P337" s="727"/>
      <c r="Q337" s="725">
        <v>1170.8399999999999</v>
      </c>
      <c r="R337" s="726"/>
      <c r="S337" s="727"/>
      <c r="T337" s="725">
        <v>1353.63</v>
      </c>
      <c r="U337" s="726"/>
      <c r="V337" s="727"/>
      <c r="W337" s="725">
        <v>1142.53</v>
      </c>
      <c r="X337" s="726"/>
      <c r="Y337" s="727"/>
      <c r="Z337" s="725">
        <v>1088.69</v>
      </c>
      <c r="AA337" s="726"/>
      <c r="AB337" s="727"/>
      <c r="AC337" s="725">
        <v>1271.48</v>
      </c>
      <c r="AD337" s="726"/>
      <c r="AE337" s="727"/>
      <c r="AF337" s="725">
        <v>1142.53</v>
      </c>
      <c r="AG337" s="726"/>
      <c r="AH337" s="727"/>
      <c r="AI337" s="725">
        <v>1325.32</v>
      </c>
      <c r="AJ337" s="726"/>
      <c r="AK337" s="727"/>
      <c r="AL337" s="725">
        <v>1142.53</v>
      </c>
      <c r="AM337" s="726"/>
      <c r="AN337" s="727"/>
      <c r="AO337" s="1110">
        <v>1276.78</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PiècesInformatique</v>
      </c>
      <c r="B338" s="54" t="s">
        <v>132</v>
      </c>
      <c r="C338" s="700"/>
      <c r="D338" s="707"/>
      <c r="E338" s="721">
        <v>75299.23</v>
      </c>
      <c r="F338" s="700"/>
      <c r="G338" s="707"/>
      <c r="H338" s="721">
        <v>4192.93</v>
      </c>
      <c r="I338" s="700"/>
      <c r="J338" s="707"/>
      <c r="K338" s="721">
        <v>9396.99</v>
      </c>
      <c r="L338" s="700"/>
      <c r="M338" s="707"/>
      <c r="N338" s="721">
        <v>6976.03</v>
      </c>
      <c r="O338" s="700"/>
      <c r="P338" s="707"/>
      <c r="Q338" s="721">
        <v>5543.45</v>
      </c>
      <c r="R338" s="700"/>
      <c r="S338" s="707"/>
      <c r="T338" s="721">
        <v>7804.67</v>
      </c>
      <c r="U338" s="700"/>
      <c r="V338" s="707"/>
      <c r="W338" s="721">
        <v>5549.46</v>
      </c>
      <c r="X338" s="700"/>
      <c r="Y338" s="707"/>
      <c r="Z338" s="721">
        <v>5753.09</v>
      </c>
      <c r="AA338" s="700"/>
      <c r="AB338" s="707"/>
      <c r="AC338" s="721">
        <v>6163.09</v>
      </c>
      <c r="AD338" s="700"/>
      <c r="AE338" s="707"/>
      <c r="AF338" s="721">
        <v>5607.23</v>
      </c>
      <c r="AG338" s="700"/>
      <c r="AH338" s="707"/>
      <c r="AI338" s="721">
        <v>5937.37</v>
      </c>
      <c r="AJ338" s="700"/>
      <c r="AK338" s="707"/>
      <c r="AL338" s="721">
        <v>5547.26</v>
      </c>
      <c r="AM338" s="700"/>
      <c r="AN338" s="707"/>
      <c r="AO338" s="1109">
        <v>6827.66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PiècesFrais de déplacement</v>
      </c>
      <c r="B339" s="54" t="s">
        <v>133</v>
      </c>
      <c r="C339" s="700"/>
      <c r="D339" s="707"/>
      <c r="E339" s="721">
        <v>12085.989999999998</v>
      </c>
      <c r="F339" s="700"/>
      <c r="G339" s="707"/>
      <c r="H339" s="721">
        <v>1043.31</v>
      </c>
      <c r="I339" s="700"/>
      <c r="J339" s="707"/>
      <c r="K339" s="721">
        <v>728.54</v>
      </c>
      <c r="L339" s="700"/>
      <c r="M339" s="707"/>
      <c r="N339" s="721">
        <v>684.84</v>
      </c>
      <c r="O339" s="700"/>
      <c r="P339" s="707"/>
      <c r="Q339" s="721">
        <v>1020.62</v>
      </c>
      <c r="R339" s="700"/>
      <c r="S339" s="707"/>
      <c r="T339" s="721">
        <v>945.81</v>
      </c>
      <c r="U339" s="700"/>
      <c r="V339" s="707"/>
      <c r="W339" s="721">
        <v>1557.1</v>
      </c>
      <c r="X339" s="700"/>
      <c r="Y339" s="707"/>
      <c r="Z339" s="721">
        <v>641.58000000000004</v>
      </c>
      <c r="AA339" s="700"/>
      <c r="AB339" s="707"/>
      <c r="AC339" s="721">
        <v>597.73</v>
      </c>
      <c r="AD339" s="700"/>
      <c r="AE339" s="707"/>
      <c r="AF339" s="721">
        <v>665.2</v>
      </c>
      <c r="AG339" s="700"/>
      <c r="AH339" s="707"/>
      <c r="AI339" s="721">
        <v>1721.87</v>
      </c>
      <c r="AJ339" s="700"/>
      <c r="AK339" s="707"/>
      <c r="AL339" s="721">
        <v>1303.1600000000001</v>
      </c>
      <c r="AM339" s="700"/>
      <c r="AN339" s="707"/>
      <c r="AO339" s="1109">
        <v>1176.23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PiècesServices extérieurs</v>
      </c>
      <c r="B340" s="54" t="s">
        <v>134</v>
      </c>
      <c r="C340" s="726"/>
      <c r="D340" s="727"/>
      <c r="E340" s="725">
        <v>168014.43000000002</v>
      </c>
      <c r="F340" s="726"/>
      <c r="G340" s="727"/>
      <c r="H340" s="725">
        <v>14123.46</v>
      </c>
      <c r="I340" s="726"/>
      <c r="J340" s="727"/>
      <c r="K340" s="725">
        <v>13220.71</v>
      </c>
      <c r="L340" s="726"/>
      <c r="M340" s="727"/>
      <c r="N340" s="725">
        <v>15726.58</v>
      </c>
      <c r="O340" s="726"/>
      <c r="P340" s="727"/>
      <c r="Q340" s="725">
        <v>13547.66</v>
      </c>
      <c r="R340" s="726"/>
      <c r="S340" s="727"/>
      <c r="T340" s="725">
        <v>14454.17</v>
      </c>
      <c r="U340" s="726"/>
      <c r="V340" s="727"/>
      <c r="W340" s="725">
        <v>12748.85</v>
      </c>
      <c r="X340" s="726"/>
      <c r="Y340" s="727"/>
      <c r="Z340" s="725">
        <v>15111.77</v>
      </c>
      <c r="AA340" s="726"/>
      <c r="AB340" s="727"/>
      <c r="AC340" s="725">
        <v>13928.11</v>
      </c>
      <c r="AD340" s="726"/>
      <c r="AE340" s="727"/>
      <c r="AF340" s="725">
        <v>16512.89</v>
      </c>
      <c r="AG340" s="726"/>
      <c r="AH340" s="727"/>
      <c r="AI340" s="725">
        <v>15918.21</v>
      </c>
      <c r="AJ340" s="726"/>
      <c r="AK340" s="727"/>
      <c r="AL340" s="725">
        <v>15196.04</v>
      </c>
      <c r="AM340" s="726"/>
      <c r="AN340" s="727"/>
      <c r="AO340" s="1110">
        <v>7525.98</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d'atelier</v>
      </c>
      <c r="B341" s="54" t="s">
        <v>489</v>
      </c>
      <c r="C341" s="700"/>
      <c r="D341" s="707"/>
      <c r="E341" s="721">
        <v>0</v>
      </c>
      <c r="F341" s="700"/>
      <c r="G341" s="707"/>
      <c r="H341" s="721">
        <v>0</v>
      </c>
      <c r="I341" s="700"/>
      <c r="J341" s="707"/>
      <c r="K341" s="721">
        <v>0</v>
      </c>
      <c r="L341" s="700"/>
      <c r="M341" s="707"/>
      <c r="N341" s="721">
        <v>0</v>
      </c>
      <c r="O341" s="700"/>
      <c r="P341" s="707"/>
      <c r="Q341" s="721">
        <v>0</v>
      </c>
      <c r="R341" s="700"/>
      <c r="S341" s="707"/>
      <c r="T341" s="721">
        <v>0</v>
      </c>
      <c r="U341" s="700"/>
      <c r="V341" s="707"/>
      <c r="W341" s="721">
        <v>0</v>
      </c>
      <c r="X341" s="700"/>
      <c r="Y341" s="707"/>
      <c r="Z341" s="721">
        <v>0</v>
      </c>
      <c r="AA341" s="700"/>
      <c r="AB341" s="707"/>
      <c r="AC341" s="721">
        <v>0</v>
      </c>
      <c r="AD341" s="700"/>
      <c r="AE341" s="707"/>
      <c r="AF341" s="721">
        <v>0</v>
      </c>
      <c r="AG341" s="700"/>
      <c r="AH341" s="707"/>
      <c r="AI341" s="721">
        <v>0</v>
      </c>
      <c r="AJ341" s="700"/>
      <c r="AK341" s="707"/>
      <c r="AL341" s="721">
        <v>0</v>
      </c>
      <c r="AM341" s="700"/>
      <c r="AN341" s="707"/>
      <c r="AO341" s="1109">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PiècesFournitures autres</v>
      </c>
      <c r="B342" s="63" t="s">
        <v>135</v>
      </c>
      <c r="C342" s="700"/>
      <c r="D342" s="707"/>
      <c r="E342" s="721">
        <v>516.1</v>
      </c>
      <c r="F342" s="700"/>
      <c r="G342" s="707"/>
      <c r="H342" s="721">
        <v>0</v>
      </c>
      <c r="I342" s="700"/>
      <c r="J342" s="707"/>
      <c r="K342" s="721">
        <v>0</v>
      </c>
      <c r="L342" s="700"/>
      <c r="M342" s="707"/>
      <c r="N342" s="721">
        <v>0</v>
      </c>
      <c r="O342" s="700"/>
      <c r="P342" s="707"/>
      <c r="Q342" s="721">
        <v>0</v>
      </c>
      <c r="R342" s="700"/>
      <c r="S342" s="707"/>
      <c r="T342" s="721">
        <v>0</v>
      </c>
      <c r="U342" s="700"/>
      <c r="V342" s="707"/>
      <c r="W342" s="721">
        <v>114.94</v>
      </c>
      <c r="X342" s="700"/>
      <c r="Y342" s="707"/>
      <c r="Z342" s="721">
        <v>0</v>
      </c>
      <c r="AA342" s="700"/>
      <c r="AB342" s="707"/>
      <c r="AC342" s="721">
        <v>16.38</v>
      </c>
      <c r="AD342" s="700"/>
      <c r="AE342" s="707"/>
      <c r="AF342" s="721">
        <v>20.04</v>
      </c>
      <c r="AG342" s="700"/>
      <c r="AH342" s="707"/>
      <c r="AI342" s="721">
        <v>0</v>
      </c>
      <c r="AJ342" s="700"/>
      <c r="AK342" s="707"/>
      <c r="AL342" s="721">
        <v>364.74</v>
      </c>
      <c r="AM342" s="700"/>
      <c r="AN342" s="707"/>
      <c r="AO342" s="1109">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PiècesUniformes</v>
      </c>
      <c r="B343" s="54" t="s">
        <v>136</v>
      </c>
      <c r="C343" s="700"/>
      <c r="D343" s="707"/>
      <c r="E343" s="721">
        <v>361.45</v>
      </c>
      <c r="F343" s="700"/>
      <c r="G343" s="707"/>
      <c r="H343" s="721">
        <v>0</v>
      </c>
      <c r="I343" s="700"/>
      <c r="J343" s="707"/>
      <c r="K343" s="721">
        <v>361.45</v>
      </c>
      <c r="L343" s="700"/>
      <c r="M343" s="707"/>
      <c r="N343" s="721">
        <v>0</v>
      </c>
      <c r="O343" s="700"/>
      <c r="P343" s="707"/>
      <c r="Q343" s="721">
        <v>0</v>
      </c>
      <c r="R343" s="700"/>
      <c r="S343" s="707"/>
      <c r="T343" s="721">
        <v>0</v>
      </c>
      <c r="U343" s="700"/>
      <c r="V343" s="707"/>
      <c r="W343" s="721">
        <v>0</v>
      </c>
      <c r="X343" s="700"/>
      <c r="Y343" s="707"/>
      <c r="Z343" s="721">
        <v>0</v>
      </c>
      <c r="AA343" s="700"/>
      <c r="AB343" s="707"/>
      <c r="AC343" s="721">
        <v>0</v>
      </c>
      <c r="AD343" s="700"/>
      <c r="AE343" s="707"/>
      <c r="AF343" s="721">
        <v>0</v>
      </c>
      <c r="AG343" s="700"/>
      <c r="AH343" s="707"/>
      <c r="AI343" s="721">
        <v>0</v>
      </c>
      <c r="AJ343" s="700"/>
      <c r="AK343" s="707"/>
      <c r="AL343" s="721">
        <v>0</v>
      </c>
      <c r="AM343" s="700"/>
      <c r="AN343" s="707"/>
      <c r="AO343" s="1109">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PiècesPapeterie</v>
      </c>
      <c r="B344" s="54" t="s">
        <v>137</v>
      </c>
      <c r="C344" s="700"/>
      <c r="D344" s="707"/>
      <c r="E344" s="721">
        <v>5929.73</v>
      </c>
      <c r="F344" s="700"/>
      <c r="G344" s="707"/>
      <c r="H344" s="721">
        <v>126.35</v>
      </c>
      <c r="I344" s="700"/>
      <c r="J344" s="707"/>
      <c r="K344" s="721">
        <v>814</v>
      </c>
      <c r="L344" s="700"/>
      <c r="M344" s="707"/>
      <c r="N344" s="721">
        <v>424.2</v>
      </c>
      <c r="O344" s="700"/>
      <c r="P344" s="707"/>
      <c r="Q344" s="721">
        <v>45.41</v>
      </c>
      <c r="R344" s="700"/>
      <c r="S344" s="707"/>
      <c r="T344" s="721">
        <v>818.22</v>
      </c>
      <c r="U344" s="700"/>
      <c r="V344" s="707"/>
      <c r="W344" s="721">
        <v>319.17</v>
      </c>
      <c r="X344" s="700"/>
      <c r="Y344" s="707"/>
      <c r="Z344" s="721">
        <v>799.65</v>
      </c>
      <c r="AA344" s="700"/>
      <c r="AB344" s="707"/>
      <c r="AC344" s="721">
        <v>614.75</v>
      </c>
      <c r="AD344" s="700"/>
      <c r="AE344" s="707"/>
      <c r="AF344" s="721">
        <v>234.02</v>
      </c>
      <c r="AG344" s="700"/>
      <c r="AH344" s="707"/>
      <c r="AI344" s="721">
        <v>46.04</v>
      </c>
      <c r="AJ344" s="700"/>
      <c r="AK344" s="707"/>
      <c r="AL344" s="721">
        <v>1481.6</v>
      </c>
      <c r="AM344" s="700"/>
      <c r="AN344" s="707"/>
      <c r="AO344" s="1109">
        <v>206.32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PiècesTéléphone</v>
      </c>
      <c r="B345" s="54" t="s">
        <v>138</v>
      </c>
      <c r="C345" s="700"/>
      <c r="D345" s="707"/>
      <c r="E345" s="721">
        <v>1199.06</v>
      </c>
      <c r="F345" s="700"/>
      <c r="G345" s="707"/>
      <c r="H345" s="721">
        <v>130.26</v>
      </c>
      <c r="I345" s="700"/>
      <c r="J345" s="707"/>
      <c r="K345" s="721">
        <v>120.99</v>
      </c>
      <c r="L345" s="700"/>
      <c r="M345" s="707"/>
      <c r="N345" s="721">
        <v>87.49</v>
      </c>
      <c r="O345" s="700"/>
      <c r="P345" s="707"/>
      <c r="Q345" s="721">
        <v>94.67</v>
      </c>
      <c r="R345" s="700"/>
      <c r="S345" s="707"/>
      <c r="T345" s="721">
        <v>88.45</v>
      </c>
      <c r="U345" s="700"/>
      <c r="V345" s="707"/>
      <c r="W345" s="721">
        <v>81.89</v>
      </c>
      <c r="X345" s="700"/>
      <c r="Y345" s="707"/>
      <c r="Z345" s="721">
        <v>62.25</v>
      </c>
      <c r="AA345" s="700"/>
      <c r="AB345" s="707"/>
      <c r="AC345" s="721">
        <v>128.25</v>
      </c>
      <c r="AD345" s="700"/>
      <c r="AE345" s="707"/>
      <c r="AF345" s="721">
        <v>94.15</v>
      </c>
      <c r="AG345" s="700"/>
      <c r="AH345" s="707"/>
      <c r="AI345" s="721">
        <v>98.98</v>
      </c>
      <c r="AJ345" s="700"/>
      <c r="AK345" s="707"/>
      <c r="AL345" s="721">
        <v>117.83</v>
      </c>
      <c r="AM345" s="700"/>
      <c r="AN345" s="707"/>
      <c r="AO345" s="1109">
        <v>93.85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PiècesFrais postaux</v>
      </c>
      <c r="B346" s="54" t="s">
        <v>139</v>
      </c>
      <c r="C346" s="700"/>
      <c r="D346" s="707"/>
      <c r="E346" s="721">
        <v>-7840.2800000000007</v>
      </c>
      <c r="F346" s="700"/>
      <c r="G346" s="707"/>
      <c r="H346" s="721">
        <v>-581.91999999999996</v>
      </c>
      <c r="I346" s="700"/>
      <c r="J346" s="707"/>
      <c r="K346" s="721">
        <v>144.59</v>
      </c>
      <c r="L346" s="700"/>
      <c r="M346" s="707"/>
      <c r="N346" s="721">
        <v>31.58</v>
      </c>
      <c r="O346" s="700"/>
      <c r="P346" s="707"/>
      <c r="Q346" s="721">
        <v>-558.02</v>
      </c>
      <c r="R346" s="700"/>
      <c r="S346" s="707"/>
      <c r="T346" s="721">
        <v>-151.96</v>
      </c>
      <c r="U346" s="700"/>
      <c r="V346" s="707"/>
      <c r="W346" s="721">
        <v>-997.2</v>
      </c>
      <c r="X346" s="700"/>
      <c r="Y346" s="707"/>
      <c r="Z346" s="721">
        <v>-335.96</v>
      </c>
      <c r="AA346" s="700"/>
      <c r="AB346" s="707"/>
      <c r="AC346" s="721">
        <v>108.91</v>
      </c>
      <c r="AD346" s="700"/>
      <c r="AE346" s="707"/>
      <c r="AF346" s="721">
        <v>-2231.29</v>
      </c>
      <c r="AG346" s="700"/>
      <c r="AH346" s="707"/>
      <c r="AI346" s="721">
        <v>-1258.1199999999999</v>
      </c>
      <c r="AJ346" s="700"/>
      <c r="AK346" s="707"/>
      <c r="AL346" s="721">
        <v>-564.29999999999995</v>
      </c>
      <c r="AM346" s="700"/>
      <c r="AN346" s="707"/>
      <c r="AO346" s="1109">
        <v>-1446.59</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PiècesDivers</v>
      </c>
      <c r="B347" s="54" t="s">
        <v>140</v>
      </c>
      <c r="C347" s="700"/>
      <c r="D347" s="707"/>
      <c r="E347" s="721">
        <v>1559.52</v>
      </c>
      <c r="F347" s="700"/>
      <c r="G347" s="707"/>
      <c r="H347" s="721">
        <v>69.86</v>
      </c>
      <c r="I347" s="700"/>
      <c r="J347" s="707"/>
      <c r="K347" s="721">
        <v>55.63</v>
      </c>
      <c r="L347" s="700"/>
      <c r="M347" s="707"/>
      <c r="N347" s="721">
        <v>55.63</v>
      </c>
      <c r="O347" s="700"/>
      <c r="P347" s="707"/>
      <c r="Q347" s="721">
        <v>94.59</v>
      </c>
      <c r="R347" s="700"/>
      <c r="S347" s="707"/>
      <c r="T347" s="721">
        <v>87.25</v>
      </c>
      <c r="U347" s="700"/>
      <c r="V347" s="707"/>
      <c r="W347" s="721">
        <v>49</v>
      </c>
      <c r="X347" s="700"/>
      <c r="Y347" s="707"/>
      <c r="Z347" s="721">
        <v>49</v>
      </c>
      <c r="AA347" s="700"/>
      <c r="AB347" s="707"/>
      <c r="AC347" s="721">
        <v>49</v>
      </c>
      <c r="AD347" s="700"/>
      <c r="AE347" s="707"/>
      <c r="AF347" s="721">
        <v>105.25</v>
      </c>
      <c r="AG347" s="700"/>
      <c r="AH347" s="707"/>
      <c r="AI347" s="721">
        <v>49</v>
      </c>
      <c r="AJ347" s="700"/>
      <c r="AK347" s="707"/>
      <c r="AL347" s="721">
        <v>320.62</v>
      </c>
      <c r="AM347" s="700"/>
      <c r="AN347" s="707"/>
      <c r="AO347" s="1109">
        <v>574.69000000000005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4"/>
        <v>PiècesFormation</v>
      </c>
      <c r="B348" s="54" t="s">
        <v>141</v>
      </c>
      <c r="C348" s="700"/>
      <c r="D348" s="707"/>
      <c r="E348" s="721">
        <v>3103.06</v>
      </c>
      <c r="F348" s="700"/>
      <c r="G348" s="707"/>
      <c r="H348" s="721">
        <v>79.75</v>
      </c>
      <c r="I348" s="700"/>
      <c r="J348" s="707"/>
      <c r="K348" s="721">
        <v>237.81</v>
      </c>
      <c r="L348" s="700"/>
      <c r="M348" s="707"/>
      <c r="N348" s="721">
        <v>531.23</v>
      </c>
      <c r="O348" s="700"/>
      <c r="P348" s="707"/>
      <c r="Q348" s="721">
        <v>79.75</v>
      </c>
      <c r="R348" s="700"/>
      <c r="S348" s="707"/>
      <c r="T348" s="721">
        <v>-34.119999999999997</v>
      </c>
      <c r="U348" s="700"/>
      <c r="V348" s="707"/>
      <c r="W348" s="721">
        <v>79.75</v>
      </c>
      <c r="X348" s="700"/>
      <c r="Y348" s="707"/>
      <c r="Z348" s="721">
        <v>471.28</v>
      </c>
      <c r="AA348" s="700"/>
      <c r="AB348" s="707"/>
      <c r="AC348" s="721">
        <v>328.38</v>
      </c>
      <c r="AD348" s="700"/>
      <c r="AE348" s="707"/>
      <c r="AF348" s="721">
        <v>323.68</v>
      </c>
      <c r="AG348" s="700"/>
      <c r="AH348" s="707"/>
      <c r="AI348" s="721">
        <v>477.55</v>
      </c>
      <c r="AJ348" s="700"/>
      <c r="AK348" s="707"/>
      <c r="AL348" s="721">
        <v>448.25</v>
      </c>
      <c r="AM348" s="700"/>
      <c r="AN348" s="707"/>
      <c r="AO348" s="1109">
        <v>79.75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PiècesFrais bancaires</v>
      </c>
      <c r="B349" s="54" t="s">
        <v>142</v>
      </c>
      <c r="C349" s="700"/>
      <c r="D349" s="707"/>
      <c r="E349" s="721">
        <v>21412.67</v>
      </c>
      <c r="F349" s="700"/>
      <c r="G349" s="707"/>
      <c r="H349" s="721">
        <v>1255.17</v>
      </c>
      <c r="I349" s="700"/>
      <c r="J349" s="707"/>
      <c r="K349" s="721">
        <v>962.38</v>
      </c>
      <c r="L349" s="700"/>
      <c r="M349" s="707"/>
      <c r="N349" s="721">
        <v>1654.17</v>
      </c>
      <c r="O349" s="700"/>
      <c r="P349" s="707"/>
      <c r="Q349" s="721">
        <v>2048.8200000000002</v>
      </c>
      <c r="R349" s="700"/>
      <c r="S349" s="707"/>
      <c r="T349" s="721">
        <v>2026.49</v>
      </c>
      <c r="U349" s="700"/>
      <c r="V349" s="707"/>
      <c r="W349" s="721">
        <v>1568.94</v>
      </c>
      <c r="X349" s="700"/>
      <c r="Y349" s="707"/>
      <c r="Z349" s="721">
        <v>1733.14</v>
      </c>
      <c r="AA349" s="700"/>
      <c r="AB349" s="707"/>
      <c r="AC349" s="721">
        <v>1687.46</v>
      </c>
      <c r="AD349" s="700"/>
      <c r="AE349" s="707"/>
      <c r="AF349" s="721">
        <v>1785.08</v>
      </c>
      <c r="AG349" s="700"/>
      <c r="AH349" s="707"/>
      <c r="AI349" s="721">
        <v>2064.63</v>
      </c>
      <c r="AJ349" s="700"/>
      <c r="AK349" s="707"/>
      <c r="AL349" s="721">
        <v>2836.47</v>
      </c>
      <c r="AM349" s="700"/>
      <c r="AN349" s="707"/>
      <c r="AO349" s="1109">
        <v>1789.92</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v>
      </c>
      <c r="B352" s="54" t="s">
        <v>59</v>
      </c>
      <c r="C352" s="700"/>
      <c r="D352" s="707"/>
      <c r="E352" s="708"/>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4"/>
        <v>PiècesTOTAL SEMI-FIXES</v>
      </c>
      <c r="B353" s="53" t="s">
        <v>143</v>
      </c>
      <c r="C353" s="1024" t="s">
        <v>119</v>
      </c>
      <c r="D353" s="1025">
        <v>0.2089919814098509</v>
      </c>
      <c r="E353" s="1026">
        <v>367923.65999999992</v>
      </c>
      <c r="F353" s="1024" t="s">
        <v>119</v>
      </c>
      <c r="G353" s="1025">
        <v>0.25974590765069244</v>
      </c>
      <c r="H353" s="1026">
        <v>29098.959999999999</v>
      </c>
      <c r="I353" s="1024" t="s">
        <v>119</v>
      </c>
      <c r="J353" s="1025">
        <v>0.34608104286565533</v>
      </c>
      <c r="K353" s="1026">
        <v>36016.179999999986</v>
      </c>
      <c r="L353" s="1024" t="s">
        <v>119</v>
      </c>
      <c r="M353" s="1025">
        <v>0.27045927778513346</v>
      </c>
      <c r="N353" s="1026">
        <v>33073.770000000004</v>
      </c>
      <c r="O353" s="1024" t="s">
        <v>119</v>
      </c>
      <c r="P353" s="1025">
        <v>0.33258353930118056</v>
      </c>
      <c r="Q353" s="1026">
        <v>36501.089999999997</v>
      </c>
      <c r="R353" s="1024" t="s">
        <v>119</v>
      </c>
      <c r="S353" s="1025">
        <v>0.24405564962428927</v>
      </c>
      <c r="T353" s="1026">
        <v>35179.159999999996</v>
      </c>
      <c r="U353" s="1024" t="s">
        <v>119</v>
      </c>
      <c r="V353" s="1025">
        <v>0.25678918979788062</v>
      </c>
      <c r="W353" s="1111">
        <v>28094.349999999995</v>
      </c>
      <c r="X353" s="1024" t="s">
        <v>119</v>
      </c>
      <c r="Y353" s="1025">
        <v>0.23093852238972576</v>
      </c>
      <c r="Z353" s="1111">
        <v>28887.370000000003</v>
      </c>
      <c r="AA353" s="1024" t="s">
        <v>119</v>
      </c>
      <c r="AB353" s="1025">
        <v>0.14994146420768045</v>
      </c>
      <c r="AC353" s="1111">
        <v>29993.010000000002</v>
      </c>
      <c r="AD353" s="1024" t="s">
        <v>119</v>
      </c>
      <c r="AE353" s="1025">
        <v>0.16511172056968798</v>
      </c>
      <c r="AF353" s="1111">
        <v>24365.53</v>
      </c>
      <c r="AG353" s="1024" t="s">
        <v>119</v>
      </c>
      <c r="AH353" s="1025">
        <v>0.18027996529733034</v>
      </c>
      <c r="AI353" s="1026">
        <v>30257.69</v>
      </c>
      <c r="AJ353" s="1024" t="s">
        <v>119</v>
      </c>
      <c r="AK353" s="1025">
        <v>0.19705917275906143</v>
      </c>
      <c r="AL353" s="1026">
        <v>37407.660000000011</v>
      </c>
      <c r="AM353" s="1024" t="s">
        <v>119</v>
      </c>
      <c r="AN353" s="1025">
        <v>8.3391327610822671E-2</v>
      </c>
      <c r="AO353" s="1026">
        <v>19048.889999999992</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v>
      </c>
      <c r="B354" s="43"/>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PiècesTOTAL DES DÉPENSES</v>
      </c>
      <c r="B355" s="53" t="s">
        <v>144</v>
      </c>
      <c r="C355" s="1024" t="s">
        <v>119</v>
      </c>
      <c r="D355" s="1046">
        <v>0.52651703950761852</v>
      </c>
      <c r="E355" s="1034">
        <v>926916.30999999982</v>
      </c>
      <c r="F355" s="1024" t="s">
        <v>119</v>
      </c>
      <c r="G355" s="1046">
        <v>0.75862485423359971</v>
      </c>
      <c r="H355" s="1034">
        <v>84987.649999999907</v>
      </c>
      <c r="I355" s="1024" t="s">
        <v>119</v>
      </c>
      <c r="J355" s="1046">
        <v>0.81261106252671977</v>
      </c>
      <c r="K355" s="1034">
        <v>84567.319999999978</v>
      </c>
      <c r="L355" s="1024" t="s">
        <v>119</v>
      </c>
      <c r="M355" s="1046">
        <v>0.65283373769487207</v>
      </c>
      <c r="N355" s="1034">
        <v>79833.359999999899</v>
      </c>
      <c r="O355" s="1024" t="s">
        <v>119</v>
      </c>
      <c r="P355" s="1046">
        <v>0.74699066443104445</v>
      </c>
      <c r="Q355" s="1034">
        <v>81982.329999999987</v>
      </c>
      <c r="R355" s="1024" t="s">
        <v>119</v>
      </c>
      <c r="S355" s="1046">
        <v>0.62017616965144884</v>
      </c>
      <c r="T355" s="1034">
        <v>89394.68</v>
      </c>
      <c r="U355" s="1024" t="s">
        <v>119</v>
      </c>
      <c r="V355" s="1046">
        <v>0.66094743373049691</v>
      </c>
      <c r="W355" s="1114">
        <v>72311.799999999988</v>
      </c>
      <c r="X355" s="1024" t="s">
        <v>119</v>
      </c>
      <c r="Y355" s="1046">
        <v>0.58453551148945804</v>
      </c>
      <c r="Z355" s="1114">
        <v>73117.699999999895</v>
      </c>
      <c r="AA355" s="1024" t="s">
        <v>119</v>
      </c>
      <c r="AB355" s="1046">
        <v>0.37163959109232142</v>
      </c>
      <c r="AC355" s="1114">
        <v>74339.609999999899</v>
      </c>
      <c r="AD355" s="1024" t="s">
        <v>119</v>
      </c>
      <c r="AE355" s="1046">
        <v>0.43760071494225583</v>
      </c>
      <c r="AF355" s="1114">
        <v>64576.72</v>
      </c>
      <c r="AG355" s="1024" t="s">
        <v>119</v>
      </c>
      <c r="AH355" s="1046">
        <v>0.48546392239671815</v>
      </c>
      <c r="AI355" s="1034">
        <v>81478.92</v>
      </c>
      <c r="AJ355" s="1024" t="s">
        <v>119</v>
      </c>
      <c r="AK355" s="1046">
        <v>0.41265686833421922</v>
      </c>
      <c r="AL355" s="1034">
        <v>78334.48000000001</v>
      </c>
      <c r="AM355" s="1024" t="s">
        <v>119</v>
      </c>
      <c r="AN355" s="1046">
        <v>0.27138450059320735</v>
      </c>
      <c r="AO355" s="1034">
        <v>61991.739999999991</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4"/>
        <v>Pièces</v>
      </c>
      <c r="B356" s="44"/>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thickBot="1">
      <c r="A357" s="39" t="str">
        <f t="shared" si="4"/>
        <v>PiècesPROFIT DÉPARTEMENTAL</v>
      </c>
      <c r="B357" s="57" t="s">
        <v>151</v>
      </c>
      <c r="C357" s="1037"/>
      <c r="D357" s="1048"/>
      <c r="E357" s="1040">
        <v>833551.51999999722</v>
      </c>
      <c r="F357" s="1037"/>
      <c r="G357" s="1048"/>
      <c r="H357" s="1040">
        <v>27040.909999999873</v>
      </c>
      <c r="I357" s="1037"/>
      <c r="J357" s="1048"/>
      <c r="K357" s="1040">
        <v>19501.30999999991</v>
      </c>
      <c r="L357" s="1037"/>
      <c r="M357" s="1048"/>
      <c r="N357" s="1040">
        <v>42454.069999999891</v>
      </c>
      <c r="O357" s="1037"/>
      <c r="P357" s="1048"/>
      <c r="Q357" s="1040">
        <v>27767.809999999794</v>
      </c>
      <c r="R357" s="1037"/>
      <c r="S357" s="1048"/>
      <c r="T357" s="1040">
        <v>54749.329999999783</v>
      </c>
      <c r="U357" s="1037"/>
      <c r="V357" s="1048"/>
      <c r="W357" s="1117">
        <v>37094.479999999705</v>
      </c>
      <c r="X357" s="1037"/>
      <c r="Y357" s="1048"/>
      <c r="Z357" s="1117">
        <v>51969.139999999927</v>
      </c>
      <c r="AA357" s="1037"/>
      <c r="AB357" s="1048"/>
      <c r="AC357" s="1117">
        <v>125691.84999999969</v>
      </c>
      <c r="AD357" s="1037"/>
      <c r="AE357" s="1048"/>
      <c r="AF357" s="1117">
        <v>82993.239999999787</v>
      </c>
      <c r="AG357" s="1037"/>
      <c r="AH357" s="1048"/>
      <c r="AI357" s="1040">
        <v>86358.309999999721</v>
      </c>
      <c r="AJ357" s="1037"/>
      <c r="AK357" s="1048"/>
      <c r="AL357" s="1040">
        <v>111495.09999999969</v>
      </c>
      <c r="AM357" s="1037"/>
      <c r="AN357" s="1048"/>
      <c r="AO357" s="1040">
        <v>166435.97</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v>833551.51999999769</v>
      </c>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51"/>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1" t="s">
        <v>3840</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Bot="1">
      <c r="A361" s="39"/>
      <c r="B361" s="62"/>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Top="1">
      <c r="A362" s="39"/>
      <c r="B362" s="40" t="s">
        <v>3</v>
      </c>
      <c r="C362" s="685">
        <v>2025</v>
      </c>
      <c r="D362" s="686"/>
      <c r="E362" s="687"/>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Bot="1">
      <c r="A363" s="39"/>
      <c r="B363" s="44"/>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Top="1">
      <c r="A364" s="39" t="str">
        <f t="shared" ref="A364:A403" si="5">+$C$360&amp;B364</f>
        <v>BoutiqueBoutique</v>
      </c>
      <c r="B364" s="49" t="s">
        <v>196</v>
      </c>
      <c r="C364" s="709">
        <v>0</v>
      </c>
      <c r="D364" s="781">
        <v>0</v>
      </c>
      <c r="E364" s="711">
        <v>0</v>
      </c>
      <c r="F364" s="709">
        <v>0</v>
      </c>
      <c r="G364" s="781">
        <v>0</v>
      </c>
      <c r="H364" s="711">
        <v>0</v>
      </c>
      <c r="I364" s="709">
        <v>0</v>
      </c>
      <c r="J364" s="781">
        <v>0</v>
      </c>
      <c r="K364" s="711">
        <v>0</v>
      </c>
      <c r="L364" s="709">
        <v>0</v>
      </c>
      <c r="M364" s="781">
        <v>0</v>
      </c>
      <c r="N364" s="711">
        <v>0</v>
      </c>
      <c r="O364" s="709">
        <v>0</v>
      </c>
      <c r="P364" s="781">
        <v>0</v>
      </c>
      <c r="Q364" s="711">
        <v>0</v>
      </c>
      <c r="R364" s="709">
        <v>0</v>
      </c>
      <c r="S364" s="781">
        <v>0</v>
      </c>
      <c r="T364" s="711">
        <v>0</v>
      </c>
      <c r="U364" s="709">
        <v>0</v>
      </c>
      <c r="V364" s="781">
        <v>0</v>
      </c>
      <c r="W364" s="1107">
        <v>0</v>
      </c>
      <c r="X364" s="709">
        <v>0</v>
      </c>
      <c r="Y364" s="781">
        <v>0</v>
      </c>
      <c r="Z364" s="1107">
        <v>0</v>
      </c>
      <c r="AA364" s="709">
        <v>0</v>
      </c>
      <c r="AB364" s="781">
        <v>0</v>
      </c>
      <c r="AC364" s="1107">
        <v>0</v>
      </c>
      <c r="AD364" s="709">
        <v>0</v>
      </c>
      <c r="AE364" s="781">
        <v>0</v>
      </c>
      <c r="AF364" s="1107">
        <v>0</v>
      </c>
      <c r="AG364" s="709">
        <v>0</v>
      </c>
      <c r="AH364" s="781">
        <v>0</v>
      </c>
      <c r="AI364" s="711">
        <v>0</v>
      </c>
      <c r="AJ364" s="709">
        <v>0</v>
      </c>
      <c r="AK364" s="781">
        <v>0</v>
      </c>
      <c r="AL364" s="711">
        <v>0</v>
      </c>
      <c r="AM364" s="709">
        <v>0</v>
      </c>
      <c r="AN364" s="781">
        <v>0</v>
      </c>
      <c r="AO364" s="711">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Bot="1">
      <c r="A365" s="39" t="str">
        <f t="shared" si="5"/>
        <v>Boutique</v>
      </c>
      <c r="B365" s="65"/>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129"/>
      <c r="X365" s="1072"/>
      <c r="Y365" s="1073"/>
      <c r="Z365" s="1129"/>
      <c r="AA365" s="1072"/>
      <c r="AB365" s="1073"/>
      <c r="AC365" s="1129"/>
      <c r="AD365" s="1072"/>
      <c r="AE365" s="1073"/>
      <c r="AF365" s="1129"/>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thickTop="1">
      <c r="A366" s="39" t="str">
        <f t="shared" si="5"/>
        <v>BoutiqueTotal Dépt. Boutique</v>
      </c>
      <c r="B366" s="47" t="s">
        <v>197</v>
      </c>
      <c r="C366" s="782">
        <v>0</v>
      </c>
      <c r="D366" s="783">
        <v>0</v>
      </c>
      <c r="E366" s="736">
        <v>0</v>
      </c>
      <c r="F366" s="782">
        <v>0</v>
      </c>
      <c r="G366" s="783">
        <v>0</v>
      </c>
      <c r="H366" s="736">
        <v>0</v>
      </c>
      <c r="I366" s="782">
        <v>0</v>
      </c>
      <c r="J366" s="783">
        <v>0</v>
      </c>
      <c r="K366" s="736">
        <v>0</v>
      </c>
      <c r="L366" s="782">
        <v>0</v>
      </c>
      <c r="M366" s="783">
        <v>0</v>
      </c>
      <c r="N366" s="736">
        <v>0</v>
      </c>
      <c r="O366" s="782">
        <v>0</v>
      </c>
      <c r="P366" s="783">
        <v>0</v>
      </c>
      <c r="Q366" s="736">
        <v>0</v>
      </c>
      <c r="R366" s="782">
        <v>0</v>
      </c>
      <c r="S366" s="783">
        <v>0</v>
      </c>
      <c r="T366" s="736">
        <v>0</v>
      </c>
      <c r="U366" s="782">
        <v>0</v>
      </c>
      <c r="V366" s="783">
        <v>0</v>
      </c>
      <c r="W366" s="1116">
        <v>0</v>
      </c>
      <c r="X366" s="782">
        <v>0</v>
      </c>
      <c r="Y366" s="783">
        <v>0</v>
      </c>
      <c r="Z366" s="1116">
        <v>0</v>
      </c>
      <c r="AA366" s="782">
        <v>0</v>
      </c>
      <c r="AB366" s="783">
        <v>0</v>
      </c>
      <c r="AC366" s="1116">
        <v>0</v>
      </c>
      <c r="AD366" s="782">
        <v>0</v>
      </c>
      <c r="AE366" s="783">
        <v>0</v>
      </c>
      <c r="AF366" s="1116">
        <v>0</v>
      </c>
      <c r="AG366" s="782">
        <v>0</v>
      </c>
      <c r="AH366" s="783">
        <v>0</v>
      </c>
      <c r="AI366" s="736">
        <v>0</v>
      </c>
      <c r="AJ366" s="782">
        <v>0</v>
      </c>
      <c r="AK366" s="783">
        <v>0</v>
      </c>
      <c r="AL366" s="736">
        <v>0</v>
      </c>
      <c r="AM366" s="782">
        <v>0</v>
      </c>
      <c r="AN366" s="783">
        <v>0</v>
      </c>
      <c r="AO366" s="736">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v>
      </c>
      <c r="B367" s="5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BoutiqueDEPENSES</v>
      </c>
      <c r="B368" s="5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cadres</v>
      </c>
      <c r="B369" s="54" t="s">
        <v>120</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09">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commis</v>
      </c>
      <c r="B370" s="55" t="s">
        <v>121</v>
      </c>
      <c r="C370" s="700"/>
      <c r="D370" s="707"/>
      <c r="E370" s="721">
        <v>0</v>
      </c>
      <c r="F370" s="700"/>
      <c r="G370" s="707"/>
      <c r="H370" s="721">
        <v>0</v>
      </c>
      <c r="I370" s="700"/>
      <c r="J370" s="707"/>
      <c r="K370" s="721">
        <v>0</v>
      </c>
      <c r="L370" s="700"/>
      <c r="M370" s="707"/>
      <c r="N370" s="721">
        <v>0</v>
      </c>
      <c r="O370" s="700"/>
      <c r="P370" s="707"/>
      <c r="Q370" s="721">
        <v>0</v>
      </c>
      <c r="R370" s="700"/>
      <c r="S370" s="707"/>
      <c r="T370" s="721">
        <v>0</v>
      </c>
      <c r="U370" s="700"/>
      <c r="V370" s="707"/>
      <c r="W370" s="721">
        <v>0</v>
      </c>
      <c r="X370" s="700"/>
      <c r="Y370" s="707"/>
      <c r="Z370" s="721">
        <v>0</v>
      </c>
      <c r="AA370" s="700"/>
      <c r="AB370" s="707"/>
      <c r="AC370" s="721">
        <v>0</v>
      </c>
      <c r="AD370" s="700"/>
      <c r="AE370" s="707"/>
      <c r="AF370" s="721">
        <v>0</v>
      </c>
      <c r="AG370" s="700"/>
      <c r="AH370" s="707"/>
      <c r="AI370" s="721">
        <v>0</v>
      </c>
      <c r="AJ370" s="700"/>
      <c r="AK370" s="707"/>
      <c r="AL370" s="721">
        <v>0</v>
      </c>
      <c r="AM370" s="700"/>
      <c r="AN370" s="707"/>
      <c r="AO370" s="1109">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autres</v>
      </c>
      <c r="B371" s="54" t="s">
        <v>122</v>
      </c>
      <c r="C371" s="1011"/>
      <c r="D371" s="1029"/>
      <c r="E371" s="1031">
        <v>0</v>
      </c>
      <c r="F371" s="1011"/>
      <c r="G371" s="1029"/>
      <c r="H371" s="1031">
        <v>0</v>
      </c>
      <c r="I371" s="1011"/>
      <c r="J371" s="1029"/>
      <c r="K371" s="1031">
        <v>0</v>
      </c>
      <c r="L371" s="1011"/>
      <c r="M371" s="1029"/>
      <c r="N371" s="1031">
        <v>0</v>
      </c>
      <c r="O371" s="1011"/>
      <c r="P371" s="1029"/>
      <c r="Q371" s="1031">
        <v>0</v>
      </c>
      <c r="R371" s="1011"/>
      <c r="S371" s="1029"/>
      <c r="T371" s="1031">
        <v>0</v>
      </c>
      <c r="U371" s="1011"/>
      <c r="V371" s="1029"/>
      <c r="W371" s="1031">
        <v>0</v>
      </c>
      <c r="X371" s="1011"/>
      <c r="Y371" s="1029"/>
      <c r="Z371" s="1031">
        <v>0</v>
      </c>
      <c r="AA371" s="1011"/>
      <c r="AB371" s="1029"/>
      <c r="AC371" s="1031">
        <v>0</v>
      </c>
      <c r="AD371" s="1011"/>
      <c r="AE371" s="1029"/>
      <c r="AF371" s="1031">
        <v>0</v>
      </c>
      <c r="AG371" s="1011"/>
      <c r="AH371" s="1029"/>
      <c r="AI371" s="1031">
        <v>0</v>
      </c>
      <c r="AJ371" s="1011"/>
      <c r="AK371" s="1029"/>
      <c r="AL371" s="1031">
        <v>0</v>
      </c>
      <c r="AM371" s="1011"/>
      <c r="AN371" s="1029"/>
      <c r="AO371" s="1112">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BoutiqueSalaires spécialistes</v>
      </c>
      <c r="B372" s="54" t="s">
        <v>123</v>
      </c>
      <c r="C372" s="700"/>
      <c r="D372" s="707"/>
      <c r="E372" s="721">
        <v>0</v>
      </c>
      <c r="F372" s="700"/>
      <c r="G372" s="707"/>
      <c r="H372" s="721">
        <v>0</v>
      </c>
      <c r="I372" s="700"/>
      <c r="J372" s="707"/>
      <c r="K372" s="721">
        <v>0</v>
      </c>
      <c r="L372" s="700"/>
      <c r="M372" s="707"/>
      <c r="N372" s="721">
        <v>0</v>
      </c>
      <c r="O372" s="700"/>
      <c r="P372" s="707"/>
      <c r="Q372" s="721">
        <v>0</v>
      </c>
      <c r="R372" s="700"/>
      <c r="S372" s="707"/>
      <c r="T372" s="721">
        <v>0</v>
      </c>
      <c r="U372" s="700"/>
      <c r="V372" s="707"/>
      <c r="W372" s="721">
        <v>0</v>
      </c>
      <c r="X372" s="700"/>
      <c r="Y372" s="707"/>
      <c r="Z372" s="721">
        <v>0</v>
      </c>
      <c r="AA372" s="700"/>
      <c r="AB372" s="707"/>
      <c r="AC372" s="721">
        <v>0</v>
      </c>
      <c r="AD372" s="700"/>
      <c r="AE372" s="707"/>
      <c r="AF372" s="721">
        <v>0</v>
      </c>
      <c r="AG372" s="700"/>
      <c r="AH372" s="707"/>
      <c r="AI372" s="721">
        <v>0</v>
      </c>
      <c r="AJ372" s="700"/>
      <c r="AK372" s="707"/>
      <c r="AL372" s="721">
        <v>0</v>
      </c>
      <c r="AM372" s="700"/>
      <c r="AN372" s="707"/>
      <c r="AO372" s="1109">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0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0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v>
      </c>
      <c r="B375" s="44" t="s">
        <v>59</v>
      </c>
      <c r="C375" s="700"/>
      <c r="D375" s="707"/>
      <c r="E375" s="721"/>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110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BoutiqueSalaires en absences</v>
      </c>
      <c r="B376" s="55" t="s">
        <v>124</v>
      </c>
      <c r="C376" s="700"/>
      <c r="D376" s="707"/>
      <c r="E376" s="721">
        <v>0</v>
      </c>
      <c r="F376" s="700"/>
      <c r="G376" s="707"/>
      <c r="H376" s="721">
        <v>0</v>
      </c>
      <c r="I376" s="700"/>
      <c r="J376" s="707"/>
      <c r="K376" s="721">
        <v>0</v>
      </c>
      <c r="L376" s="700"/>
      <c r="M376" s="707"/>
      <c r="N376" s="721">
        <v>0</v>
      </c>
      <c r="O376" s="700"/>
      <c r="P376" s="707"/>
      <c r="Q376" s="721">
        <v>0</v>
      </c>
      <c r="R376" s="700"/>
      <c r="S376" s="707"/>
      <c r="T376" s="721">
        <v>0</v>
      </c>
      <c r="U376" s="700"/>
      <c r="V376" s="707"/>
      <c r="W376" s="721">
        <v>0</v>
      </c>
      <c r="X376" s="700"/>
      <c r="Y376" s="707"/>
      <c r="Z376" s="721">
        <v>0</v>
      </c>
      <c r="AA376" s="700"/>
      <c r="AB376" s="707"/>
      <c r="AC376" s="721">
        <v>0</v>
      </c>
      <c r="AD376" s="700"/>
      <c r="AE376" s="707"/>
      <c r="AF376" s="721">
        <v>0</v>
      </c>
      <c r="AG376" s="700"/>
      <c r="AH376" s="707"/>
      <c r="AI376" s="721">
        <v>0</v>
      </c>
      <c r="AJ376" s="700"/>
      <c r="AK376" s="707"/>
      <c r="AL376" s="721">
        <v>0</v>
      </c>
      <c r="AM376" s="700"/>
      <c r="AN376" s="707"/>
      <c r="AO376" s="1109">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BoutiqueDéduction à la source</v>
      </c>
      <c r="B377" s="54" t="s">
        <v>125</v>
      </c>
      <c r="C377" s="1011"/>
      <c r="D377" s="1029"/>
      <c r="E377" s="1031">
        <v>0</v>
      </c>
      <c r="F377" s="1011"/>
      <c r="G377" s="1029"/>
      <c r="H377" s="1031">
        <v>0</v>
      </c>
      <c r="I377" s="1011"/>
      <c r="J377" s="1029"/>
      <c r="K377" s="1031">
        <v>0</v>
      </c>
      <c r="L377" s="1011"/>
      <c r="M377" s="1029"/>
      <c r="N377" s="1031">
        <v>0</v>
      </c>
      <c r="O377" s="1011"/>
      <c r="P377" s="1029"/>
      <c r="Q377" s="1031">
        <v>0</v>
      </c>
      <c r="R377" s="1011"/>
      <c r="S377" s="1029"/>
      <c r="T377" s="1031">
        <v>0</v>
      </c>
      <c r="U377" s="1011"/>
      <c r="V377" s="1029"/>
      <c r="W377" s="1031">
        <v>0</v>
      </c>
      <c r="X377" s="1011"/>
      <c r="Y377" s="1029"/>
      <c r="Z377" s="1031">
        <v>0</v>
      </c>
      <c r="AA377" s="1011"/>
      <c r="AB377" s="1029"/>
      <c r="AC377" s="1031">
        <v>0</v>
      </c>
      <c r="AD377" s="1011"/>
      <c r="AE377" s="1029"/>
      <c r="AF377" s="1031">
        <v>0</v>
      </c>
      <c r="AG377" s="1011"/>
      <c r="AH377" s="1029"/>
      <c r="AI377" s="1031">
        <v>0</v>
      </c>
      <c r="AJ377" s="1011"/>
      <c r="AK377" s="1029"/>
      <c r="AL377" s="1031">
        <v>0</v>
      </c>
      <c r="AM377" s="1011"/>
      <c r="AN377" s="1029"/>
      <c r="AO377" s="1112">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BoutiqueBénéfices marginaux</v>
      </c>
      <c r="B378" s="54" t="s">
        <v>126</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09">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BoutiqueCsst</v>
      </c>
      <c r="B379" s="54" t="s">
        <v>127</v>
      </c>
      <c r="C379" s="700"/>
      <c r="D379" s="707"/>
      <c r="E379" s="721">
        <v>0</v>
      </c>
      <c r="F379" s="700"/>
      <c r="G379" s="707"/>
      <c r="H379" s="721">
        <v>0</v>
      </c>
      <c r="I379" s="700"/>
      <c r="J379" s="707"/>
      <c r="K379" s="721">
        <v>0</v>
      </c>
      <c r="L379" s="700"/>
      <c r="M379" s="707"/>
      <c r="N379" s="721">
        <v>0</v>
      </c>
      <c r="O379" s="700"/>
      <c r="P379" s="707"/>
      <c r="Q379" s="721">
        <v>0</v>
      </c>
      <c r="R379" s="700"/>
      <c r="S379" s="707"/>
      <c r="T379" s="721">
        <v>0</v>
      </c>
      <c r="U379" s="700"/>
      <c r="V379" s="707"/>
      <c r="W379" s="721">
        <v>0</v>
      </c>
      <c r="X379" s="700"/>
      <c r="Y379" s="707"/>
      <c r="Z379" s="721">
        <v>0</v>
      </c>
      <c r="AA379" s="700"/>
      <c r="AB379" s="707"/>
      <c r="AC379" s="721">
        <v>0</v>
      </c>
      <c r="AD379" s="700"/>
      <c r="AE379" s="707"/>
      <c r="AF379" s="721">
        <v>0</v>
      </c>
      <c r="AG379" s="700"/>
      <c r="AH379" s="707"/>
      <c r="AI379" s="721">
        <v>0</v>
      </c>
      <c r="AJ379" s="700"/>
      <c r="AK379" s="707"/>
      <c r="AL379" s="721">
        <v>0</v>
      </c>
      <c r="AM379" s="700"/>
      <c r="AN379" s="707"/>
      <c r="AO379" s="1109">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v>
      </c>
      <c r="B380" s="44" t="s">
        <v>59</v>
      </c>
      <c r="C380" s="726"/>
      <c r="D380" s="727"/>
      <c r="E380" s="724"/>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BoutiqueTOTAL PERSONNEL</v>
      </c>
      <c r="B381" s="53" t="s">
        <v>128</v>
      </c>
      <c r="C381" s="1024" t="s">
        <v>119</v>
      </c>
      <c r="D381" s="1025">
        <v>0</v>
      </c>
      <c r="E381" s="1026">
        <v>0</v>
      </c>
      <c r="F381" s="1024"/>
      <c r="G381" s="1025"/>
      <c r="H381" s="1026">
        <v>0</v>
      </c>
      <c r="I381" s="1024"/>
      <c r="J381" s="1025"/>
      <c r="K381" s="1026">
        <v>0</v>
      </c>
      <c r="L381" s="1024"/>
      <c r="M381" s="1025"/>
      <c r="N381" s="1026">
        <v>0</v>
      </c>
      <c r="O381" s="1024"/>
      <c r="P381" s="1025"/>
      <c r="Q381" s="1026">
        <v>0</v>
      </c>
      <c r="R381" s="1024"/>
      <c r="S381" s="1025"/>
      <c r="T381" s="1026">
        <v>0</v>
      </c>
      <c r="U381" s="1024"/>
      <c r="V381" s="1025"/>
      <c r="W381" s="1111">
        <v>0</v>
      </c>
      <c r="X381" s="1024"/>
      <c r="Y381" s="1025"/>
      <c r="Z381" s="1111">
        <v>0</v>
      </c>
      <c r="AA381" s="1024"/>
      <c r="AB381" s="1025"/>
      <c r="AC381" s="1111">
        <v>0</v>
      </c>
      <c r="AD381" s="1024"/>
      <c r="AE381" s="1025"/>
      <c r="AF381" s="1111">
        <v>0</v>
      </c>
      <c r="AG381" s="1024"/>
      <c r="AH381" s="1025"/>
      <c r="AI381" s="1026">
        <v>0</v>
      </c>
      <c r="AJ381" s="1024"/>
      <c r="AK381" s="1025"/>
      <c r="AL381" s="1026">
        <v>0</v>
      </c>
      <c r="AM381" s="1024"/>
      <c r="AN381" s="1025"/>
      <c r="AO381" s="1026">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BoutiquePublicité 2</v>
      </c>
      <c r="B382" s="63" t="s">
        <v>129</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09">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BoutiqueService gratuit 2</v>
      </c>
      <c r="B383" s="54" t="s">
        <v>130</v>
      </c>
      <c r="C383" s="700"/>
      <c r="D383" s="707"/>
      <c r="E383" s="721">
        <v>0</v>
      </c>
      <c r="F383" s="700"/>
      <c r="G383" s="707"/>
      <c r="H383" s="721">
        <v>0</v>
      </c>
      <c r="I383" s="700"/>
      <c r="J383" s="707"/>
      <c r="K383" s="721">
        <v>0</v>
      </c>
      <c r="L383" s="700"/>
      <c r="M383" s="707"/>
      <c r="N383" s="721">
        <v>0</v>
      </c>
      <c r="O383" s="700"/>
      <c r="P383" s="707"/>
      <c r="Q383" s="721">
        <v>0</v>
      </c>
      <c r="R383" s="700"/>
      <c r="S383" s="707"/>
      <c r="T383" s="721">
        <v>0</v>
      </c>
      <c r="U383" s="700"/>
      <c r="V383" s="707"/>
      <c r="W383" s="721">
        <v>0</v>
      </c>
      <c r="X383" s="700"/>
      <c r="Y383" s="707"/>
      <c r="Z383" s="721">
        <v>0</v>
      </c>
      <c r="AA383" s="700"/>
      <c r="AB383" s="707"/>
      <c r="AC383" s="721">
        <v>0</v>
      </c>
      <c r="AD383" s="700"/>
      <c r="AE383" s="707"/>
      <c r="AF383" s="721">
        <v>0</v>
      </c>
      <c r="AG383" s="700"/>
      <c r="AH383" s="707"/>
      <c r="AI383" s="721">
        <v>0</v>
      </c>
      <c r="AJ383" s="700"/>
      <c r="AK383" s="707"/>
      <c r="AL383" s="721">
        <v>0</v>
      </c>
      <c r="AM383" s="700"/>
      <c r="AN383" s="707"/>
      <c r="AO383" s="110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BoutiqueFrais véhicules de cie</v>
      </c>
      <c r="B384" s="55" t="s">
        <v>131</v>
      </c>
      <c r="C384" s="726"/>
      <c r="D384" s="727"/>
      <c r="E384" s="725">
        <v>0</v>
      </c>
      <c r="F384" s="726"/>
      <c r="G384" s="727"/>
      <c r="H384" s="725">
        <v>0</v>
      </c>
      <c r="I384" s="726"/>
      <c r="J384" s="727"/>
      <c r="K384" s="725">
        <v>0</v>
      </c>
      <c r="L384" s="726"/>
      <c r="M384" s="727"/>
      <c r="N384" s="725">
        <v>0</v>
      </c>
      <c r="O384" s="726"/>
      <c r="P384" s="727"/>
      <c r="Q384" s="725">
        <v>0</v>
      </c>
      <c r="R384" s="726"/>
      <c r="S384" s="727"/>
      <c r="T384" s="725">
        <v>0</v>
      </c>
      <c r="U384" s="726"/>
      <c r="V384" s="727"/>
      <c r="W384" s="725">
        <v>0</v>
      </c>
      <c r="X384" s="726"/>
      <c r="Y384" s="727"/>
      <c r="Z384" s="725">
        <v>0</v>
      </c>
      <c r="AA384" s="726"/>
      <c r="AB384" s="727"/>
      <c r="AC384" s="725">
        <v>0</v>
      </c>
      <c r="AD384" s="726"/>
      <c r="AE384" s="727"/>
      <c r="AF384" s="725">
        <v>0</v>
      </c>
      <c r="AG384" s="726"/>
      <c r="AH384" s="727"/>
      <c r="AI384" s="725">
        <v>0</v>
      </c>
      <c r="AJ384" s="726"/>
      <c r="AK384" s="727"/>
      <c r="AL384" s="725">
        <v>0</v>
      </c>
      <c r="AM384" s="726"/>
      <c r="AN384" s="727"/>
      <c r="AO384" s="111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BoutiqueInformatique</v>
      </c>
      <c r="B385" s="54" t="s">
        <v>132</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09">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BoutiqueFrais de déplacement</v>
      </c>
      <c r="B386" s="54" t="s">
        <v>133</v>
      </c>
      <c r="C386" s="700"/>
      <c r="D386" s="707"/>
      <c r="E386" s="721">
        <v>0</v>
      </c>
      <c r="F386" s="700"/>
      <c r="G386" s="707"/>
      <c r="H386" s="721">
        <v>0</v>
      </c>
      <c r="I386" s="700"/>
      <c r="J386" s="707"/>
      <c r="K386" s="721">
        <v>0</v>
      </c>
      <c r="L386" s="700"/>
      <c r="M386" s="707"/>
      <c r="N386" s="721">
        <v>0</v>
      </c>
      <c r="O386" s="700"/>
      <c r="P386" s="707"/>
      <c r="Q386" s="721">
        <v>0</v>
      </c>
      <c r="R386" s="700"/>
      <c r="S386" s="707"/>
      <c r="T386" s="721">
        <v>0</v>
      </c>
      <c r="U386" s="700"/>
      <c r="V386" s="707"/>
      <c r="W386" s="721">
        <v>0</v>
      </c>
      <c r="X386" s="700"/>
      <c r="Y386" s="707"/>
      <c r="Z386" s="721">
        <v>0</v>
      </c>
      <c r="AA386" s="700"/>
      <c r="AB386" s="707"/>
      <c r="AC386" s="721">
        <v>0</v>
      </c>
      <c r="AD386" s="700"/>
      <c r="AE386" s="707"/>
      <c r="AF386" s="721">
        <v>0</v>
      </c>
      <c r="AG386" s="700"/>
      <c r="AH386" s="707"/>
      <c r="AI386" s="721">
        <v>0</v>
      </c>
      <c r="AJ386" s="700"/>
      <c r="AK386" s="707"/>
      <c r="AL386" s="721">
        <v>0</v>
      </c>
      <c r="AM386" s="700"/>
      <c r="AN386" s="707"/>
      <c r="AO386" s="110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5"/>
        <v>BoutiqueServices extérieurs</v>
      </c>
      <c r="B387" s="54" t="s">
        <v>134</v>
      </c>
      <c r="C387" s="726"/>
      <c r="D387" s="727"/>
      <c r="E387" s="725">
        <v>0</v>
      </c>
      <c r="F387" s="726"/>
      <c r="G387" s="727"/>
      <c r="H387" s="725">
        <v>0</v>
      </c>
      <c r="I387" s="726"/>
      <c r="J387" s="727"/>
      <c r="K387" s="725">
        <v>0</v>
      </c>
      <c r="L387" s="726"/>
      <c r="M387" s="727"/>
      <c r="N387" s="725">
        <v>0</v>
      </c>
      <c r="O387" s="726"/>
      <c r="P387" s="727"/>
      <c r="Q387" s="725">
        <v>0</v>
      </c>
      <c r="R387" s="726"/>
      <c r="S387" s="727"/>
      <c r="T387" s="725">
        <v>0</v>
      </c>
      <c r="U387" s="726"/>
      <c r="V387" s="727"/>
      <c r="W387" s="725">
        <v>0</v>
      </c>
      <c r="X387" s="726"/>
      <c r="Y387" s="727"/>
      <c r="Z387" s="725">
        <v>0</v>
      </c>
      <c r="AA387" s="726"/>
      <c r="AB387" s="727"/>
      <c r="AC387" s="725">
        <v>0</v>
      </c>
      <c r="AD387" s="726"/>
      <c r="AE387" s="727"/>
      <c r="AF387" s="725">
        <v>0</v>
      </c>
      <c r="AG387" s="726"/>
      <c r="AH387" s="727"/>
      <c r="AI387" s="725">
        <v>0</v>
      </c>
      <c r="AJ387" s="726"/>
      <c r="AK387" s="727"/>
      <c r="AL387" s="725">
        <v>0</v>
      </c>
      <c r="AM387" s="726"/>
      <c r="AN387" s="727"/>
      <c r="AO387" s="111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BoutiqueFournitures autres</v>
      </c>
      <c r="B388" s="63" t="s">
        <v>135</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09">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BoutiqueUniformes</v>
      </c>
      <c r="B389" s="54" t="s">
        <v>136</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09">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BoutiquePapeterie</v>
      </c>
      <c r="B390" s="54" t="s">
        <v>137</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09">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BoutiqueTéléphone</v>
      </c>
      <c r="B391" s="54" t="s">
        <v>138</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09">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BoutiqueFrais postaux</v>
      </c>
      <c r="B392" s="54" t="s">
        <v>139</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09">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BoutiqueDivers</v>
      </c>
      <c r="B393" s="54" t="s">
        <v>140</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09">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BoutiqueFormation</v>
      </c>
      <c r="B394" s="54" t="s">
        <v>141</v>
      </c>
      <c r="C394" s="700"/>
      <c r="D394" s="707"/>
      <c r="E394" s="721">
        <v>0</v>
      </c>
      <c r="F394" s="700"/>
      <c r="G394" s="707"/>
      <c r="H394" s="721">
        <v>0</v>
      </c>
      <c r="I394" s="700"/>
      <c r="J394" s="707"/>
      <c r="K394" s="721">
        <v>0</v>
      </c>
      <c r="L394" s="700"/>
      <c r="M394" s="707"/>
      <c r="N394" s="721">
        <v>0</v>
      </c>
      <c r="O394" s="700"/>
      <c r="P394" s="707"/>
      <c r="Q394" s="721">
        <v>0</v>
      </c>
      <c r="R394" s="700"/>
      <c r="S394" s="707"/>
      <c r="T394" s="721">
        <v>0</v>
      </c>
      <c r="U394" s="700"/>
      <c r="V394" s="707"/>
      <c r="W394" s="721">
        <v>0</v>
      </c>
      <c r="X394" s="700"/>
      <c r="Y394" s="707"/>
      <c r="Z394" s="721">
        <v>0</v>
      </c>
      <c r="AA394" s="700"/>
      <c r="AB394" s="707"/>
      <c r="AC394" s="721">
        <v>0</v>
      </c>
      <c r="AD394" s="700"/>
      <c r="AE394" s="707"/>
      <c r="AF394" s="721">
        <v>0</v>
      </c>
      <c r="AG394" s="700"/>
      <c r="AH394" s="707"/>
      <c r="AI394" s="721">
        <v>0</v>
      </c>
      <c r="AJ394" s="700"/>
      <c r="AK394" s="707"/>
      <c r="AL394" s="721">
        <v>0</v>
      </c>
      <c r="AM394" s="700"/>
      <c r="AN394" s="707"/>
      <c r="AO394" s="1109">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5"/>
        <v>BoutiqueFrais bancaires</v>
      </c>
      <c r="B395" s="54" t="s">
        <v>142</v>
      </c>
      <c r="C395" s="700"/>
      <c r="D395" s="707"/>
      <c r="E395" s="721">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1109"/>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00"/>
      <c r="D397" s="707"/>
      <c r="E397" s="708"/>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v>
      </c>
      <c r="B398" s="54" t="s">
        <v>59</v>
      </c>
      <c r="C398" s="726"/>
      <c r="D398" s="727"/>
      <c r="E398" s="708"/>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BoutiqueTOTAL SEMI-FIXES</v>
      </c>
      <c r="B399" s="53" t="s">
        <v>143</v>
      </c>
      <c r="C399" s="1024" t="s">
        <v>119</v>
      </c>
      <c r="D399" s="1025">
        <v>0</v>
      </c>
      <c r="E399" s="1026">
        <v>0</v>
      </c>
      <c r="F399" s="1024" t="s">
        <v>119</v>
      </c>
      <c r="G399" s="1025">
        <v>0</v>
      </c>
      <c r="H399" s="1026">
        <v>0</v>
      </c>
      <c r="I399" s="1024" t="s">
        <v>119</v>
      </c>
      <c r="J399" s="1025">
        <v>0</v>
      </c>
      <c r="K399" s="1026">
        <v>0</v>
      </c>
      <c r="L399" s="1024" t="s">
        <v>119</v>
      </c>
      <c r="M399" s="1025">
        <v>0</v>
      </c>
      <c r="N399" s="1026">
        <v>0</v>
      </c>
      <c r="O399" s="1024" t="s">
        <v>119</v>
      </c>
      <c r="P399" s="1025">
        <v>0</v>
      </c>
      <c r="Q399" s="1026">
        <v>0</v>
      </c>
      <c r="R399" s="1024" t="s">
        <v>119</v>
      </c>
      <c r="S399" s="1025">
        <v>0</v>
      </c>
      <c r="T399" s="1026">
        <v>0</v>
      </c>
      <c r="U399" s="1024" t="s">
        <v>119</v>
      </c>
      <c r="V399" s="1025">
        <v>0</v>
      </c>
      <c r="W399" s="1111">
        <v>0</v>
      </c>
      <c r="X399" s="1024" t="s">
        <v>119</v>
      </c>
      <c r="Y399" s="1025">
        <v>0</v>
      </c>
      <c r="Z399" s="1111">
        <v>0</v>
      </c>
      <c r="AA399" s="1024" t="s">
        <v>119</v>
      </c>
      <c r="AB399" s="1025">
        <v>0</v>
      </c>
      <c r="AC399" s="1111">
        <v>0</v>
      </c>
      <c r="AD399" s="1024" t="s">
        <v>119</v>
      </c>
      <c r="AE399" s="1025">
        <v>0</v>
      </c>
      <c r="AF399" s="1111">
        <v>0</v>
      </c>
      <c r="AG399" s="1024" t="s">
        <v>119</v>
      </c>
      <c r="AH399" s="1025">
        <v>0</v>
      </c>
      <c r="AI399" s="1026">
        <v>0</v>
      </c>
      <c r="AJ399" s="1024" t="s">
        <v>119</v>
      </c>
      <c r="AK399" s="1025">
        <v>0</v>
      </c>
      <c r="AL399" s="1026">
        <v>0</v>
      </c>
      <c r="AM399" s="1024" t="s">
        <v>119</v>
      </c>
      <c r="AN399" s="1025">
        <v>0</v>
      </c>
      <c r="AO399" s="1026">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v>
      </c>
      <c r="B400" s="44"/>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5"/>
        <v>BoutiqueTOTAL DES DÉPENSES</v>
      </c>
      <c r="B401" s="53" t="s">
        <v>144</v>
      </c>
      <c r="C401" s="1024" t="s">
        <v>119</v>
      </c>
      <c r="D401" s="1025">
        <v>0</v>
      </c>
      <c r="E401" s="1026">
        <v>0</v>
      </c>
      <c r="F401" s="1024" t="s">
        <v>119</v>
      </c>
      <c r="G401" s="1025">
        <v>0</v>
      </c>
      <c r="H401" s="1026">
        <v>0</v>
      </c>
      <c r="I401" s="1024" t="s">
        <v>119</v>
      </c>
      <c r="J401" s="1025">
        <v>0</v>
      </c>
      <c r="K401" s="1026">
        <v>0</v>
      </c>
      <c r="L401" s="1024" t="s">
        <v>119</v>
      </c>
      <c r="M401" s="1025">
        <v>0</v>
      </c>
      <c r="N401" s="1026">
        <v>0</v>
      </c>
      <c r="O401" s="1024" t="s">
        <v>119</v>
      </c>
      <c r="P401" s="1025">
        <v>0</v>
      </c>
      <c r="Q401" s="1026">
        <v>0</v>
      </c>
      <c r="R401" s="1024" t="s">
        <v>119</v>
      </c>
      <c r="S401" s="1025">
        <v>0</v>
      </c>
      <c r="T401" s="1026">
        <v>0</v>
      </c>
      <c r="U401" s="1024" t="s">
        <v>119</v>
      </c>
      <c r="V401" s="1025">
        <v>0</v>
      </c>
      <c r="W401" s="1111">
        <v>0</v>
      </c>
      <c r="X401" s="1024" t="s">
        <v>119</v>
      </c>
      <c r="Y401" s="1025">
        <v>0</v>
      </c>
      <c r="Z401" s="1111">
        <v>0</v>
      </c>
      <c r="AA401" s="1024" t="s">
        <v>119</v>
      </c>
      <c r="AB401" s="1025">
        <v>0</v>
      </c>
      <c r="AC401" s="1111">
        <v>0</v>
      </c>
      <c r="AD401" s="1024" t="s">
        <v>119</v>
      </c>
      <c r="AE401" s="1025">
        <v>0</v>
      </c>
      <c r="AF401" s="1111">
        <v>0</v>
      </c>
      <c r="AG401" s="1024" t="s">
        <v>119</v>
      </c>
      <c r="AH401" s="1025">
        <v>0</v>
      </c>
      <c r="AI401" s="1026">
        <v>0</v>
      </c>
      <c r="AJ401" s="1024" t="s">
        <v>119</v>
      </c>
      <c r="AK401" s="1025">
        <v>0</v>
      </c>
      <c r="AL401" s="1026">
        <v>0</v>
      </c>
      <c r="AM401" s="1024" t="s">
        <v>119</v>
      </c>
      <c r="AN401" s="1025">
        <v>0</v>
      </c>
      <c r="AO401" s="1026">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Bot="1">
      <c r="A402" s="39" t="str">
        <f t="shared" si="5"/>
        <v>Boutique</v>
      </c>
      <c r="B402" s="44"/>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thickBot="1">
      <c r="A403" s="39" t="str">
        <f t="shared" si="5"/>
        <v>BoutiquePROFIT DÉPARTEMENTAL</v>
      </c>
      <c r="B403" s="66" t="s">
        <v>151</v>
      </c>
      <c r="C403" s="785"/>
      <c r="D403" s="786"/>
      <c r="E403" s="787">
        <v>0</v>
      </c>
      <c r="F403" s="785"/>
      <c r="G403" s="786"/>
      <c r="H403" s="787">
        <v>0</v>
      </c>
      <c r="I403" s="785"/>
      <c r="J403" s="786"/>
      <c r="K403" s="787">
        <v>0</v>
      </c>
      <c r="L403" s="785"/>
      <c r="M403" s="786"/>
      <c r="N403" s="787">
        <v>0</v>
      </c>
      <c r="O403" s="785"/>
      <c r="P403" s="786"/>
      <c r="Q403" s="787">
        <v>0</v>
      </c>
      <c r="R403" s="785"/>
      <c r="S403" s="786"/>
      <c r="T403" s="787">
        <v>0</v>
      </c>
      <c r="U403" s="785"/>
      <c r="V403" s="786"/>
      <c r="W403" s="1133">
        <v>0</v>
      </c>
      <c r="X403" s="785"/>
      <c r="Y403" s="786"/>
      <c r="Z403" s="1133">
        <v>0</v>
      </c>
      <c r="AA403" s="785"/>
      <c r="AB403" s="786"/>
      <c r="AC403" s="1133">
        <v>0</v>
      </c>
      <c r="AD403" s="785"/>
      <c r="AE403" s="786"/>
      <c r="AF403" s="1133">
        <v>0</v>
      </c>
      <c r="AG403" s="785"/>
      <c r="AH403" s="786"/>
      <c r="AI403" s="787">
        <v>0</v>
      </c>
      <c r="AJ403" s="785"/>
      <c r="AK403" s="786"/>
      <c r="AL403" s="787">
        <v>0</v>
      </c>
      <c r="AM403" s="785"/>
      <c r="AN403" s="786"/>
      <c r="AO403" s="787">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Top="1">
      <c r="A404" s="39"/>
      <c r="B404" s="51"/>
      <c r="C404" s="748"/>
      <c r="D404" s="748"/>
      <c r="E404" s="784">
        <v>0</v>
      </c>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48"/>
      <c r="C405" s="707"/>
      <c r="D405" s="707"/>
      <c r="E405" s="720"/>
      <c r="F405" s="707"/>
      <c r="G405" s="707"/>
      <c r="H405" s="720">
        <v>0</v>
      </c>
      <c r="I405" s="707"/>
      <c r="J405" s="707"/>
      <c r="K405" s="720">
        <v>0</v>
      </c>
      <c r="L405" s="707"/>
      <c r="M405" s="707"/>
      <c r="N405" s="720">
        <v>0</v>
      </c>
      <c r="O405" s="707"/>
      <c r="P405" s="707"/>
      <c r="Q405" s="720">
        <v>0</v>
      </c>
      <c r="R405" s="707"/>
      <c r="S405" s="707"/>
      <c r="T405" s="720">
        <v>0</v>
      </c>
      <c r="U405" s="707"/>
      <c r="V405" s="707"/>
      <c r="W405" s="720">
        <v>0</v>
      </c>
      <c r="X405" s="707"/>
      <c r="Y405" s="707"/>
      <c r="Z405" s="720">
        <v>0</v>
      </c>
      <c r="AA405" s="707"/>
      <c r="AB405" s="707"/>
      <c r="AC405" s="720">
        <v>0</v>
      </c>
      <c r="AD405" s="707"/>
      <c r="AE405" s="707"/>
      <c r="AF405" s="720">
        <v>0</v>
      </c>
      <c r="AG405" s="707"/>
      <c r="AH405" s="707"/>
      <c r="AI405" s="720">
        <v>0</v>
      </c>
      <c r="AJ405" s="707"/>
      <c r="AK405" s="707"/>
      <c r="AL405" s="720">
        <v>0</v>
      </c>
      <c r="AM405" s="707"/>
      <c r="AN405" s="707"/>
      <c r="AO405" s="720">
        <v>0</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1" t="s">
        <v>3840</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Bot="1">
      <c r="A407" s="39"/>
      <c r="B407" s="67"/>
      <c r="C407" s="789"/>
      <c r="D407" s="789"/>
      <c r="E407" s="789"/>
      <c r="F407" s="789"/>
      <c r="G407" s="789"/>
      <c r="H407" s="790">
        <v>7055316.1389505528</v>
      </c>
      <c r="I407" s="789"/>
      <c r="J407" s="789"/>
      <c r="K407" s="790">
        <v>7055316.1389505528</v>
      </c>
      <c r="L407" s="789"/>
      <c r="M407" s="789"/>
      <c r="N407" s="790">
        <v>7055316.1389505528</v>
      </c>
      <c r="O407" s="789"/>
      <c r="P407" s="789"/>
      <c r="Q407" s="790">
        <v>7055316.1389505528</v>
      </c>
      <c r="R407" s="789"/>
      <c r="S407" s="789"/>
      <c r="T407" s="790">
        <v>7055316.1389505528</v>
      </c>
      <c r="U407" s="789"/>
      <c r="V407" s="789"/>
      <c r="W407" s="790">
        <v>7055316.1389505528</v>
      </c>
      <c r="X407" s="789"/>
      <c r="Y407" s="789"/>
      <c r="Z407" s="790">
        <v>7055316.1389505528</v>
      </c>
      <c r="AA407" s="789"/>
      <c r="AB407" s="789"/>
      <c r="AC407" s="790">
        <v>7055316.1389505528</v>
      </c>
      <c r="AD407" s="789"/>
      <c r="AE407" s="789"/>
      <c r="AF407" s="790">
        <v>7055316.1389505528</v>
      </c>
      <c r="AG407" s="789"/>
      <c r="AH407" s="789"/>
      <c r="AI407" s="790">
        <v>7055316.1389505528</v>
      </c>
      <c r="AJ407" s="789"/>
      <c r="AK407" s="789"/>
      <c r="AL407" s="790">
        <v>7055316.1389505528</v>
      </c>
      <c r="AM407" s="789"/>
      <c r="AN407" s="789"/>
      <c r="AO407" s="790">
        <v>7055316.1389505528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thickTop="1">
      <c r="A408" s="39"/>
      <c r="B408" s="40" t="s">
        <v>3</v>
      </c>
      <c r="C408" s="685">
        <v>2025</v>
      </c>
      <c r="D408" s="686"/>
      <c r="E408" s="687"/>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43"/>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B410</f>
        <v>Ventes nettes</v>
      </c>
      <c r="B410" s="55" t="s">
        <v>96</v>
      </c>
      <c r="C410" s="794"/>
      <c r="D410" s="795"/>
      <c r="E410" s="796">
        <v>63570213.839999981</v>
      </c>
      <c r="F410" s="794"/>
      <c r="G410" s="795"/>
      <c r="H410" s="796">
        <v>4565178.7199999895</v>
      </c>
      <c r="I410" s="794"/>
      <c r="J410" s="795"/>
      <c r="K410" s="796">
        <v>3468713.25</v>
      </c>
      <c r="L410" s="794"/>
      <c r="M410" s="795"/>
      <c r="N410" s="796">
        <v>4561965.3799999896</v>
      </c>
      <c r="O410" s="794"/>
      <c r="P410" s="795"/>
      <c r="Q410" s="796">
        <v>4734872.03</v>
      </c>
      <c r="R410" s="794"/>
      <c r="S410" s="795"/>
      <c r="T410" s="796">
        <v>5431944.5899999999</v>
      </c>
      <c r="U410" s="794"/>
      <c r="V410" s="795"/>
      <c r="W410" s="796">
        <v>4676764.22</v>
      </c>
      <c r="X410" s="794"/>
      <c r="Y410" s="795"/>
      <c r="Z410" s="796">
        <v>6749179.25</v>
      </c>
      <c r="AA410" s="794"/>
      <c r="AB410" s="795"/>
      <c r="AC410" s="796">
        <v>6149394.0600000005</v>
      </c>
      <c r="AD410" s="794"/>
      <c r="AE410" s="795"/>
      <c r="AF410" s="796">
        <v>5799821.0999999996</v>
      </c>
      <c r="AG410" s="794"/>
      <c r="AH410" s="795"/>
      <c r="AI410" s="796">
        <v>5496543.2299999995</v>
      </c>
      <c r="AJ410" s="794"/>
      <c r="AK410" s="795"/>
      <c r="AL410" s="796">
        <v>7389320.1199999992</v>
      </c>
      <c r="AM410" s="794"/>
      <c r="AN410" s="795"/>
      <c r="AO410" s="796">
        <v>4546517.8899999997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Profit brut</v>
      </c>
      <c r="B411" s="68" t="s">
        <v>202</v>
      </c>
      <c r="C411" s="797"/>
      <c r="D411" s="798"/>
      <c r="E411" s="799">
        <v>8319174.3799999924</v>
      </c>
      <c r="F411" s="797"/>
      <c r="G411" s="798"/>
      <c r="H411" s="799">
        <v>577633.46999999869</v>
      </c>
      <c r="I411" s="797"/>
      <c r="J411" s="798"/>
      <c r="K411" s="799">
        <v>480766.95999999956</v>
      </c>
      <c r="L411" s="797"/>
      <c r="M411" s="798"/>
      <c r="N411" s="799">
        <v>607778.62999999942</v>
      </c>
      <c r="O411" s="797"/>
      <c r="P411" s="798"/>
      <c r="Q411" s="799">
        <v>694816.60999999964</v>
      </c>
      <c r="R411" s="797"/>
      <c r="S411" s="798"/>
      <c r="T411" s="799">
        <v>753774.05999999982</v>
      </c>
      <c r="U411" s="797"/>
      <c r="V411" s="798"/>
      <c r="W411" s="1134">
        <v>647043.10999999952</v>
      </c>
      <c r="X411" s="797"/>
      <c r="Y411" s="798"/>
      <c r="Z411" s="1134">
        <v>777546.92999999947</v>
      </c>
      <c r="AA411" s="797"/>
      <c r="AB411" s="798"/>
      <c r="AC411" s="1134">
        <v>780636.27999999933</v>
      </c>
      <c r="AD411" s="797"/>
      <c r="AE411" s="798"/>
      <c r="AF411" s="1134">
        <v>773388.75999999978</v>
      </c>
      <c r="AG411" s="797"/>
      <c r="AH411" s="798"/>
      <c r="AI411" s="799">
        <v>720145.70999999915</v>
      </c>
      <c r="AJ411" s="797"/>
      <c r="AK411" s="798"/>
      <c r="AL411" s="799">
        <v>844403.32999999856</v>
      </c>
      <c r="AM411" s="797"/>
      <c r="AN411" s="798"/>
      <c r="AO411" s="799">
        <v>661240.52999999968</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DÉPENSES</v>
      </c>
      <c r="B412" s="69" t="s">
        <v>203</v>
      </c>
      <c r="C412" s="800"/>
      <c r="D412" s="801"/>
      <c r="E412" s="802"/>
      <c r="F412" s="800"/>
      <c r="G412" s="801">
        <v>0</v>
      </c>
      <c r="H412" s="802"/>
      <c r="I412" s="800"/>
      <c r="J412" s="801">
        <v>0</v>
      </c>
      <c r="K412" s="802"/>
      <c r="L412" s="800"/>
      <c r="M412" s="801">
        <v>0</v>
      </c>
      <c r="N412" s="802"/>
      <c r="O412" s="800"/>
      <c r="P412" s="801">
        <v>0</v>
      </c>
      <c r="Q412" s="802"/>
      <c r="R412" s="800"/>
      <c r="S412" s="801">
        <v>0</v>
      </c>
      <c r="T412" s="802"/>
      <c r="U412" s="800"/>
      <c r="V412" s="801">
        <v>0</v>
      </c>
      <c r="W412" s="802"/>
      <c r="X412" s="800"/>
      <c r="Y412" s="801">
        <v>0</v>
      </c>
      <c r="Z412" s="802"/>
      <c r="AA412" s="800"/>
      <c r="AB412" s="801">
        <v>0</v>
      </c>
      <c r="AC412" s="802"/>
      <c r="AD412" s="800"/>
      <c r="AE412" s="801">
        <v>0</v>
      </c>
      <c r="AF412" s="802"/>
      <c r="AG412" s="800"/>
      <c r="AH412" s="801">
        <v>0</v>
      </c>
      <c r="AI412" s="802"/>
      <c r="AJ412" s="800"/>
      <c r="AK412" s="801">
        <v>0</v>
      </c>
      <c r="AL412" s="802"/>
      <c r="AM412" s="800"/>
      <c r="AN412" s="801">
        <v>0</v>
      </c>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vendeurs</v>
      </c>
      <c r="B413" s="54" t="s">
        <v>111</v>
      </c>
      <c r="C413" s="805">
        <v>0.32071624260713238</v>
      </c>
      <c r="D413" s="804">
        <v>613.96637810945276</v>
      </c>
      <c r="E413" s="802">
        <v>617036.21000000008</v>
      </c>
      <c r="F413" s="805"/>
      <c r="G413" s="804">
        <v>1161.5337999999999</v>
      </c>
      <c r="H413" s="802">
        <v>58076.689999999995</v>
      </c>
      <c r="I413" s="805"/>
      <c r="J413" s="804">
        <v>1125.0318749999999</v>
      </c>
      <c r="K413" s="802">
        <v>36001.019999999997</v>
      </c>
      <c r="L413" s="805"/>
      <c r="M413" s="804">
        <v>864.53499999999997</v>
      </c>
      <c r="N413" s="802">
        <v>44955.82</v>
      </c>
      <c r="O413" s="805"/>
      <c r="P413" s="804">
        <v>863.06310344827591</v>
      </c>
      <c r="Q413" s="802">
        <v>50057.66</v>
      </c>
      <c r="R413" s="805"/>
      <c r="S413" s="804">
        <v>1162.1319230769232</v>
      </c>
      <c r="T413" s="802">
        <v>60430.86</v>
      </c>
      <c r="U413" s="805"/>
      <c r="V413" s="804">
        <v>1173.4717073170732</v>
      </c>
      <c r="W413" s="802">
        <v>48112.34</v>
      </c>
      <c r="X413" s="805"/>
      <c r="Y413" s="804">
        <v>845.97315789473691</v>
      </c>
      <c r="Z413" s="802">
        <v>64293.960000000006</v>
      </c>
      <c r="AA413" s="805"/>
      <c r="AB413" s="804">
        <v>946.68484375000003</v>
      </c>
      <c r="AC413" s="802">
        <v>60587.83</v>
      </c>
      <c r="AD413" s="805"/>
      <c r="AE413" s="804">
        <v>921.66603174603176</v>
      </c>
      <c r="AF413" s="802">
        <v>58064.959999999999</v>
      </c>
      <c r="AG413" s="805"/>
      <c r="AH413" s="804">
        <v>1094.5874999999999</v>
      </c>
      <c r="AI413" s="802">
        <v>52540.2</v>
      </c>
      <c r="AJ413" s="805"/>
      <c r="AK413" s="804">
        <v>673.16728571428575</v>
      </c>
      <c r="AL413" s="802">
        <v>47121.71</v>
      </c>
      <c r="AM413" s="805"/>
      <c r="AN413" s="804">
        <v>919.82900000000006</v>
      </c>
      <c r="AO413" s="802">
        <v>36793.160000000003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Comm. F&amp;I</v>
      </c>
      <c r="B414" s="55" t="s">
        <v>112</v>
      </c>
      <c r="C414" s="808">
        <v>0.27007556056897603</v>
      </c>
      <c r="D414" s="807">
        <v>369.51185185185187</v>
      </c>
      <c r="E414" s="796">
        <v>349188.7</v>
      </c>
      <c r="F414" s="808"/>
      <c r="G414" s="807">
        <v>618.21539999999993</v>
      </c>
      <c r="H414" s="796">
        <v>30910.769999999997</v>
      </c>
      <c r="I414" s="808"/>
      <c r="J414" s="807">
        <v>464.35500000000002</v>
      </c>
      <c r="K414" s="796">
        <v>14859.36</v>
      </c>
      <c r="L414" s="808"/>
      <c r="M414" s="807">
        <v>500.49461538461543</v>
      </c>
      <c r="N414" s="796">
        <v>26025.72</v>
      </c>
      <c r="O414" s="808"/>
      <c r="P414" s="807">
        <v>503.81</v>
      </c>
      <c r="Q414" s="796">
        <v>29220.98</v>
      </c>
      <c r="R414" s="808"/>
      <c r="S414" s="807">
        <v>714.7726923076923</v>
      </c>
      <c r="T414" s="796">
        <v>37168.18</v>
      </c>
      <c r="U414" s="808"/>
      <c r="V414" s="807">
        <v>774.44073170731701</v>
      </c>
      <c r="W414" s="796">
        <v>31752.07</v>
      </c>
      <c r="X414" s="808"/>
      <c r="Y414" s="807">
        <v>530.47210526315791</v>
      </c>
      <c r="Z414" s="796">
        <v>40315.880000000005</v>
      </c>
      <c r="AA414" s="808"/>
      <c r="AB414" s="807">
        <v>528.12031249999995</v>
      </c>
      <c r="AC414" s="796">
        <v>33799.699999999997</v>
      </c>
      <c r="AD414" s="808"/>
      <c r="AE414" s="807">
        <v>559.92428571428582</v>
      </c>
      <c r="AF414" s="796">
        <v>35275.230000000003</v>
      </c>
      <c r="AG414" s="808"/>
      <c r="AH414" s="807">
        <v>482.67833333333328</v>
      </c>
      <c r="AI414" s="796">
        <v>23168.559999999998</v>
      </c>
      <c r="AJ414" s="808"/>
      <c r="AK414" s="807">
        <v>551.24214285714277</v>
      </c>
      <c r="AL414" s="796">
        <v>38586.949999999997</v>
      </c>
      <c r="AM414" s="808"/>
      <c r="AN414" s="807">
        <v>202.63249999999999</v>
      </c>
      <c r="AO414" s="796">
        <v>8105.3</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Frais de livraison</v>
      </c>
      <c r="B415" s="54" t="s">
        <v>113</v>
      </c>
      <c r="C415" s="805"/>
      <c r="D415" s="804">
        <v>63.427312169312167</v>
      </c>
      <c r="E415" s="802">
        <v>59938.81</v>
      </c>
      <c r="F415" s="805"/>
      <c r="G415" s="804">
        <v>80.542000000000002</v>
      </c>
      <c r="H415" s="802">
        <v>4027.1</v>
      </c>
      <c r="I415" s="805"/>
      <c r="J415" s="804">
        <v>77.366250000000008</v>
      </c>
      <c r="K415" s="802">
        <v>2475.7200000000003</v>
      </c>
      <c r="L415" s="805"/>
      <c r="M415" s="804">
        <v>-14.469038461538458</v>
      </c>
      <c r="N415" s="802">
        <v>-752.38999999999987</v>
      </c>
      <c r="O415" s="805"/>
      <c r="P415" s="804">
        <v>122.43948275862068</v>
      </c>
      <c r="Q415" s="802">
        <v>7101.49</v>
      </c>
      <c r="R415" s="805"/>
      <c r="S415" s="804">
        <v>116.65576923076924</v>
      </c>
      <c r="T415" s="802">
        <v>6066.1</v>
      </c>
      <c r="U415" s="805"/>
      <c r="V415" s="804">
        <v>109.16585365853659</v>
      </c>
      <c r="W415" s="802">
        <v>4475.8</v>
      </c>
      <c r="X415" s="805"/>
      <c r="Y415" s="804">
        <v>96.930921052631575</v>
      </c>
      <c r="Z415" s="802">
        <v>7366.75</v>
      </c>
      <c r="AA415" s="805"/>
      <c r="AB415" s="804">
        <v>76.904375000000002</v>
      </c>
      <c r="AC415" s="802">
        <v>4921.88</v>
      </c>
      <c r="AD415" s="805"/>
      <c r="AE415" s="804">
        <v>111.86793650793649</v>
      </c>
      <c r="AF415" s="802">
        <v>7047.6799999999994</v>
      </c>
      <c r="AG415" s="805"/>
      <c r="AH415" s="804">
        <v>163.87666666666667</v>
      </c>
      <c r="AI415" s="802">
        <v>7866.08</v>
      </c>
      <c r="AJ415" s="805"/>
      <c r="AK415" s="804">
        <v>68.837714285714284</v>
      </c>
      <c r="AL415" s="802">
        <v>4818.6400000000003</v>
      </c>
      <c r="AM415" s="805"/>
      <c r="AN415" s="804">
        <v>113.099</v>
      </c>
      <c r="AO415" s="802">
        <v>4523.96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Service gratuit 1</v>
      </c>
      <c r="B416" s="54" t="s">
        <v>114</v>
      </c>
      <c r="C416" s="805"/>
      <c r="D416" s="804">
        <v>22.647015873015874</v>
      </c>
      <c r="E416" s="802">
        <v>21401.43</v>
      </c>
      <c r="F416" s="805"/>
      <c r="G416" s="804">
        <v>20.831599999999998</v>
      </c>
      <c r="H416" s="802">
        <v>1041.58</v>
      </c>
      <c r="I416" s="805"/>
      <c r="J416" s="804">
        <v>43.9690625</v>
      </c>
      <c r="K416" s="802">
        <v>1407.01</v>
      </c>
      <c r="L416" s="805"/>
      <c r="M416" s="804">
        <v>33.359423076923079</v>
      </c>
      <c r="N416" s="802">
        <v>1734.69</v>
      </c>
      <c r="O416" s="805"/>
      <c r="P416" s="804">
        <v>21.487241379310344</v>
      </c>
      <c r="Q416" s="802">
        <v>1246.26</v>
      </c>
      <c r="R416" s="805"/>
      <c r="S416" s="804">
        <v>51.835961538461547</v>
      </c>
      <c r="T416" s="802">
        <v>2695.4700000000003</v>
      </c>
      <c r="U416" s="805"/>
      <c r="V416" s="804">
        <v>61.878048780487802</v>
      </c>
      <c r="W416" s="802">
        <v>2537</v>
      </c>
      <c r="X416" s="805"/>
      <c r="Y416" s="804">
        <v>65.573289473684213</v>
      </c>
      <c r="Z416" s="802">
        <v>4983.57</v>
      </c>
      <c r="AA416" s="805"/>
      <c r="AB416" s="804">
        <v>17.963124999999998</v>
      </c>
      <c r="AC416" s="802">
        <v>1149.6399999999999</v>
      </c>
      <c r="AD416" s="805"/>
      <c r="AE416" s="804">
        <v>40.612063492063491</v>
      </c>
      <c r="AF416" s="802">
        <v>2558.56</v>
      </c>
      <c r="AG416" s="805"/>
      <c r="AH416" s="804">
        <v>47.755416666666669</v>
      </c>
      <c r="AI416" s="802">
        <v>2292.2600000000002</v>
      </c>
      <c r="AJ416" s="805"/>
      <c r="AK416" s="804">
        <v>31.906571428571429</v>
      </c>
      <c r="AL416" s="802">
        <v>2233.46</v>
      </c>
      <c r="AM416" s="805"/>
      <c r="AN416" s="804">
        <v>-61.951750000000004</v>
      </c>
      <c r="AO416" s="802">
        <v>-2478.0700000000002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Entretien stock</v>
      </c>
      <c r="B417" s="55" t="s">
        <v>115</v>
      </c>
      <c r="C417" s="808"/>
      <c r="D417" s="807">
        <v>142.4298095238095</v>
      </c>
      <c r="E417" s="796">
        <v>134596.16999999998</v>
      </c>
      <c r="F417" s="808"/>
      <c r="G417" s="807">
        <v>182.43739999999997</v>
      </c>
      <c r="H417" s="796">
        <v>9121.869999999999</v>
      </c>
      <c r="I417" s="808"/>
      <c r="J417" s="807">
        <v>325.03156250000001</v>
      </c>
      <c r="K417" s="796">
        <v>10401.01</v>
      </c>
      <c r="L417" s="808"/>
      <c r="M417" s="807">
        <v>250.30615384615385</v>
      </c>
      <c r="N417" s="796">
        <v>13015.92</v>
      </c>
      <c r="O417" s="808"/>
      <c r="P417" s="807">
        <v>195.60775862068965</v>
      </c>
      <c r="Q417" s="796">
        <v>11345.25</v>
      </c>
      <c r="R417" s="808"/>
      <c r="S417" s="807">
        <v>266.93692307692305</v>
      </c>
      <c r="T417" s="796">
        <v>13880.72</v>
      </c>
      <c r="U417" s="808"/>
      <c r="V417" s="807">
        <v>429.1465853658537</v>
      </c>
      <c r="W417" s="796">
        <v>17595.010000000002</v>
      </c>
      <c r="X417" s="808"/>
      <c r="Y417" s="807">
        <v>96.436710526315792</v>
      </c>
      <c r="Z417" s="796">
        <v>7329.1900000000005</v>
      </c>
      <c r="AA417" s="808"/>
      <c r="AB417" s="807">
        <v>108.97921875</v>
      </c>
      <c r="AC417" s="796">
        <v>6974.67</v>
      </c>
      <c r="AD417" s="808"/>
      <c r="AE417" s="807">
        <v>178.37333333333333</v>
      </c>
      <c r="AF417" s="796">
        <v>11237.52</v>
      </c>
      <c r="AG417" s="808"/>
      <c r="AH417" s="807">
        <v>233.72291666666669</v>
      </c>
      <c r="AI417" s="796">
        <v>11218.7</v>
      </c>
      <c r="AJ417" s="808"/>
      <c r="AK417" s="807">
        <v>168.32957142857143</v>
      </c>
      <c r="AL417" s="796">
        <v>11783.07</v>
      </c>
      <c r="AM417" s="808"/>
      <c r="AN417" s="807">
        <v>267.33100000000002</v>
      </c>
      <c r="AO417" s="796">
        <v>10693.24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Publicité 1</v>
      </c>
      <c r="B418" s="54" t="s">
        <v>116</v>
      </c>
      <c r="C418" s="805"/>
      <c r="D418" s="804">
        <v>251.96371428571427</v>
      </c>
      <c r="E418" s="802">
        <v>238105.71</v>
      </c>
      <c r="F418" s="805"/>
      <c r="G418" s="804">
        <v>335.93440000000004</v>
      </c>
      <c r="H418" s="802">
        <v>16796.72</v>
      </c>
      <c r="I418" s="805"/>
      <c r="J418" s="804">
        <v>356.83937500000002</v>
      </c>
      <c r="K418" s="802">
        <v>11418.86</v>
      </c>
      <c r="L418" s="805"/>
      <c r="M418" s="804">
        <v>593.36269230769233</v>
      </c>
      <c r="N418" s="802">
        <v>30854.86</v>
      </c>
      <c r="O418" s="805"/>
      <c r="P418" s="804">
        <v>468.53896551724142</v>
      </c>
      <c r="Q418" s="802">
        <v>27175.260000000002</v>
      </c>
      <c r="R418" s="805"/>
      <c r="S418" s="804">
        <v>412.69038461538463</v>
      </c>
      <c r="T418" s="802">
        <v>21459.9</v>
      </c>
      <c r="U418" s="805"/>
      <c r="V418" s="804">
        <v>307.2192682926829</v>
      </c>
      <c r="W418" s="802">
        <v>12595.99</v>
      </c>
      <c r="X418" s="805"/>
      <c r="Y418" s="804">
        <v>169.31657894736844</v>
      </c>
      <c r="Z418" s="802">
        <v>12868.060000000001</v>
      </c>
      <c r="AA418" s="805"/>
      <c r="AB418" s="804">
        <v>262.82343749999995</v>
      </c>
      <c r="AC418" s="802">
        <v>16820.699999999997</v>
      </c>
      <c r="AD418" s="805"/>
      <c r="AE418" s="804">
        <v>340.65761904761905</v>
      </c>
      <c r="AF418" s="802">
        <v>21461.43</v>
      </c>
      <c r="AG418" s="805"/>
      <c r="AH418" s="804">
        <v>501.21791666666667</v>
      </c>
      <c r="AI418" s="802">
        <v>24058.46</v>
      </c>
      <c r="AJ418" s="805"/>
      <c r="AK418" s="804">
        <v>195.08585714285698</v>
      </c>
      <c r="AL418" s="802">
        <v>13656.009999999989</v>
      </c>
      <c r="AM418" s="805"/>
      <c r="AN418" s="804">
        <v>723.48649999999998</v>
      </c>
      <c r="AO418" s="802">
        <v>28939.46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Intérêt de gros</v>
      </c>
      <c r="B419" s="54" t="s">
        <v>117</v>
      </c>
      <c r="C419" s="805"/>
      <c r="D419" s="804">
        <v>190.9612698412698</v>
      </c>
      <c r="E419" s="802">
        <v>180458.39999999997</v>
      </c>
      <c r="F419" s="805"/>
      <c r="G419" s="804"/>
      <c r="H419" s="802">
        <v>29528.35</v>
      </c>
      <c r="I419" s="805"/>
      <c r="J419" s="804"/>
      <c r="K419" s="802">
        <v>-9194.7100000000009</v>
      </c>
      <c r="L419" s="805"/>
      <c r="M419" s="804"/>
      <c r="N419" s="802">
        <v>26082.329999999998</v>
      </c>
      <c r="O419" s="805"/>
      <c r="P419" s="804"/>
      <c r="Q419" s="802">
        <v>-2001.2399999999998</v>
      </c>
      <c r="R419" s="805"/>
      <c r="S419" s="804"/>
      <c r="T419" s="802">
        <v>17032.379999999997</v>
      </c>
      <c r="U419" s="805"/>
      <c r="V419" s="804"/>
      <c r="W419" s="802">
        <v>18183.760000000002</v>
      </c>
      <c r="X419" s="805"/>
      <c r="Y419" s="804"/>
      <c r="Z419" s="802">
        <v>26209.15</v>
      </c>
      <c r="AA419" s="805"/>
      <c r="AB419" s="804"/>
      <c r="AC419" s="802">
        <v>3626.3999999999996</v>
      </c>
      <c r="AD419" s="805"/>
      <c r="AE419" s="804"/>
      <c r="AF419" s="802">
        <v>3855.18</v>
      </c>
      <c r="AG419" s="805"/>
      <c r="AH419" s="804"/>
      <c r="AI419" s="802">
        <v>22410.859999999997</v>
      </c>
      <c r="AJ419" s="805"/>
      <c r="AK419" s="804"/>
      <c r="AL419" s="802">
        <v>25111.55</v>
      </c>
      <c r="AM419" s="805"/>
      <c r="AN419" s="804"/>
      <c r="AO419" s="802">
        <v>19614.39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4"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v>
      </c>
      <c r="B422" s="43" t="s">
        <v>59</v>
      </c>
      <c r="C422" s="805"/>
      <c r="D422" s="804"/>
      <c r="E422" s="802"/>
      <c r="F422" s="805"/>
      <c r="G422" s="804"/>
      <c r="H422" s="802"/>
      <c r="I422" s="805"/>
      <c r="J422" s="804"/>
      <c r="K422" s="802"/>
      <c r="L422" s="805"/>
      <c r="M422" s="804"/>
      <c r="N422" s="802"/>
      <c r="O422" s="805"/>
      <c r="P422" s="804"/>
      <c r="Q422" s="802"/>
      <c r="R422" s="805"/>
      <c r="S422" s="804"/>
      <c r="T422" s="802"/>
      <c r="U422" s="805"/>
      <c r="V422" s="804"/>
      <c r="W422" s="802"/>
      <c r="X422" s="805"/>
      <c r="Y422" s="804"/>
      <c r="Z422" s="802"/>
      <c r="AA422" s="805"/>
      <c r="AB422" s="804"/>
      <c r="AC422" s="802"/>
      <c r="AD422" s="805"/>
      <c r="AE422" s="804"/>
      <c r="AF422" s="802"/>
      <c r="AG422" s="805"/>
      <c r="AH422" s="804"/>
      <c r="AI422" s="802"/>
      <c r="AJ422" s="805"/>
      <c r="AK422" s="804"/>
      <c r="AL422" s="802"/>
      <c r="AM422" s="805"/>
      <c r="AN422" s="804"/>
      <c r="AO422" s="802"/>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TOTAL VARIABLES</v>
      </c>
      <c r="B423" s="70" t="s">
        <v>118</v>
      </c>
      <c r="C423" s="1084">
        <v>0.19241397726296988</v>
      </c>
      <c r="D423" s="1087">
        <v>1654.9073516544263</v>
      </c>
      <c r="E423" s="1086">
        <v>1600725.4300000002</v>
      </c>
      <c r="F423" s="1084"/>
      <c r="G423" s="1087"/>
      <c r="H423" s="1086">
        <v>149503.07999999999</v>
      </c>
      <c r="I423" s="1084"/>
      <c r="J423" s="1087"/>
      <c r="K423" s="1086">
        <v>67368.27</v>
      </c>
      <c r="L423" s="1084"/>
      <c r="M423" s="1087"/>
      <c r="N423" s="1086">
        <v>141916.95000000001</v>
      </c>
      <c r="O423" s="1084"/>
      <c r="P423" s="1087"/>
      <c r="Q423" s="1086">
        <v>124145.659999999</v>
      </c>
      <c r="R423" s="1084"/>
      <c r="S423" s="1087"/>
      <c r="T423" s="1086">
        <v>158733.60999999999</v>
      </c>
      <c r="U423" s="1084"/>
      <c r="V423" s="1087"/>
      <c r="W423" s="1135">
        <v>135251.97</v>
      </c>
      <c r="X423" s="1084"/>
      <c r="Y423" s="1087"/>
      <c r="Z423" s="1135">
        <v>163366.56</v>
      </c>
      <c r="AA423" s="1084"/>
      <c r="AB423" s="1087"/>
      <c r="AC423" s="1135">
        <v>127880.819999999</v>
      </c>
      <c r="AD423" s="1084"/>
      <c r="AE423" s="1087"/>
      <c r="AF423" s="1135">
        <v>139500.56</v>
      </c>
      <c r="AG423" s="1084"/>
      <c r="AH423" s="1087"/>
      <c r="AI423" s="1086">
        <v>143555.11999999901</v>
      </c>
      <c r="AJ423" s="1084"/>
      <c r="AK423" s="1087"/>
      <c r="AL423" s="1086">
        <v>143311.39000000001</v>
      </c>
      <c r="AM423" s="1084"/>
      <c r="AN423" s="1087"/>
      <c r="AO423" s="1086">
        <v>106191.44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propriétaire</v>
      </c>
      <c r="B424" s="54" t="s">
        <v>204</v>
      </c>
      <c r="C424" s="805"/>
      <c r="D424" s="804"/>
      <c r="E424" s="809">
        <v>181864.14999999953</v>
      </c>
      <c r="F424" s="805"/>
      <c r="G424" s="804"/>
      <c r="H424" s="809">
        <v>15557.82</v>
      </c>
      <c r="I424" s="805"/>
      <c r="J424" s="804"/>
      <c r="K424" s="809">
        <v>16663.66</v>
      </c>
      <c r="L424" s="805"/>
      <c r="M424" s="804"/>
      <c r="N424" s="809">
        <v>10888.7599999999</v>
      </c>
      <c r="O424" s="805"/>
      <c r="P424" s="804"/>
      <c r="Q424" s="809">
        <v>13074.76</v>
      </c>
      <c r="R424" s="805"/>
      <c r="S424" s="804"/>
      <c r="T424" s="809">
        <v>18425.95</v>
      </c>
      <c r="U424" s="805"/>
      <c r="V424" s="804"/>
      <c r="W424" s="809">
        <v>15260.7599999999</v>
      </c>
      <c r="X424" s="805"/>
      <c r="Y424" s="804"/>
      <c r="Z424" s="809">
        <v>12528.2599999999</v>
      </c>
      <c r="AA424" s="805"/>
      <c r="AB424" s="804"/>
      <c r="AC424" s="809">
        <v>15146.95</v>
      </c>
      <c r="AD424" s="805"/>
      <c r="AE424" s="804"/>
      <c r="AF424" s="809">
        <v>15260.7599999999</v>
      </c>
      <c r="AG424" s="805"/>
      <c r="AH424" s="804"/>
      <c r="AI424" s="809">
        <v>17332.95</v>
      </c>
      <c r="AJ424" s="805"/>
      <c r="AK424" s="804"/>
      <c r="AL424" s="809">
        <v>15260.7599999999</v>
      </c>
      <c r="AM424" s="805"/>
      <c r="AN424" s="804"/>
      <c r="AO424" s="1136">
        <v>16462.759999999998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cadres</v>
      </c>
      <c r="B425" s="54" t="s">
        <v>120</v>
      </c>
      <c r="C425" s="805"/>
      <c r="D425" s="804"/>
      <c r="E425" s="802">
        <v>675226.72999999952</v>
      </c>
      <c r="F425" s="805"/>
      <c r="G425" s="804"/>
      <c r="H425" s="802">
        <v>62227.09</v>
      </c>
      <c r="I425" s="805"/>
      <c r="J425" s="804"/>
      <c r="K425" s="802">
        <v>50318.89</v>
      </c>
      <c r="L425" s="805"/>
      <c r="M425" s="804"/>
      <c r="N425" s="802">
        <v>61274.819999999898</v>
      </c>
      <c r="O425" s="805"/>
      <c r="P425" s="804"/>
      <c r="Q425" s="802">
        <v>55266.27</v>
      </c>
      <c r="R425" s="805"/>
      <c r="S425" s="804"/>
      <c r="T425" s="802">
        <v>53221.929999999898</v>
      </c>
      <c r="U425" s="805"/>
      <c r="V425" s="804"/>
      <c r="W425" s="802">
        <v>51728.91</v>
      </c>
      <c r="X425" s="805"/>
      <c r="Y425" s="804"/>
      <c r="Z425" s="802">
        <v>56644.17</v>
      </c>
      <c r="AA425" s="805"/>
      <c r="AB425" s="804"/>
      <c r="AC425" s="802">
        <v>56195.59</v>
      </c>
      <c r="AD425" s="805"/>
      <c r="AE425" s="804"/>
      <c r="AF425" s="802">
        <v>60455.609999999899</v>
      </c>
      <c r="AG425" s="805"/>
      <c r="AH425" s="804"/>
      <c r="AI425" s="802">
        <v>59308.819999999898</v>
      </c>
      <c r="AJ425" s="805"/>
      <c r="AK425" s="804"/>
      <c r="AL425" s="802">
        <v>49602.64</v>
      </c>
      <c r="AM425" s="805"/>
      <c r="AN425" s="804"/>
      <c r="AO425" s="802">
        <v>58981.989999999903</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commis</v>
      </c>
      <c r="B426" s="55" t="s">
        <v>121</v>
      </c>
      <c r="C426" s="808"/>
      <c r="D426" s="807"/>
      <c r="E426" s="796">
        <v>674393.13999999978</v>
      </c>
      <c r="F426" s="808"/>
      <c r="G426" s="807"/>
      <c r="H426" s="796">
        <v>59926.03</v>
      </c>
      <c r="I426" s="808"/>
      <c r="J426" s="807"/>
      <c r="K426" s="796">
        <v>54584.88</v>
      </c>
      <c r="L426" s="808"/>
      <c r="M426" s="807"/>
      <c r="N426" s="796">
        <v>55941.2</v>
      </c>
      <c r="O426" s="808"/>
      <c r="P426" s="807"/>
      <c r="Q426" s="796">
        <v>51908.4</v>
      </c>
      <c r="R426" s="808"/>
      <c r="S426" s="807"/>
      <c r="T426" s="796">
        <v>58764.26</v>
      </c>
      <c r="U426" s="808"/>
      <c r="V426" s="807"/>
      <c r="W426" s="796">
        <v>50528.21</v>
      </c>
      <c r="X426" s="808"/>
      <c r="Y426" s="807"/>
      <c r="Z426" s="796">
        <v>46191.1</v>
      </c>
      <c r="AA426" s="808"/>
      <c r="AB426" s="807"/>
      <c r="AC426" s="796">
        <v>56150.229999999901</v>
      </c>
      <c r="AD426" s="808"/>
      <c r="AE426" s="807"/>
      <c r="AF426" s="796">
        <v>62878.62</v>
      </c>
      <c r="AG426" s="808"/>
      <c r="AH426" s="807"/>
      <c r="AI426" s="796">
        <v>70924.849999999904</v>
      </c>
      <c r="AJ426" s="808"/>
      <c r="AK426" s="807"/>
      <c r="AL426" s="796">
        <v>51777.29</v>
      </c>
      <c r="AM426" s="808"/>
      <c r="AN426" s="807"/>
      <c r="AO426" s="796">
        <v>54818.069999999898</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autres</v>
      </c>
      <c r="B427" s="54" t="s">
        <v>122</v>
      </c>
      <c r="C427" s="805"/>
      <c r="D427" s="804"/>
      <c r="E427" s="802">
        <v>304990.76</v>
      </c>
      <c r="F427" s="805"/>
      <c r="G427" s="804"/>
      <c r="H427" s="802">
        <v>23150.27</v>
      </c>
      <c r="I427" s="805"/>
      <c r="J427" s="804"/>
      <c r="K427" s="802">
        <v>23093.05</v>
      </c>
      <c r="L427" s="805"/>
      <c r="M427" s="804"/>
      <c r="N427" s="802">
        <v>19347.16</v>
      </c>
      <c r="O427" s="805"/>
      <c r="P427" s="804"/>
      <c r="Q427" s="802">
        <v>29993.91</v>
      </c>
      <c r="R427" s="805"/>
      <c r="S427" s="804"/>
      <c r="T427" s="802">
        <v>32775.370000000003</v>
      </c>
      <c r="U427" s="805"/>
      <c r="V427" s="804"/>
      <c r="W427" s="802">
        <v>22172.1</v>
      </c>
      <c r="X427" s="805"/>
      <c r="Y427" s="804"/>
      <c r="Z427" s="802">
        <v>21825.15</v>
      </c>
      <c r="AA427" s="805"/>
      <c r="AB427" s="804"/>
      <c r="AC427" s="802">
        <v>23037.279999999999</v>
      </c>
      <c r="AD427" s="805"/>
      <c r="AE427" s="804"/>
      <c r="AF427" s="802">
        <v>20764.95</v>
      </c>
      <c r="AG427" s="805"/>
      <c r="AH427" s="804"/>
      <c r="AI427" s="802">
        <v>30462.14</v>
      </c>
      <c r="AJ427" s="805"/>
      <c r="AK427" s="804"/>
      <c r="AL427" s="802">
        <v>37174.44</v>
      </c>
      <c r="AM427" s="805"/>
      <c r="AN427" s="804"/>
      <c r="AO427" s="802">
        <v>21194.94</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Salaires spécialistes</v>
      </c>
      <c r="B428" s="54" t="s">
        <v>123</v>
      </c>
      <c r="C428" s="805"/>
      <c r="D428" s="804"/>
      <c r="E428" s="802">
        <v>274785.39</v>
      </c>
      <c r="F428" s="805"/>
      <c r="G428" s="804"/>
      <c r="H428" s="802">
        <v>15854.86</v>
      </c>
      <c r="I428" s="805"/>
      <c r="J428" s="804"/>
      <c r="K428" s="802">
        <v>14700.61</v>
      </c>
      <c r="L428" s="805"/>
      <c r="M428" s="804"/>
      <c r="N428" s="802">
        <v>16437.28</v>
      </c>
      <c r="O428" s="805"/>
      <c r="P428" s="804"/>
      <c r="Q428" s="802">
        <v>24877.040000000001</v>
      </c>
      <c r="R428" s="805"/>
      <c r="S428" s="804"/>
      <c r="T428" s="802">
        <v>30524.63</v>
      </c>
      <c r="U428" s="805"/>
      <c r="V428" s="804"/>
      <c r="W428" s="802">
        <v>23505.88</v>
      </c>
      <c r="X428" s="805"/>
      <c r="Y428" s="804"/>
      <c r="Z428" s="802">
        <v>23437.83</v>
      </c>
      <c r="AA428" s="805"/>
      <c r="AB428" s="804"/>
      <c r="AC428" s="802">
        <v>27254.48</v>
      </c>
      <c r="AD428" s="805"/>
      <c r="AE428" s="804"/>
      <c r="AF428" s="802">
        <v>20452.490000000002</v>
      </c>
      <c r="AG428" s="805"/>
      <c r="AH428" s="804"/>
      <c r="AI428" s="802">
        <v>30312.31</v>
      </c>
      <c r="AJ428" s="805"/>
      <c r="AK428" s="804"/>
      <c r="AL428" s="802">
        <v>32534.71</v>
      </c>
      <c r="AM428" s="805"/>
      <c r="AN428" s="804"/>
      <c r="AO428" s="802">
        <v>14893.27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v>
      </c>
      <c r="B431" s="44" t="s">
        <v>59</v>
      </c>
      <c r="C431" s="805"/>
      <c r="D431" s="804"/>
      <c r="E431" s="802"/>
      <c r="F431" s="805"/>
      <c r="G431" s="804"/>
      <c r="H431" s="802"/>
      <c r="I431" s="805"/>
      <c r="J431" s="804"/>
      <c r="K431" s="802"/>
      <c r="L431" s="805"/>
      <c r="M431" s="804"/>
      <c r="N431" s="802"/>
      <c r="O431" s="805"/>
      <c r="P431" s="804"/>
      <c r="Q431" s="802"/>
      <c r="R431" s="805"/>
      <c r="S431" s="804"/>
      <c r="T431" s="802"/>
      <c r="U431" s="805"/>
      <c r="V431" s="804"/>
      <c r="W431" s="802"/>
      <c r="X431" s="805"/>
      <c r="Y431" s="804"/>
      <c r="Z431" s="802"/>
      <c r="AA431" s="805"/>
      <c r="AB431" s="804"/>
      <c r="AC431" s="802"/>
      <c r="AD431" s="805"/>
      <c r="AE431" s="804"/>
      <c r="AF431" s="802"/>
      <c r="AG431" s="805"/>
      <c r="AH431" s="804"/>
      <c r="AI431" s="802"/>
      <c r="AJ431" s="805"/>
      <c r="AK431" s="804"/>
      <c r="AL431" s="802"/>
      <c r="AM431" s="805"/>
      <c r="AN431" s="804"/>
      <c r="AO431" s="802"/>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Salaires en absences</v>
      </c>
      <c r="B432" s="55" t="s">
        <v>124</v>
      </c>
      <c r="C432" s="808"/>
      <c r="D432" s="810">
        <v>0.11265419301418739</v>
      </c>
      <c r="E432" s="796">
        <v>472587.11999999965</v>
      </c>
      <c r="F432" s="808"/>
      <c r="G432" s="810">
        <v>0.11078626487205628</v>
      </c>
      <c r="H432" s="796">
        <v>40818.199999999997</v>
      </c>
      <c r="I432" s="808"/>
      <c r="J432" s="810">
        <v>0.12816739700238405</v>
      </c>
      <c r="K432" s="796">
        <v>31789.33</v>
      </c>
      <c r="L432" s="808"/>
      <c r="M432" s="810">
        <v>0.11249605211651877</v>
      </c>
      <c r="N432" s="796">
        <v>37610.21</v>
      </c>
      <c r="O432" s="808"/>
      <c r="P432" s="810">
        <v>0.13626020992171728</v>
      </c>
      <c r="Q432" s="796">
        <v>44209.169999999896</v>
      </c>
      <c r="R432" s="808"/>
      <c r="S432" s="810">
        <v>0.12905156133884782</v>
      </c>
      <c r="T432" s="796">
        <v>49343.119999999901</v>
      </c>
      <c r="U432" s="808"/>
      <c r="V432" s="810">
        <v>0.11985223907721519</v>
      </c>
      <c r="W432" s="796">
        <v>38718.78</v>
      </c>
      <c r="X432" s="808"/>
      <c r="Y432" s="810">
        <v>0.10576048953923979</v>
      </c>
      <c r="Z432" s="796">
        <v>38586.629999999997</v>
      </c>
      <c r="AA432" s="808"/>
      <c r="AB432" s="810">
        <v>0.11306618579953293</v>
      </c>
      <c r="AC432" s="796">
        <v>38329.29</v>
      </c>
      <c r="AD432" s="808"/>
      <c r="AE432" s="810">
        <v>8.0955306466509877E-2</v>
      </c>
      <c r="AF432" s="796">
        <v>28895.01</v>
      </c>
      <c r="AG432" s="808"/>
      <c r="AH432" s="810">
        <v>0.12275446156793768</v>
      </c>
      <c r="AI432" s="796">
        <v>45925.3999999999</v>
      </c>
      <c r="AJ432" s="808"/>
      <c r="AK432" s="810">
        <v>0.12879325479756282</v>
      </c>
      <c r="AL432" s="796">
        <v>44336.85</v>
      </c>
      <c r="AM432" s="808"/>
      <c r="AN432" s="810">
        <v>0.11555786334547796</v>
      </c>
      <c r="AO432" s="796">
        <v>34025.129999999997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Déduction à la source</v>
      </c>
      <c r="B433" s="54" t="s">
        <v>125</v>
      </c>
      <c r="C433" s="805"/>
      <c r="D433" s="811">
        <v>0.14461364503819787</v>
      </c>
      <c r="E433" s="802">
        <v>606657.80999999959</v>
      </c>
      <c r="F433" s="805"/>
      <c r="G433" s="811">
        <v>0.14194862363030272</v>
      </c>
      <c r="H433" s="802">
        <v>52299.6899999999</v>
      </c>
      <c r="I433" s="805"/>
      <c r="J433" s="811">
        <v>0.18654514738291295</v>
      </c>
      <c r="K433" s="802">
        <v>46268.75</v>
      </c>
      <c r="L433" s="805"/>
      <c r="M433" s="811">
        <v>0.13826354623922363</v>
      </c>
      <c r="N433" s="802">
        <v>46224.92</v>
      </c>
      <c r="O433" s="805"/>
      <c r="P433" s="811">
        <v>0.17100949659953402</v>
      </c>
      <c r="Q433" s="802">
        <v>55483.46</v>
      </c>
      <c r="R433" s="805"/>
      <c r="S433" s="811">
        <v>0.15975052620363028</v>
      </c>
      <c r="T433" s="1137">
        <v>61080.929999999898</v>
      </c>
      <c r="U433" s="805"/>
      <c r="V433" s="811">
        <v>0.15887927072567279</v>
      </c>
      <c r="W433" s="802">
        <v>51326.63</v>
      </c>
      <c r="X433" s="805"/>
      <c r="Y433" s="811">
        <v>0.13667386416086402</v>
      </c>
      <c r="Z433" s="802">
        <v>49865.349999999897</v>
      </c>
      <c r="AA433" s="805"/>
      <c r="AB433" s="811">
        <v>0.14233842194675128</v>
      </c>
      <c r="AC433" s="802">
        <v>48252.54</v>
      </c>
      <c r="AD433" s="805"/>
      <c r="AE433" s="811">
        <v>9.7436394702692303E-2</v>
      </c>
      <c r="AF433" s="802">
        <v>34777.53</v>
      </c>
      <c r="AG433" s="805"/>
      <c r="AH433" s="811">
        <v>0.15302856207491422</v>
      </c>
      <c r="AI433" s="802">
        <v>57251.67</v>
      </c>
      <c r="AJ433" s="805"/>
      <c r="AK433" s="811">
        <v>0.17472423895977626</v>
      </c>
      <c r="AL433" s="802">
        <v>60148.51</v>
      </c>
      <c r="AM433" s="805"/>
      <c r="AN433" s="811">
        <v>0.14834085014126377</v>
      </c>
      <c r="AO433" s="802">
        <v>43677.83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Bénéfices marginaux</v>
      </c>
      <c r="B434" s="54" t="s">
        <v>126</v>
      </c>
      <c r="C434" s="805"/>
      <c r="D434" s="811">
        <v>6.6294065283067624E-2</v>
      </c>
      <c r="E434" s="802">
        <v>278105.23999999987</v>
      </c>
      <c r="F434" s="805"/>
      <c r="G434" s="811">
        <v>6.348786174654078E-2</v>
      </c>
      <c r="H434" s="802">
        <v>23391.53</v>
      </c>
      <c r="I434" s="805"/>
      <c r="J434" s="811">
        <v>7.9376116826621254E-2</v>
      </c>
      <c r="K434" s="802">
        <v>19687.64</v>
      </c>
      <c r="L434" s="805"/>
      <c r="M434" s="811">
        <v>6.8997263169688877E-2</v>
      </c>
      <c r="N434" s="802">
        <v>23067.4899999999</v>
      </c>
      <c r="O434" s="805"/>
      <c r="P434" s="811">
        <v>8.3336718584189104E-2</v>
      </c>
      <c r="Q434" s="802">
        <v>27038.32</v>
      </c>
      <c r="R434" s="805"/>
      <c r="S434" s="811">
        <v>7.5414831119744716E-2</v>
      </c>
      <c r="T434" s="802">
        <v>28835.01</v>
      </c>
      <c r="U434" s="805"/>
      <c r="V434" s="811">
        <v>5.7296159106879546E-2</v>
      </c>
      <c r="W434" s="802">
        <v>18509.77</v>
      </c>
      <c r="X434" s="805"/>
      <c r="Y434" s="811">
        <v>5.7990698622883113E-2</v>
      </c>
      <c r="Z434" s="802">
        <v>21157.86</v>
      </c>
      <c r="AA434" s="805"/>
      <c r="AB434" s="811">
        <v>7.2870397438102502E-2</v>
      </c>
      <c r="AC434" s="802">
        <v>24702.97</v>
      </c>
      <c r="AD434" s="805"/>
      <c r="AE434" s="811">
        <v>4.4207997938841365E-2</v>
      </c>
      <c r="AF434" s="802">
        <v>15778.96</v>
      </c>
      <c r="AG434" s="805"/>
      <c r="AH434" s="811">
        <v>7.2724428751017797E-2</v>
      </c>
      <c r="AI434" s="802">
        <v>27207.96</v>
      </c>
      <c r="AJ434" s="805"/>
      <c r="AK434" s="811">
        <v>8.3341343541548513E-2</v>
      </c>
      <c r="AL434" s="802">
        <v>28690.11</v>
      </c>
      <c r="AM434" s="805"/>
      <c r="AN434" s="811">
        <v>6.8052776101916915E-2</v>
      </c>
      <c r="AO434" s="802">
        <v>20037.62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Csst</v>
      </c>
      <c r="B435" s="54" t="s">
        <v>127</v>
      </c>
      <c r="C435" s="805"/>
      <c r="D435" s="811">
        <v>2.6775310890423655E-2</v>
      </c>
      <c r="E435" s="802">
        <v>112323.09</v>
      </c>
      <c r="F435" s="805"/>
      <c r="G435" s="811"/>
      <c r="H435" s="802">
        <v>9384.119999999999</v>
      </c>
      <c r="I435" s="805"/>
      <c r="J435" s="811"/>
      <c r="K435" s="802">
        <v>10755.45</v>
      </c>
      <c r="L435" s="805"/>
      <c r="M435" s="811"/>
      <c r="N435" s="802">
        <v>8379.69</v>
      </c>
      <c r="O435" s="805"/>
      <c r="P435" s="811"/>
      <c r="Q435" s="802">
        <v>10989.42</v>
      </c>
      <c r="R435" s="805"/>
      <c r="S435" s="811"/>
      <c r="T435" s="1137">
        <v>10448.16</v>
      </c>
      <c r="U435" s="805"/>
      <c r="V435" s="811"/>
      <c r="W435" s="802">
        <v>8525</v>
      </c>
      <c r="X435" s="805"/>
      <c r="Y435" s="811"/>
      <c r="Z435" s="802">
        <v>10128.049999999999</v>
      </c>
      <c r="AA435" s="805"/>
      <c r="AB435" s="811"/>
      <c r="AC435" s="802">
        <v>8903.9600000000009</v>
      </c>
      <c r="AD435" s="805"/>
      <c r="AE435" s="811"/>
      <c r="AF435" s="802">
        <v>7547.8899999999994</v>
      </c>
      <c r="AG435" s="805"/>
      <c r="AH435" s="811"/>
      <c r="AI435" s="802">
        <v>11343.440000000002</v>
      </c>
      <c r="AJ435" s="805"/>
      <c r="AK435" s="811"/>
      <c r="AL435" s="802">
        <v>6454.65</v>
      </c>
      <c r="AM435" s="805"/>
      <c r="AN435" s="811"/>
      <c r="AO435" s="802">
        <v>9463.2599999999984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c r="B436" s="44"/>
      <c r="C436" s="805"/>
      <c r="D436" s="804"/>
      <c r="E436" s="802"/>
      <c r="F436" s="805"/>
      <c r="G436" s="804"/>
      <c r="H436" s="802"/>
      <c r="I436" s="805"/>
      <c r="J436" s="804"/>
      <c r="K436" s="802"/>
      <c r="L436" s="805"/>
      <c r="M436" s="804"/>
      <c r="N436" s="802"/>
      <c r="O436" s="805"/>
      <c r="P436" s="804"/>
      <c r="Q436" s="802"/>
      <c r="R436" s="805"/>
      <c r="S436" s="804"/>
      <c r="T436" s="802"/>
      <c r="U436" s="805"/>
      <c r="V436" s="804"/>
      <c r="W436" s="802"/>
      <c r="X436" s="805"/>
      <c r="Y436" s="804"/>
      <c r="Z436" s="802"/>
      <c r="AA436" s="805"/>
      <c r="AB436" s="804"/>
      <c r="AC436" s="802"/>
      <c r="AD436" s="805"/>
      <c r="AE436" s="804"/>
      <c r="AF436" s="802"/>
      <c r="AG436" s="805"/>
      <c r="AH436" s="804"/>
      <c r="AI436" s="802"/>
      <c r="AJ436" s="805"/>
      <c r="AK436" s="804"/>
      <c r="AL436" s="802"/>
      <c r="AM436" s="805"/>
      <c r="AN436" s="804"/>
      <c r="AO436" s="802"/>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TOTAL PERSONNEL</v>
      </c>
      <c r="B437" s="70" t="s">
        <v>128</v>
      </c>
      <c r="C437" s="1084">
        <v>0.43044336690535884</v>
      </c>
      <c r="D437" s="1089"/>
      <c r="E437" s="1086">
        <v>3580933.4299999978</v>
      </c>
      <c r="F437" s="1084"/>
      <c r="G437" s="1089"/>
      <c r="H437" s="1086">
        <v>302609.61</v>
      </c>
      <c r="I437" s="1084"/>
      <c r="J437" s="1089"/>
      <c r="K437" s="1086">
        <v>267862.26</v>
      </c>
      <c r="L437" s="1084"/>
      <c r="M437" s="1089"/>
      <c r="N437" s="1086">
        <v>279171.52999999898</v>
      </c>
      <c r="O437" s="1084"/>
      <c r="P437" s="1089"/>
      <c r="Q437" s="1086">
        <v>312840.75</v>
      </c>
      <c r="R437" s="1084"/>
      <c r="S437" s="1089"/>
      <c r="T437" s="1086">
        <v>343419.359999999</v>
      </c>
      <c r="U437" s="1084"/>
      <c r="V437" s="1089"/>
      <c r="W437" s="1135">
        <v>280276.03999999998</v>
      </c>
      <c r="X437" s="1084"/>
      <c r="Y437" s="1089"/>
      <c r="Z437" s="1135">
        <v>280364.39999999898</v>
      </c>
      <c r="AA437" s="1084"/>
      <c r="AB437" s="1089"/>
      <c r="AC437" s="1135">
        <v>297973.28999999998</v>
      </c>
      <c r="AD437" s="1084"/>
      <c r="AE437" s="1089"/>
      <c r="AF437" s="1135">
        <v>266811.82</v>
      </c>
      <c r="AG437" s="1084"/>
      <c r="AH437" s="1089"/>
      <c r="AI437" s="1086">
        <v>350069.54</v>
      </c>
      <c r="AJ437" s="1084"/>
      <c r="AK437" s="1089"/>
      <c r="AL437" s="1086">
        <v>325979.96000000002</v>
      </c>
      <c r="AM437" s="1084"/>
      <c r="AN437" s="1089"/>
      <c r="AO437" s="1086">
        <v>273554.87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Publicité 2</v>
      </c>
      <c r="B438" s="63" t="s">
        <v>129</v>
      </c>
      <c r="C438" s="1090"/>
      <c r="D438" s="1091"/>
      <c r="E438" s="1092">
        <v>208959.93</v>
      </c>
      <c r="F438" s="1090"/>
      <c r="G438" s="1091"/>
      <c r="H438" s="1092">
        <v>22331.040000000001</v>
      </c>
      <c r="I438" s="1090"/>
      <c r="J438" s="1091"/>
      <c r="K438" s="1092">
        <v>13701.99</v>
      </c>
      <c r="L438" s="1090"/>
      <c r="M438" s="1091"/>
      <c r="N438" s="1092">
        <v>19234.12</v>
      </c>
      <c r="O438" s="1090"/>
      <c r="P438" s="1091"/>
      <c r="Q438" s="1092">
        <v>33630.42</v>
      </c>
      <c r="R438" s="1090"/>
      <c r="S438" s="1091"/>
      <c r="T438" s="1092">
        <v>22624.880000000001</v>
      </c>
      <c r="U438" s="1090"/>
      <c r="V438" s="1091"/>
      <c r="W438" s="1092">
        <v>12184.25</v>
      </c>
      <c r="X438" s="1090"/>
      <c r="Y438" s="1091"/>
      <c r="Z438" s="1092">
        <v>14038.38</v>
      </c>
      <c r="AA438" s="1090"/>
      <c r="AB438" s="1091"/>
      <c r="AC438" s="1092">
        <v>16818.759999999998</v>
      </c>
      <c r="AD438" s="1090"/>
      <c r="AE438" s="1091"/>
      <c r="AF438" s="1092">
        <v>8161.31</v>
      </c>
      <c r="AG438" s="1090"/>
      <c r="AH438" s="1091"/>
      <c r="AI438" s="1092">
        <v>14192.39</v>
      </c>
      <c r="AJ438" s="1090"/>
      <c r="AK438" s="1091"/>
      <c r="AL438" s="1092">
        <v>23762.89</v>
      </c>
      <c r="AM438" s="1090"/>
      <c r="AN438" s="1091"/>
      <c r="AO438" s="1092">
        <v>8279.5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Service gratuit 2</v>
      </c>
      <c r="B439" s="54" t="s">
        <v>130</v>
      </c>
      <c r="C439" s="805"/>
      <c r="D439" s="804"/>
      <c r="E439" s="802">
        <v>64448.639999999963</v>
      </c>
      <c r="F439" s="805"/>
      <c r="G439" s="804"/>
      <c r="H439" s="802">
        <v>13807.6</v>
      </c>
      <c r="I439" s="805"/>
      <c r="J439" s="804"/>
      <c r="K439" s="802">
        <v>9465.3699999999899</v>
      </c>
      <c r="L439" s="805"/>
      <c r="M439" s="804"/>
      <c r="N439" s="802">
        <v>5050.9399999999996</v>
      </c>
      <c r="O439" s="805"/>
      <c r="P439" s="804"/>
      <c r="Q439" s="802">
        <v>5140.28</v>
      </c>
      <c r="R439" s="805"/>
      <c r="S439" s="804"/>
      <c r="T439" s="802">
        <v>5109.3</v>
      </c>
      <c r="U439" s="805"/>
      <c r="V439" s="804"/>
      <c r="W439" s="802">
        <v>8329.58</v>
      </c>
      <c r="X439" s="805"/>
      <c r="Y439" s="804"/>
      <c r="Z439" s="802">
        <v>1819.6599999999901</v>
      </c>
      <c r="AA439" s="805"/>
      <c r="AB439" s="804"/>
      <c r="AC439" s="802">
        <v>4403.33</v>
      </c>
      <c r="AD439" s="805"/>
      <c r="AE439" s="804"/>
      <c r="AF439" s="802">
        <v>1672.6599999999901</v>
      </c>
      <c r="AG439" s="805"/>
      <c r="AH439" s="804"/>
      <c r="AI439" s="802">
        <v>3376.3199999999902</v>
      </c>
      <c r="AJ439" s="805"/>
      <c r="AK439" s="804"/>
      <c r="AL439" s="802">
        <v>4156.46</v>
      </c>
      <c r="AM439" s="805"/>
      <c r="AN439" s="804"/>
      <c r="AO439" s="802">
        <v>2117.14</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Frais véhicules de cie</v>
      </c>
      <c r="B440" s="55" t="s">
        <v>131</v>
      </c>
      <c r="C440" s="808"/>
      <c r="D440" s="807"/>
      <c r="E440" s="796">
        <v>296675.02999999974</v>
      </c>
      <c r="F440" s="808"/>
      <c r="G440" s="807"/>
      <c r="H440" s="796">
        <v>22198.26</v>
      </c>
      <c r="I440" s="808"/>
      <c r="J440" s="807"/>
      <c r="K440" s="796">
        <v>24402.18</v>
      </c>
      <c r="L440" s="808"/>
      <c r="M440" s="807"/>
      <c r="N440" s="796">
        <v>21704.23</v>
      </c>
      <c r="O440" s="808"/>
      <c r="P440" s="807"/>
      <c r="Q440" s="796">
        <v>20967.38</v>
      </c>
      <c r="R440" s="808"/>
      <c r="S440" s="807"/>
      <c r="T440" s="796">
        <v>29334.55</v>
      </c>
      <c r="U440" s="808"/>
      <c r="V440" s="807"/>
      <c r="W440" s="796">
        <v>23912.94</v>
      </c>
      <c r="X440" s="808"/>
      <c r="Y440" s="807"/>
      <c r="Z440" s="796">
        <v>23078.729999999901</v>
      </c>
      <c r="AA440" s="808"/>
      <c r="AB440" s="807"/>
      <c r="AC440" s="796">
        <v>22915.199999999899</v>
      </c>
      <c r="AD440" s="808"/>
      <c r="AE440" s="807"/>
      <c r="AF440" s="796">
        <v>27013.200000000001</v>
      </c>
      <c r="AG440" s="808"/>
      <c r="AH440" s="807"/>
      <c r="AI440" s="796">
        <v>25497.749999999902</v>
      </c>
      <c r="AJ440" s="808"/>
      <c r="AK440" s="807"/>
      <c r="AL440" s="796">
        <v>29968.79</v>
      </c>
      <c r="AM440" s="808"/>
      <c r="AN440" s="807"/>
      <c r="AO440" s="796">
        <v>25681.82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Informatique</v>
      </c>
      <c r="B441" s="54" t="s">
        <v>132</v>
      </c>
      <c r="C441" s="805"/>
      <c r="D441" s="804"/>
      <c r="E441" s="802">
        <v>293992.03999999969</v>
      </c>
      <c r="F441" s="805"/>
      <c r="G441" s="804"/>
      <c r="H441" s="802">
        <v>20272.469999999899</v>
      </c>
      <c r="I441" s="805"/>
      <c r="J441" s="804"/>
      <c r="K441" s="802">
        <v>24573.200000000001</v>
      </c>
      <c r="L441" s="805"/>
      <c r="M441" s="804"/>
      <c r="N441" s="802">
        <v>24782.19</v>
      </c>
      <c r="O441" s="805"/>
      <c r="P441" s="804"/>
      <c r="Q441" s="802">
        <v>24320.58</v>
      </c>
      <c r="R441" s="805"/>
      <c r="S441" s="804"/>
      <c r="T441" s="802">
        <v>29728.79</v>
      </c>
      <c r="U441" s="805"/>
      <c r="V441" s="804"/>
      <c r="W441" s="802">
        <v>19706.759999999998</v>
      </c>
      <c r="X441" s="805"/>
      <c r="Y441" s="804"/>
      <c r="Z441" s="802">
        <v>24085.59</v>
      </c>
      <c r="AA441" s="805"/>
      <c r="AB441" s="804"/>
      <c r="AC441" s="802">
        <v>21667.48</v>
      </c>
      <c r="AD441" s="805"/>
      <c r="AE441" s="804"/>
      <c r="AF441" s="802">
        <v>27694.129999999899</v>
      </c>
      <c r="AG441" s="805"/>
      <c r="AH441" s="804"/>
      <c r="AI441" s="802">
        <v>23344.81</v>
      </c>
      <c r="AJ441" s="805"/>
      <c r="AK441" s="804"/>
      <c r="AL441" s="802">
        <v>22303.769999999899</v>
      </c>
      <c r="AM441" s="805"/>
      <c r="AN441" s="804"/>
      <c r="AO441" s="802">
        <v>31512.27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Frais de déplacement</v>
      </c>
      <c r="B442" s="54" t="s">
        <v>133</v>
      </c>
      <c r="C442" s="805"/>
      <c r="D442" s="804"/>
      <c r="E442" s="802">
        <v>57544.75999999998</v>
      </c>
      <c r="F442" s="805"/>
      <c r="G442" s="804"/>
      <c r="H442" s="802">
        <v>5200.3099999999904</v>
      </c>
      <c r="I442" s="805"/>
      <c r="J442" s="804"/>
      <c r="K442" s="802">
        <v>3147.93</v>
      </c>
      <c r="L442" s="805"/>
      <c r="M442" s="804"/>
      <c r="N442" s="802">
        <v>3076.33</v>
      </c>
      <c r="O442" s="805"/>
      <c r="P442" s="804"/>
      <c r="Q442" s="802">
        <v>5632.16</v>
      </c>
      <c r="R442" s="805"/>
      <c r="S442" s="804"/>
      <c r="T442" s="802">
        <v>4762</v>
      </c>
      <c r="U442" s="805"/>
      <c r="V442" s="804"/>
      <c r="W442" s="802">
        <v>6656.17</v>
      </c>
      <c r="X442" s="805"/>
      <c r="Y442" s="804"/>
      <c r="Z442" s="802">
        <v>3092.1</v>
      </c>
      <c r="AA442" s="805"/>
      <c r="AB442" s="804"/>
      <c r="AC442" s="802">
        <v>2743.48</v>
      </c>
      <c r="AD442" s="805"/>
      <c r="AE442" s="804"/>
      <c r="AF442" s="802">
        <v>4770.67</v>
      </c>
      <c r="AG442" s="805"/>
      <c r="AH442" s="804"/>
      <c r="AI442" s="802">
        <v>7645.26</v>
      </c>
      <c r="AJ442" s="805"/>
      <c r="AK442" s="804"/>
      <c r="AL442" s="802">
        <v>5316.05</v>
      </c>
      <c r="AM442" s="805"/>
      <c r="AN442" s="804"/>
      <c r="AO442" s="802">
        <v>5502.2999999999902</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
        <v>Services extérieurs</v>
      </c>
      <c r="B443" s="54" t="s">
        <v>134</v>
      </c>
      <c r="C443" s="812"/>
      <c r="D443" s="813"/>
      <c r="E443" s="814">
        <v>481589.27999999974</v>
      </c>
      <c r="F443" s="812"/>
      <c r="G443" s="813"/>
      <c r="H443" s="814">
        <v>38117.619999999901</v>
      </c>
      <c r="I443" s="812"/>
      <c r="J443" s="813"/>
      <c r="K443" s="814">
        <v>39617.289999999899</v>
      </c>
      <c r="L443" s="812"/>
      <c r="M443" s="813"/>
      <c r="N443" s="814">
        <v>49023.11</v>
      </c>
      <c r="O443" s="812"/>
      <c r="P443" s="813"/>
      <c r="Q443" s="814">
        <v>43461.11</v>
      </c>
      <c r="R443" s="812"/>
      <c r="S443" s="813"/>
      <c r="T443" s="814">
        <v>42256.72</v>
      </c>
      <c r="U443" s="812"/>
      <c r="V443" s="813"/>
      <c r="W443" s="814">
        <v>33962.620000000003</v>
      </c>
      <c r="X443" s="812"/>
      <c r="Y443" s="813"/>
      <c r="Z443" s="814">
        <v>44790.42</v>
      </c>
      <c r="AA443" s="812"/>
      <c r="AB443" s="813"/>
      <c r="AC443" s="814">
        <v>37294.83</v>
      </c>
      <c r="AD443" s="812"/>
      <c r="AE443" s="813"/>
      <c r="AF443" s="814">
        <v>42095.72</v>
      </c>
      <c r="AG443" s="812"/>
      <c r="AH443" s="813"/>
      <c r="AI443" s="814">
        <v>46876.289999999899</v>
      </c>
      <c r="AJ443" s="812"/>
      <c r="AK443" s="813"/>
      <c r="AL443" s="814">
        <v>45881.84</v>
      </c>
      <c r="AM443" s="812"/>
      <c r="AN443" s="813"/>
      <c r="AO443" s="814">
        <v>18211.71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54" t="s">
        <v>489</v>
      </c>
      <c r="C444" s="805"/>
      <c r="D444" s="804"/>
      <c r="E444" s="802">
        <v>0</v>
      </c>
      <c r="F444" s="805"/>
      <c r="G444" s="804"/>
      <c r="H444" s="802">
        <v>0</v>
      </c>
      <c r="I444" s="805"/>
      <c r="J444" s="804"/>
      <c r="K444" s="802">
        <v>0</v>
      </c>
      <c r="L444" s="805"/>
      <c r="M444" s="804"/>
      <c r="N444" s="802">
        <v>0</v>
      </c>
      <c r="O444" s="805"/>
      <c r="P444" s="804"/>
      <c r="Q444" s="802">
        <v>0</v>
      </c>
      <c r="R444" s="805"/>
      <c r="S444" s="804"/>
      <c r="T444" s="802">
        <v>0</v>
      </c>
      <c r="U444" s="805"/>
      <c r="V444" s="804"/>
      <c r="W444" s="802">
        <v>0</v>
      </c>
      <c r="X444" s="805"/>
      <c r="Y444" s="804"/>
      <c r="Z444" s="802">
        <v>0</v>
      </c>
      <c r="AA444" s="805"/>
      <c r="AB444" s="804"/>
      <c r="AC444" s="802">
        <v>0</v>
      </c>
      <c r="AD444" s="805"/>
      <c r="AE444" s="804"/>
      <c r="AF444" s="802">
        <v>0</v>
      </c>
      <c r="AG444" s="805"/>
      <c r="AH444" s="804"/>
      <c r="AI444" s="802">
        <v>0</v>
      </c>
      <c r="AJ444" s="805"/>
      <c r="AK444" s="804"/>
      <c r="AL444" s="802">
        <v>0</v>
      </c>
      <c r="AM444" s="805"/>
      <c r="AN444" s="804"/>
      <c r="AO444" s="80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7">B445</f>
        <v>Fournitures autres</v>
      </c>
      <c r="B445" s="63" t="s">
        <v>135</v>
      </c>
      <c r="C445" s="805"/>
      <c r="D445" s="804"/>
      <c r="E445" s="802">
        <v>54549.529999999992</v>
      </c>
      <c r="F445" s="805"/>
      <c r="G445" s="804"/>
      <c r="H445" s="802">
        <v>3709.05</v>
      </c>
      <c r="I445" s="805"/>
      <c r="J445" s="804"/>
      <c r="K445" s="802">
        <v>7186.12</v>
      </c>
      <c r="L445" s="805"/>
      <c r="M445" s="804"/>
      <c r="N445" s="802">
        <v>4874.7699999999904</v>
      </c>
      <c r="O445" s="805"/>
      <c r="P445" s="804"/>
      <c r="Q445" s="802">
        <v>5855.42</v>
      </c>
      <c r="R445" s="805"/>
      <c r="S445" s="804"/>
      <c r="T445" s="802">
        <v>6967.67</v>
      </c>
      <c r="U445" s="805"/>
      <c r="V445" s="804"/>
      <c r="W445" s="802">
        <v>2070.06</v>
      </c>
      <c r="X445" s="805"/>
      <c r="Y445" s="804"/>
      <c r="Z445" s="802">
        <v>3095.58</v>
      </c>
      <c r="AA445" s="805"/>
      <c r="AB445" s="804"/>
      <c r="AC445" s="802">
        <v>7400.72</v>
      </c>
      <c r="AD445" s="805"/>
      <c r="AE445" s="804"/>
      <c r="AF445" s="802">
        <v>4524.0200000000004</v>
      </c>
      <c r="AG445" s="805"/>
      <c r="AH445" s="804"/>
      <c r="AI445" s="802">
        <v>4281.8</v>
      </c>
      <c r="AJ445" s="805"/>
      <c r="AK445" s="804"/>
      <c r="AL445" s="802">
        <v>2562.7399999999998</v>
      </c>
      <c r="AM445" s="805"/>
      <c r="AN445" s="804"/>
      <c r="AO445" s="802">
        <v>2021.58</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Uniformes</v>
      </c>
      <c r="B446" s="54" t="s">
        <v>136</v>
      </c>
      <c r="C446" s="805"/>
      <c r="D446" s="804"/>
      <c r="E446" s="802">
        <v>10602.18</v>
      </c>
      <c r="F446" s="805"/>
      <c r="G446" s="804"/>
      <c r="H446" s="802">
        <v>1201.17</v>
      </c>
      <c r="I446" s="805"/>
      <c r="J446" s="804"/>
      <c r="K446" s="802">
        <v>967.33999999999901</v>
      </c>
      <c r="L446" s="805"/>
      <c r="M446" s="804"/>
      <c r="N446" s="802">
        <v>510.87</v>
      </c>
      <c r="O446" s="805"/>
      <c r="P446" s="804"/>
      <c r="Q446" s="802">
        <v>793.22</v>
      </c>
      <c r="R446" s="805"/>
      <c r="S446" s="804"/>
      <c r="T446" s="802">
        <v>785.83</v>
      </c>
      <c r="U446" s="805"/>
      <c r="V446" s="804"/>
      <c r="W446" s="802">
        <v>1429.5</v>
      </c>
      <c r="X446" s="805"/>
      <c r="Y446" s="804"/>
      <c r="Z446" s="802">
        <v>699.73</v>
      </c>
      <c r="AA446" s="805"/>
      <c r="AB446" s="804"/>
      <c r="AC446" s="802">
        <v>1109.3</v>
      </c>
      <c r="AD446" s="805"/>
      <c r="AE446" s="804"/>
      <c r="AF446" s="802">
        <v>1000.92</v>
      </c>
      <c r="AG446" s="805"/>
      <c r="AH446" s="804"/>
      <c r="AI446" s="802">
        <v>798.57</v>
      </c>
      <c r="AJ446" s="805"/>
      <c r="AK446" s="804"/>
      <c r="AL446" s="802">
        <v>373.79</v>
      </c>
      <c r="AM446" s="805"/>
      <c r="AN446" s="804"/>
      <c r="AO446" s="802">
        <v>931.94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Papeterie</v>
      </c>
      <c r="B447" s="54" t="s">
        <v>137</v>
      </c>
      <c r="C447" s="805"/>
      <c r="D447" s="804"/>
      <c r="E447" s="802">
        <v>26496.91</v>
      </c>
      <c r="F447" s="805"/>
      <c r="G447" s="804"/>
      <c r="H447" s="802">
        <v>505.41999999999899</v>
      </c>
      <c r="I447" s="805"/>
      <c r="J447" s="804"/>
      <c r="K447" s="802">
        <v>3256.09</v>
      </c>
      <c r="L447" s="805"/>
      <c r="M447" s="804"/>
      <c r="N447" s="802">
        <v>2621.99</v>
      </c>
      <c r="O447" s="805"/>
      <c r="P447" s="804"/>
      <c r="Q447" s="802">
        <v>181.67</v>
      </c>
      <c r="R447" s="805"/>
      <c r="S447" s="804"/>
      <c r="T447" s="802">
        <v>3272.95</v>
      </c>
      <c r="U447" s="805"/>
      <c r="V447" s="804"/>
      <c r="W447" s="802">
        <v>2218.54</v>
      </c>
      <c r="X447" s="805"/>
      <c r="Y447" s="804"/>
      <c r="Z447" s="802">
        <v>4141.9799999999996</v>
      </c>
      <c r="AA447" s="805"/>
      <c r="AB447" s="804"/>
      <c r="AC447" s="802">
        <v>3126.17</v>
      </c>
      <c r="AD447" s="805"/>
      <c r="AE447" s="804"/>
      <c r="AF447" s="802">
        <v>936.06</v>
      </c>
      <c r="AG447" s="805"/>
      <c r="AH447" s="804"/>
      <c r="AI447" s="802">
        <v>184.2</v>
      </c>
      <c r="AJ447" s="805"/>
      <c r="AK447" s="804"/>
      <c r="AL447" s="802">
        <v>5108.1000000000004</v>
      </c>
      <c r="AM447" s="805"/>
      <c r="AN447" s="804"/>
      <c r="AO447" s="802">
        <v>943.74</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Téléphone</v>
      </c>
      <c r="B448" s="54" t="s">
        <v>138</v>
      </c>
      <c r="C448" s="805"/>
      <c r="D448" s="804"/>
      <c r="E448" s="802">
        <v>10049.379999999999</v>
      </c>
      <c r="F448" s="805"/>
      <c r="G448" s="804"/>
      <c r="H448" s="802">
        <v>1008.77</v>
      </c>
      <c r="I448" s="805"/>
      <c r="J448" s="804"/>
      <c r="K448" s="802">
        <v>916.31</v>
      </c>
      <c r="L448" s="805"/>
      <c r="M448" s="804"/>
      <c r="N448" s="802">
        <v>773.05</v>
      </c>
      <c r="O448" s="805"/>
      <c r="P448" s="804"/>
      <c r="Q448" s="802">
        <v>801.81</v>
      </c>
      <c r="R448" s="805"/>
      <c r="S448" s="804"/>
      <c r="T448" s="802">
        <v>878.44</v>
      </c>
      <c r="U448" s="805"/>
      <c r="V448" s="804"/>
      <c r="W448" s="802">
        <v>750.67</v>
      </c>
      <c r="X448" s="805"/>
      <c r="Y448" s="804"/>
      <c r="Z448" s="802">
        <v>662.9</v>
      </c>
      <c r="AA448" s="805"/>
      <c r="AB448" s="804"/>
      <c r="AC448" s="802">
        <v>991.48</v>
      </c>
      <c r="AD448" s="805"/>
      <c r="AE448" s="804"/>
      <c r="AF448" s="802">
        <v>772.14</v>
      </c>
      <c r="AG448" s="805"/>
      <c r="AH448" s="804"/>
      <c r="AI448" s="802">
        <v>856.05</v>
      </c>
      <c r="AJ448" s="805"/>
      <c r="AK448" s="804"/>
      <c r="AL448" s="802">
        <v>866.82</v>
      </c>
      <c r="AM448" s="805"/>
      <c r="AN448" s="804"/>
      <c r="AO448" s="802">
        <v>770.93999999999903</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Frais postaux</v>
      </c>
      <c r="B449" s="54" t="s">
        <v>139</v>
      </c>
      <c r="C449" s="805"/>
      <c r="D449" s="804"/>
      <c r="E449" s="802">
        <v>-844.49999999999886</v>
      </c>
      <c r="F449" s="805"/>
      <c r="G449" s="804"/>
      <c r="H449" s="802">
        <v>1136.93</v>
      </c>
      <c r="I449" s="805"/>
      <c r="J449" s="804"/>
      <c r="K449" s="802">
        <v>1194.3599999999999</v>
      </c>
      <c r="L449" s="805"/>
      <c r="M449" s="804"/>
      <c r="N449" s="802">
        <v>1197.54</v>
      </c>
      <c r="O449" s="805"/>
      <c r="P449" s="804"/>
      <c r="Q449" s="802">
        <v>202.68</v>
      </c>
      <c r="R449" s="805"/>
      <c r="S449" s="804"/>
      <c r="T449" s="802">
        <v>342.94</v>
      </c>
      <c r="U449" s="805"/>
      <c r="V449" s="804"/>
      <c r="W449" s="802">
        <v>-708.26</v>
      </c>
      <c r="X449" s="805"/>
      <c r="Y449" s="804"/>
      <c r="Z449" s="802">
        <v>-207.98999999999899</v>
      </c>
      <c r="AA449" s="805"/>
      <c r="AB449" s="804"/>
      <c r="AC449" s="802">
        <v>587.33999999999901</v>
      </c>
      <c r="AD449" s="805"/>
      <c r="AE449" s="804"/>
      <c r="AF449" s="802">
        <v>-2048.06</v>
      </c>
      <c r="AG449" s="805"/>
      <c r="AH449" s="804"/>
      <c r="AI449" s="802">
        <v>-1053.5899999999999</v>
      </c>
      <c r="AJ449" s="805"/>
      <c r="AK449" s="804"/>
      <c r="AL449" s="802">
        <v>-440.849999999999</v>
      </c>
      <c r="AM449" s="805"/>
      <c r="AN449" s="804"/>
      <c r="AO449" s="802">
        <v>-1047.54</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Divers</v>
      </c>
      <c r="B450" s="54" t="s">
        <v>140</v>
      </c>
      <c r="C450" s="805"/>
      <c r="D450" s="804"/>
      <c r="E450" s="802">
        <v>6238.0300000000007</v>
      </c>
      <c r="F450" s="805"/>
      <c r="G450" s="804"/>
      <c r="H450" s="802">
        <v>279.45</v>
      </c>
      <c r="I450" s="805"/>
      <c r="J450" s="804"/>
      <c r="K450" s="802">
        <v>222.52</v>
      </c>
      <c r="L450" s="805"/>
      <c r="M450" s="804"/>
      <c r="N450" s="802">
        <v>222.53</v>
      </c>
      <c r="O450" s="805"/>
      <c r="P450" s="804"/>
      <c r="Q450" s="802">
        <v>378.38</v>
      </c>
      <c r="R450" s="805"/>
      <c r="S450" s="804"/>
      <c r="T450" s="802">
        <v>349</v>
      </c>
      <c r="U450" s="805"/>
      <c r="V450" s="804"/>
      <c r="W450" s="802">
        <v>196</v>
      </c>
      <c r="X450" s="805"/>
      <c r="Y450" s="804"/>
      <c r="Z450" s="802">
        <v>196</v>
      </c>
      <c r="AA450" s="805"/>
      <c r="AB450" s="804"/>
      <c r="AC450" s="802">
        <v>196</v>
      </c>
      <c r="AD450" s="805"/>
      <c r="AE450" s="804"/>
      <c r="AF450" s="802">
        <v>421</v>
      </c>
      <c r="AG450" s="805"/>
      <c r="AH450" s="804"/>
      <c r="AI450" s="802">
        <v>196</v>
      </c>
      <c r="AJ450" s="805"/>
      <c r="AK450" s="804"/>
      <c r="AL450" s="802">
        <v>1282.44</v>
      </c>
      <c r="AM450" s="805"/>
      <c r="AN450" s="804"/>
      <c r="AO450" s="802">
        <v>2298.71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Formation</v>
      </c>
      <c r="B451" s="54" t="s">
        <v>141</v>
      </c>
      <c r="C451" s="805"/>
      <c r="D451" s="804"/>
      <c r="E451" s="802">
        <v>41184.579999999958</v>
      </c>
      <c r="F451" s="805"/>
      <c r="G451" s="804"/>
      <c r="H451" s="802">
        <v>2782.3</v>
      </c>
      <c r="I451" s="805"/>
      <c r="J451" s="804"/>
      <c r="K451" s="802">
        <v>2184.52</v>
      </c>
      <c r="L451" s="805"/>
      <c r="M451" s="804"/>
      <c r="N451" s="802">
        <v>6179.78</v>
      </c>
      <c r="O451" s="805"/>
      <c r="P451" s="804"/>
      <c r="Q451" s="802">
        <v>6582.0099999999902</v>
      </c>
      <c r="R451" s="805"/>
      <c r="S451" s="804"/>
      <c r="T451" s="802">
        <v>314.8</v>
      </c>
      <c r="U451" s="805"/>
      <c r="V451" s="804"/>
      <c r="W451" s="802">
        <v>3800.6699999999901</v>
      </c>
      <c r="X451" s="805"/>
      <c r="Y451" s="804"/>
      <c r="Z451" s="802">
        <v>5885.7999999999902</v>
      </c>
      <c r="AA451" s="805"/>
      <c r="AB451" s="804"/>
      <c r="AC451" s="802">
        <v>2630.0299999999902</v>
      </c>
      <c r="AD451" s="805"/>
      <c r="AE451" s="804"/>
      <c r="AF451" s="802">
        <v>2606.9299999999998</v>
      </c>
      <c r="AG451" s="805"/>
      <c r="AH451" s="804"/>
      <c r="AI451" s="802">
        <v>1910.22</v>
      </c>
      <c r="AJ451" s="805"/>
      <c r="AK451" s="804"/>
      <c r="AL451" s="802">
        <v>3422.1</v>
      </c>
      <c r="AM451" s="805"/>
      <c r="AN451" s="804"/>
      <c r="AO451" s="802">
        <v>2885.42</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Frais bancaires</v>
      </c>
      <c r="B452" s="54" t="s">
        <v>142</v>
      </c>
      <c r="C452" s="805"/>
      <c r="D452" s="804"/>
      <c r="E452" s="802">
        <v>106942.09000000001</v>
      </c>
      <c r="F452" s="805"/>
      <c r="G452" s="804"/>
      <c r="H452" s="802">
        <v>6237.92</v>
      </c>
      <c r="I452" s="805"/>
      <c r="J452" s="804"/>
      <c r="K452" s="802">
        <v>4811.93</v>
      </c>
      <c r="L452" s="805"/>
      <c r="M452" s="804"/>
      <c r="N452" s="802">
        <v>8311.6</v>
      </c>
      <c r="O452" s="805"/>
      <c r="P452" s="804"/>
      <c r="Q452" s="802">
        <v>10241.870000000001</v>
      </c>
      <c r="R452" s="805"/>
      <c r="S452" s="804"/>
      <c r="T452" s="802">
        <v>10132.540000000001</v>
      </c>
      <c r="U452" s="805"/>
      <c r="V452" s="804"/>
      <c r="W452" s="802">
        <v>7830.32</v>
      </c>
      <c r="X452" s="805"/>
      <c r="Y452" s="804"/>
      <c r="Z452" s="802">
        <v>8670.7099999999991</v>
      </c>
      <c r="AA452" s="805"/>
      <c r="AB452" s="804"/>
      <c r="AC452" s="802">
        <v>8440.16</v>
      </c>
      <c r="AD452" s="805"/>
      <c r="AE452" s="804"/>
      <c r="AF452" s="802">
        <v>8925.4599999999991</v>
      </c>
      <c r="AG452" s="805"/>
      <c r="AH452" s="804"/>
      <c r="AI452" s="802">
        <v>10323.16</v>
      </c>
      <c r="AJ452" s="805"/>
      <c r="AK452" s="804"/>
      <c r="AL452" s="802">
        <v>14139.62</v>
      </c>
      <c r="AM452" s="805"/>
      <c r="AN452" s="804"/>
      <c r="AO452" s="802">
        <v>8876.7999999999993</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05"/>
      <c r="D454" s="804"/>
      <c r="E454" s="802">
        <v>0</v>
      </c>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f t="shared" si="7"/>
        <v>0</v>
      </c>
      <c r="B455" s="54"/>
      <c r="C455" s="805"/>
      <c r="D455" s="804"/>
      <c r="E455" s="802"/>
      <c r="F455" s="805"/>
      <c r="G455" s="804"/>
      <c r="H455" s="802"/>
      <c r="I455" s="805"/>
      <c r="J455" s="804"/>
      <c r="K455" s="802"/>
      <c r="L455" s="805"/>
      <c r="M455" s="804"/>
      <c r="N455" s="802"/>
      <c r="O455" s="805"/>
      <c r="P455" s="804"/>
      <c r="Q455" s="802"/>
      <c r="R455" s="805"/>
      <c r="S455" s="804"/>
      <c r="T455" s="802"/>
      <c r="U455" s="805"/>
      <c r="V455" s="804"/>
      <c r="W455" s="802"/>
      <c r="X455" s="805"/>
      <c r="Y455" s="804"/>
      <c r="Z455" s="802"/>
      <c r="AA455" s="805"/>
      <c r="AB455" s="804"/>
      <c r="AC455" s="802"/>
      <c r="AD455" s="805"/>
      <c r="AE455" s="804"/>
      <c r="AF455" s="802"/>
      <c r="AG455" s="805"/>
      <c r="AH455" s="804"/>
      <c r="AI455" s="802"/>
      <c r="AJ455" s="805"/>
      <c r="AK455" s="804"/>
      <c r="AL455" s="802"/>
      <c r="AM455" s="805"/>
      <c r="AN455" s="804"/>
      <c r="AO455" s="802"/>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TOTAL SEMI-FIXES</v>
      </c>
      <c r="B456" s="70" t="s">
        <v>143</v>
      </c>
      <c r="C456" s="1084">
        <v>0.19935005617708909</v>
      </c>
      <c r="D456" s="1087"/>
      <c r="E456" s="1086">
        <v>1658427.8799999987</v>
      </c>
      <c r="F456" s="1084"/>
      <c r="G456" s="1087"/>
      <c r="H456" s="1086">
        <v>138788.31</v>
      </c>
      <c r="I456" s="1084"/>
      <c r="J456" s="1087"/>
      <c r="K456" s="1086">
        <v>135647.15</v>
      </c>
      <c r="L456" s="1084"/>
      <c r="M456" s="1087"/>
      <c r="N456" s="1086">
        <v>147563.04999999999</v>
      </c>
      <c r="O456" s="1084"/>
      <c r="P456" s="1087"/>
      <c r="Q456" s="1086">
        <v>158188.99</v>
      </c>
      <c r="R456" s="1084"/>
      <c r="S456" s="1087"/>
      <c r="T456" s="1086">
        <v>156860.41</v>
      </c>
      <c r="U456" s="1084"/>
      <c r="V456" s="1087"/>
      <c r="W456" s="1135">
        <v>122339.82</v>
      </c>
      <c r="X456" s="1084"/>
      <c r="Y456" s="1087"/>
      <c r="Z456" s="1135">
        <v>134049.59</v>
      </c>
      <c r="AA456" s="1084"/>
      <c r="AB456" s="1087"/>
      <c r="AC456" s="1135">
        <v>130324.28</v>
      </c>
      <c r="AD456" s="1084"/>
      <c r="AE456" s="1087"/>
      <c r="AF456" s="1135">
        <v>128546.16</v>
      </c>
      <c r="AG456" s="1084"/>
      <c r="AH456" s="1087"/>
      <c r="AI456" s="1086">
        <v>138429.22999999899</v>
      </c>
      <c r="AJ456" s="1084"/>
      <c r="AK456" s="1087"/>
      <c r="AL456" s="1086">
        <v>158704.56</v>
      </c>
      <c r="AM456" s="1084"/>
      <c r="AN456" s="1087"/>
      <c r="AO456" s="1086">
        <v>108986.33</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Loyer</v>
      </c>
      <c r="B457" s="54" t="s">
        <v>205</v>
      </c>
      <c r="C457" s="805"/>
      <c r="D457" s="804"/>
      <c r="E457" s="809">
        <v>422000</v>
      </c>
      <c r="F457" s="805"/>
      <c r="G457" s="804"/>
      <c r="H457" s="809">
        <v>36000</v>
      </c>
      <c r="I457" s="805"/>
      <c r="J457" s="804"/>
      <c r="K457" s="809">
        <v>36000</v>
      </c>
      <c r="L457" s="805"/>
      <c r="M457" s="804"/>
      <c r="N457" s="809">
        <v>36000</v>
      </c>
      <c r="O457" s="805"/>
      <c r="P457" s="804"/>
      <c r="Q457" s="809">
        <v>36000</v>
      </c>
      <c r="R457" s="805"/>
      <c r="S457" s="804"/>
      <c r="T457" s="809">
        <v>36000</v>
      </c>
      <c r="U457" s="805"/>
      <c r="V457" s="804"/>
      <c r="W457" s="809">
        <v>36000</v>
      </c>
      <c r="X457" s="805"/>
      <c r="Y457" s="804"/>
      <c r="Z457" s="809">
        <v>36000</v>
      </c>
      <c r="AA457" s="805"/>
      <c r="AB457" s="804"/>
      <c r="AC457" s="809">
        <v>36000</v>
      </c>
      <c r="AD457" s="805"/>
      <c r="AE457" s="804"/>
      <c r="AF457" s="809">
        <v>36000</v>
      </c>
      <c r="AG457" s="805"/>
      <c r="AH457" s="804"/>
      <c r="AI457" s="1138">
        <v>36000</v>
      </c>
      <c r="AJ457" s="805"/>
      <c r="AK457" s="804"/>
      <c r="AL457" s="1138">
        <v>36000</v>
      </c>
      <c r="AM457" s="805"/>
      <c r="AN457" s="804"/>
      <c r="AO457" s="1138">
        <v>26000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foncières</v>
      </c>
      <c r="B458" s="54" t="s">
        <v>206</v>
      </c>
      <c r="C458" s="805"/>
      <c r="D458" s="804"/>
      <c r="E458" s="809">
        <v>174764.63</v>
      </c>
      <c r="F458" s="805"/>
      <c r="G458" s="804"/>
      <c r="H458" s="809">
        <v>5423</v>
      </c>
      <c r="I458" s="805"/>
      <c r="J458" s="804"/>
      <c r="K458" s="809">
        <v>5423</v>
      </c>
      <c r="L458" s="805"/>
      <c r="M458" s="804"/>
      <c r="N458" s="809">
        <v>5423</v>
      </c>
      <c r="O458" s="805"/>
      <c r="P458" s="804"/>
      <c r="Q458" s="809">
        <v>5423</v>
      </c>
      <c r="R458" s="805"/>
      <c r="S458" s="804"/>
      <c r="T458" s="809">
        <v>5423</v>
      </c>
      <c r="U458" s="805"/>
      <c r="V458" s="804"/>
      <c r="W458" s="809">
        <v>5423</v>
      </c>
      <c r="X458" s="805"/>
      <c r="Y458" s="804"/>
      <c r="Z458" s="809">
        <v>5423</v>
      </c>
      <c r="AA458" s="805"/>
      <c r="AB458" s="804"/>
      <c r="AC458" s="809">
        <v>115111.63</v>
      </c>
      <c r="AD458" s="805"/>
      <c r="AE458" s="804"/>
      <c r="AF458" s="809">
        <v>5423</v>
      </c>
      <c r="AG458" s="805"/>
      <c r="AH458" s="804"/>
      <c r="AI458" s="1138">
        <v>5423</v>
      </c>
      <c r="AJ458" s="805"/>
      <c r="AK458" s="804"/>
      <c r="AL458" s="1138">
        <v>5423</v>
      </c>
      <c r="AM458" s="805"/>
      <c r="AN458" s="804"/>
      <c r="AO458" s="1138">
        <v>5423</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Taxes d`affaires</v>
      </c>
      <c r="B459" s="55" t="s">
        <v>207</v>
      </c>
      <c r="C459" s="808"/>
      <c r="D459" s="807"/>
      <c r="E459" s="815">
        <v>45908</v>
      </c>
      <c r="F459" s="808"/>
      <c r="G459" s="807"/>
      <c r="H459" s="815">
        <v>3609</v>
      </c>
      <c r="I459" s="808"/>
      <c r="J459" s="807"/>
      <c r="K459" s="815">
        <v>4909</v>
      </c>
      <c r="L459" s="808"/>
      <c r="M459" s="807"/>
      <c r="N459" s="815">
        <v>4909</v>
      </c>
      <c r="O459" s="808"/>
      <c r="P459" s="807"/>
      <c r="Q459" s="815">
        <v>3609</v>
      </c>
      <c r="R459" s="808"/>
      <c r="S459" s="807"/>
      <c r="T459" s="815">
        <v>3609</v>
      </c>
      <c r="U459" s="808"/>
      <c r="V459" s="807"/>
      <c r="W459" s="815">
        <v>3609</v>
      </c>
      <c r="X459" s="808"/>
      <c r="Y459" s="807"/>
      <c r="Z459" s="815">
        <v>3609</v>
      </c>
      <c r="AA459" s="808"/>
      <c r="AB459" s="807"/>
      <c r="AC459" s="815">
        <v>3609</v>
      </c>
      <c r="AD459" s="808"/>
      <c r="AE459" s="807"/>
      <c r="AF459" s="815">
        <v>3609</v>
      </c>
      <c r="AG459" s="808"/>
      <c r="AH459" s="807"/>
      <c r="AI459" s="1139">
        <v>3609</v>
      </c>
      <c r="AJ459" s="808"/>
      <c r="AK459" s="807"/>
      <c r="AL459" s="1139">
        <v>3609</v>
      </c>
      <c r="AM459" s="808"/>
      <c r="AN459" s="807"/>
      <c r="AO459" s="1139">
        <v>3609</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Taxe sur le capital</v>
      </c>
      <c r="B460" s="54" t="s">
        <v>208</v>
      </c>
      <c r="C460" s="805"/>
      <c r="D460" s="804"/>
      <c r="E460" s="809">
        <v>0</v>
      </c>
      <c r="F460" s="805"/>
      <c r="G460" s="804"/>
      <c r="H460" s="809">
        <v>0</v>
      </c>
      <c r="I460" s="805"/>
      <c r="J460" s="804"/>
      <c r="K460" s="809">
        <v>0</v>
      </c>
      <c r="L460" s="805"/>
      <c r="M460" s="804"/>
      <c r="N460" s="809">
        <v>0</v>
      </c>
      <c r="O460" s="805"/>
      <c r="P460" s="804"/>
      <c r="Q460" s="809">
        <v>0</v>
      </c>
      <c r="R460" s="805"/>
      <c r="S460" s="804"/>
      <c r="T460" s="809">
        <v>0</v>
      </c>
      <c r="U460" s="805"/>
      <c r="V460" s="804"/>
      <c r="W460" s="809">
        <v>0</v>
      </c>
      <c r="X460" s="805"/>
      <c r="Y460" s="804"/>
      <c r="Z460" s="809">
        <v>0</v>
      </c>
      <c r="AA460" s="805"/>
      <c r="AB460" s="804"/>
      <c r="AC460" s="809">
        <v>0</v>
      </c>
      <c r="AD460" s="805"/>
      <c r="AE460" s="804"/>
      <c r="AF460" s="809">
        <v>0</v>
      </c>
      <c r="AG460" s="805"/>
      <c r="AH460" s="804"/>
      <c r="AI460" s="1138">
        <v>0</v>
      </c>
      <c r="AJ460" s="805"/>
      <c r="AK460" s="804"/>
      <c r="AL460" s="1138">
        <v>0</v>
      </c>
      <c r="AM460" s="805"/>
      <c r="AN460" s="804"/>
      <c r="AO460" s="1138">
        <v>0</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Assurances</v>
      </c>
      <c r="B461" s="55" t="s">
        <v>209</v>
      </c>
      <c r="C461" s="808"/>
      <c r="D461" s="807"/>
      <c r="E461" s="815">
        <v>52131</v>
      </c>
      <c r="F461" s="808"/>
      <c r="G461" s="807"/>
      <c r="H461" s="815">
        <v>4344.25</v>
      </c>
      <c r="I461" s="808"/>
      <c r="J461" s="807"/>
      <c r="K461" s="815">
        <v>4344.25</v>
      </c>
      <c r="L461" s="808"/>
      <c r="M461" s="807"/>
      <c r="N461" s="815">
        <v>4344.25</v>
      </c>
      <c r="O461" s="808"/>
      <c r="P461" s="807"/>
      <c r="Q461" s="815">
        <v>4344.25</v>
      </c>
      <c r="R461" s="808"/>
      <c r="S461" s="807"/>
      <c r="T461" s="815">
        <v>4344.25</v>
      </c>
      <c r="U461" s="808"/>
      <c r="V461" s="807"/>
      <c r="W461" s="815">
        <v>4344.25</v>
      </c>
      <c r="X461" s="808"/>
      <c r="Y461" s="807"/>
      <c r="Z461" s="815">
        <v>4344.25</v>
      </c>
      <c r="AA461" s="808"/>
      <c r="AB461" s="807"/>
      <c r="AC461" s="815">
        <v>4344.25</v>
      </c>
      <c r="AD461" s="808"/>
      <c r="AE461" s="807"/>
      <c r="AF461" s="815">
        <v>4344.25</v>
      </c>
      <c r="AG461" s="808"/>
      <c r="AH461" s="807"/>
      <c r="AI461" s="1139">
        <v>4344.25</v>
      </c>
      <c r="AJ461" s="808"/>
      <c r="AK461" s="807"/>
      <c r="AL461" s="1139">
        <v>4344.25</v>
      </c>
      <c r="AM461" s="808"/>
      <c r="AN461" s="807"/>
      <c r="AO461" s="1139">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Chauffage, éclairage</v>
      </c>
      <c r="B462" s="54" t="s">
        <v>210</v>
      </c>
      <c r="C462" s="805"/>
      <c r="D462" s="804"/>
      <c r="E462" s="809">
        <v>80669.299999999988</v>
      </c>
      <c r="F462" s="805"/>
      <c r="G462" s="804"/>
      <c r="H462" s="809">
        <v>10274.790000000001</v>
      </c>
      <c r="I462" s="805"/>
      <c r="J462" s="804"/>
      <c r="K462" s="809">
        <v>8639.25</v>
      </c>
      <c r="L462" s="805"/>
      <c r="M462" s="804"/>
      <c r="N462" s="809">
        <v>7750.01</v>
      </c>
      <c r="O462" s="805"/>
      <c r="P462" s="804"/>
      <c r="Q462" s="809">
        <v>5719.9699999999903</v>
      </c>
      <c r="R462" s="805"/>
      <c r="S462" s="804"/>
      <c r="T462" s="809">
        <v>5868.07</v>
      </c>
      <c r="U462" s="805"/>
      <c r="V462" s="804"/>
      <c r="W462" s="809">
        <v>4379.12</v>
      </c>
      <c r="X462" s="805"/>
      <c r="Y462" s="804"/>
      <c r="Z462" s="809">
        <v>4921.3999999999996</v>
      </c>
      <c r="AA462" s="805"/>
      <c r="AB462" s="804"/>
      <c r="AC462" s="809">
        <v>4884.34</v>
      </c>
      <c r="AD462" s="805"/>
      <c r="AE462" s="804"/>
      <c r="AF462" s="809">
        <v>5126.26</v>
      </c>
      <c r="AG462" s="805"/>
      <c r="AH462" s="804"/>
      <c r="AI462" s="1138">
        <v>9576.2099999999991</v>
      </c>
      <c r="AJ462" s="805"/>
      <c r="AK462" s="804"/>
      <c r="AL462" s="1138">
        <v>6260.74</v>
      </c>
      <c r="AM462" s="805"/>
      <c r="AN462" s="804"/>
      <c r="AO462" s="1138">
        <v>7269.1399999999903</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Honoraires</v>
      </c>
      <c r="B463" s="54" t="s">
        <v>211</v>
      </c>
      <c r="C463" s="805"/>
      <c r="D463" s="804"/>
      <c r="E463" s="809">
        <v>87317.969999999943</v>
      </c>
      <c r="F463" s="805"/>
      <c r="G463" s="804"/>
      <c r="H463" s="809">
        <v>7323.95</v>
      </c>
      <c r="I463" s="805"/>
      <c r="J463" s="804"/>
      <c r="K463" s="809">
        <v>6940.67</v>
      </c>
      <c r="L463" s="805"/>
      <c r="M463" s="804"/>
      <c r="N463" s="809">
        <v>6423.3299999999899</v>
      </c>
      <c r="O463" s="805"/>
      <c r="P463" s="804"/>
      <c r="Q463" s="809">
        <v>6423.3299999999899</v>
      </c>
      <c r="R463" s="805"/>
      <c r="S463" s="804"/>
      <c r="T463" s="809">
        <v>7014.57</v>
      </c>
      <c r="U463" s="805"/>
      <c r="V463" s="804"/>
      <c r="W463" s="809">
        <v>7310.21</v>
      </c>
      <c r="X463" s="805"/>
      <c r="Y463" s="804"/>
      <c r="Z463" s="809">
        <v>10733.28</v>
      </c>
      <c r="AA463" s="805"/>
      <c r="AB463" s="804"/>
      <c r="AC463" s="809">
        <v>6642.33</v>
      </c>
      <c r="AD463" s="805"/>
      <c r="AE463" s="804"/>
      <c r="AF463" s="809">
        <v>6423.3299999999899</v>
      </c>
      <c r="AG463" s="805"/>
      <c r="AH463" s="804"/>
      <c r="AI463" s="1138">
        <v>6423.3299999999899</v>
      </c>
      <c r="AJ463" s="805"/>
      <c r="AK463" s="804"/>
      <c r="AL463" s="1138">
        <v>9236.31</v>
      </c>
      <c r="AM463" s="805"/>
      <c r="AN463" s="804"/>
      <c r="AO463" s="1138">
        <v>6423.3299999999899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Réparation équipement</v>
      </c>
      <c r="B464" s="55" t="s">
        <v>212</v>
      </c>
      <c r="C464" s="808"/>
      <c r="D464" s="807"/>
      <c r="E464" s="815">
        <v>6940.2999999999993</v>
      </c>
      <c r="F464" s="808"/>
      <c r="G464" s="807"/>
      <c r="H464" s="815">
        <v>0</v>
      </c>
      <c r="I464" s="808"/>
      <c r="J464" s="807"/>
      <c r="K464" s="815">
        <v>486.24</v>
      </c>
      <c r="L464" s="808"/>
      <c r="M464" s="807"/>
      <c r="N464" s="815">
        <v>1668.09</v>
      </c>
      <c r="O464" s="808"/>
      <c r="P464" s="807"/>
      <c r="Q464" s="815">
        <v>74.7</v>
      </c>
      <c r="R464" s="808"/>
      <c r="S464" s="807"/>
      <c r="T464" s="815">
        <v>1660.02</v>
      </c>
      <c r="U464" s="808"/>
      <c r="V464" s="807"/>
      <c r="W464" s="815">
        <v>979.94</v>
      </c>
      <c r="X464" s="808"/>
      <c r="Y464" s="807"/>
      <c r="Z464" s="815">
        <v>764.9</v>
      </c>
      <c r="AA464" s="808"/>
      <c r="AB464" s="807"/>
      <c r="AC464" s="815">
        <v>27.4</v>
      </c>
      <c r="AD464" s="808"/>
      <c r="AE464" s="807"/>
      <c r="AF464" s="815">
        <v>342.85</v>
      </c>
      <c r="AG464" s="808"/>
      <c r="AH464" s="807"/>
      <c r="AI464" s="1139">
        <v>265</v>
      </c>
      <c r="AJ464" s="808"/>
      <c r="AK464" s="807"/>
      <c r="AL464" s="1139">
        <v>502.05</v>
      </c>
      <c r="AM464" s="808"/>
      <c r="AN464" s="807"/>
      <c r="AO464" s="1139">
        <v>169.11</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Location équipement</v>
      </c>
      <c r="B465" s="54" t="s">
        <v>213</v>
      </c>
      <c r="C465" s="805"/>
      <c r="D465" s="804"/>
      <c r="E465" s="809">
        <v>11988.230000000003</v>
      </c>
      <c r="F465" s="805"/>
      <c r="G465" s="804"/>
      <c r="H465" s="809">
        <v>1566.26</v>
      </c>
      <c r="I465" s="805"/>
      <c r="J465" s="804"/>
      <c r="K465" s="809">
        <v>805.57</v>
      </c>
      <c r="L465" s="805"/>
      <c r="M465" s="804"/>
      <c r="N465" s="809">
        <v>868.6</v>
      </c>
      <c r="O465" s="805"/>
      <c r="P465" s="804"/>
      <c r="Q465" s="809">
        <v>862.14</v>
      </c>
      <c r="R465" s="805"/>
      <c r="S465" s="804"/>
      <c r="T465" s="809">
        <v>843.96</v>
      </c>
      <c r="U465" s="805"/>
      <c r="V465" s="804"/>
      <c r="W465" s="809">
        <v>843.96</v>
      </c>
      <c r="X465" s="805"/>
      <c r="Y465" s="804"/>
      <c r="Z465" s="809">
        <v>1794.64</v>
      </c>
      <c r="AA465" s="805"/>
      <c r="AB465" s="804"/>
      <c r="AC465" s="809">
        <v>1276</v>
      </c>
      <c r="AD465" s="805"/>
      <c r="AE465" s="804"/>
      <c r="AF465" s="809">
        <v>907.04</v>
      </c>
      <c r="AG465" s="805"/>
      <c r="AH465" s="804"/>
      <c r="AI465" s="1138">
        <v>1242.0999999999999</v>
      </c>
      <c r="AJ465" s="805"/>
      <c r="AK465" s="804"/>
      <c r="AL465" s="1138">
        <v>977.96</v>
      </c>
      <c r="AM465" s="805"/>
      <c r="AN465" s="804"/>
      <c r="AO465" s="1138">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Dons</v>
      </c>
      <c r="B466" s="54" t="s">
        <v>214</v>
      </c>
      <c r="C466" s="805"/>
      <c r="D466" s="804"/>
      <c r="E466" s="809">
        <v>0</v>
      </c>
      <c r="F466" s="805"/>
      <c r="G466" s="804"/>
      <c r="H466" s="809">
        <v>0</v>
      </c>
      <c r="I466" s="805"/>
      <c r="J466" s="804"/>
      <c r="K466" s="809">
        <v>0</v>
      </c>
      <c r="L466" s="805"/>
      <c r="M466" s="804"/>
      <c r="N466" s="809">
        <v>0</v>
      </c>
      <c r="O466" s="805"/>
      <c r="P466" s="804"/>
      <c r="Q466" s="809">
        <v>0</v>
      </c>
      <c r="R466" s="805"/>
      <c r="S466" s="804"/>
      <c r="T466" s="809">
        <v>0</v>
      </c>
      <c r="U466" s="805"/>
      <c r="V466" s="804"/>
      <c r="W466" s="809">
        <v>0</v>
      </c>
      <c r="X466" s="805"/>
      <c r="Y466" s="804"/>
      <c r="Z466" s="809">
        <v>0</v>
      </c>
      <c r="AA466" s="805"/>
      <c r="AB466" s="804"/>
      <c r="AC466" s="809">
        <v>0</v>
      </c>
      <c r="AD466" s="805"/>
      <c r="AE466" s="804"/>
      <c r="AF466" s="809">
        <v>0</v>
      </c>
      <c r="AG466" s="805"/>
      <c r="AH466" s="804"/>
      <c r="AI466" s="1138">
        <v>0</v>
      </c>
      <c r="AJ466" s="805"/>
      <c r="AK466" s="804"/>
      <c r="AL466" s="1138">
        <v>0</v>
      </c>
      <c r="AM466" s="805"/>
      <c r="AN466" s="804"/>
      <c r="AO466" s="1138">
        <v>0</v>
      </c>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v>
      </c>
      <c r="B469" s="54" t="s">
        <v>59</v>
      </c>
      <c r="C469" s="805"/>
      <c r="D469" s="804"/>
      <c r="E469" s="802"/>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7"/>
        <v>TOTAL DÉPENSES FIXES</v>
      </c>
      <c r="B470" s="70" t="s">
        <v>215</v>
      </c>
      <c r="C470" s="1084">
        <v>0.10598641039665294</v>
      </c>
      <c r="D470" s="1087"/>
      <c r="E470" s="1086">
        <v>881719.42999999993</v>
      </c>
      <c r="F470" s="1084"/>
      <c r="G470" s="1087"/>
      <c r="H470" s="1086">
        <v>68541.25</v>
      </c>
      <c r="I470" s="1084"/>
      <c r="J470" s="1087"/>
      <c r="K470" s="1086">
        <v>67547.98000000001</v>
      </c>
      <c r="L470" s="1084"/>
      <c r="M470" s="1087"/>
      <c r="N470" s="1086">
        <v>67386.28</v>
      </c>
      <c r="O470" s="1084"/>
      <c r="P470" s="1087"/>
      <c r="Q470" s="1086">
        <v>62456.38999999997</v>
      </c>
      <c r="R470" s="1084"/>
      <c r="S470" s="1087"/>
      <c r="T470" s="1086">
        <v>64762.869999999995</v>
      </c>
      <c r="U470" s="1084"/>
      <c r="V470" s="1087"/>
      <c r="W470" s="1135">
        <v>62889.48</v>
      </c>
      <c r="X470" s="1084"/>
      <c r="Y470" s="1087"/>
      <c r="Z470" s="1135">
        <v>67590.47</v>
      </c>
      <c r="AA470" s="1084"/>
      <c r="AB470" s="1087"/>
      <c r="AC470" s="1135">
        <v>171894.94999999998</v>
      </c>
      <c r="AD470" s="1084"/>
      <c r="AE470" s="1087"/>
      <c r="AF470" s="1135">
        <v>62175.729999999989</v>
      </c>
      <c r="AG470" s="1084"/>
      <c r="AH470" s="1087"/>
      <c r="AI470" s="1086">
        <v>66882.889999999985</v>
      </c>
      <c r="AJ470" s="1084"/>
      <c r="AK470" s="1087"/>
      <c r="AL470" s="1086">
        <v>66353.31</v>
      </c>
      <c r="AM470" s="1084"/>
      <c r="AN470" s="1087"/>
      <c r="AO470" s="1086">
        <v>53237.82999999998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7"/>
        <v>0</v>
      </c>
      <c r="B471" s="54"/>
      <c r="C471" s="816"/>
      <c r="D471" s="817"/>
      <c r="E471" s="818">
        <v>312762.95999999996</v>
      </c>
      <c r="F471" s="816"/>
      <c r="G471" s="817"/>
      <c r="H471" s="818"/>
      <c r="I471" s="816"/>
      <c r="J471" s="817"/>
      <c r="K471" s="818"/>
      <c r="L471" s="816"/>
      <c r="M471" s="817"/>
      <c r="N471" s="818"/>
      <c r="O471" s="816"/>
      <c r="P471" s="817"/>
      <c r="Q471" s="818"/>
      <c r="R471" s="816"/>
      <c r="S471" s="817"/>
      <c r="T471" s="818"/>
      <c r="U471" s="816"/>
      <c r="V471" s="817"/>
      <c r="W471" s="818"/>
      <c r="X471" s="816"/>
      <c r="Y471" s="817"/>
      <c r="Z471" s="818"/>
      <c r="AA471" s="816"/>
      <c r="AB471" s="817"/>
      <c r="AC471" s="818"/>
      <c r="AD471" s="816"/>
      <c r="AE471" s="817"/>
      <c r="AF471" s="818"/>
      <c r="AG471" s="816"/>
      <c r="AH471" s="817"/>
      <c r="AI471" s="818"/>
      <c r="AJ471" s="816"/>
      <c r="AK471" s="817"/>
      <c r="AL471" s="818"/>
      <c r="AM471" s="816"/>
      <c r="AN471" s="817"/>
      <c r="AO471" s="818"/>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7"/>
        <v>TOTAL DES DÉPENSES</v>
      </c>
      <c r="B472" s="70" t="s">
        <v>144</v>
      </c>
      <c r="C472" s="1084">
        <v>0.92819381074207064</v>
      </c>
      <c r="D472" s="1087"/>
      <c r="E472" s="1086">
        <v>7721806.1699999962</v>
      </c>
      <c r="F472" s="1084"/>
      <c r="G472" s="1087"/>
      <c r="H472" s="1086">
        <v>659442.25</v>
      </c>
      <c r="I472" s="1084"/>
      <c r="J472" s="1087"/>
      <c r="K472" s="1086">
        <v>538425.66</v>
      </c>
      <c r="L472" s="1084"/>
      <c r="M472" s="1087"/>
      <c r="N472" s="1086">
        <v>636037.81000000006</v>
      </c>
      <c r="O472" s="1084"/>
      <c r="P472" s="1087"/>
      <c r="Q472" s="1086">
        <v>657631.79</v>
      </c>
      <c r="R472" s="1084"/>
      <c r="S472" s="1087"/>
      <c r="T472" s="1086">
        <v>723776.25</v>
      </c>
      <c r="U472" s="1084"/>
      <c r="V472" s="1087"/>
      <c r="W472" s="1135">
        <v>600757.31000000006</v>
      </c>
      <c r="X472" s="1084"/>
      <c r="Y472" s="1087"/>
      <c r="Z472" s="1135">
        <v>645371.01999999897</v>
      </c>
      <c r="AA472" s="1084"/>
      <c r="AB472" s="1087"/>
      <c r="AC472" s="1135">
        <v>728073.34</v>
      </c>
      <c r="AD472" s="1084"/>
      <c r="AE472" s="1087"/>
      <c r="AF472" s="1135">
        <v>597034.27</v>
      </c>
      <c r="AG472" s="1084"/>
      <c r="AH472" s="1087"/>
      <c r="AI472" s="1086">
        <v>698936.78</v>
      </c>
      <c r="AJ472" s="1084"/>
      <c r="AK472" s="1087"/>
      <c r="AL472" s="1086">
        <v>694349.22</v>
      </c>
      <c r="AM472" s="1084"/>
      <c r="AN472" s="1087"/>
      <c r="AO472" s="1086">
        <v>541970.47</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Revenus autres</v>
      </c>
      <c r="B473" s="54" t="s">
        <v>216</v>
      </c>
      <c r="C473" s="1094"/>
      <c r="D473" s="1095"/>
      <c r="E473" s="1096">
        <v>173303.31</v>
      </c>
      <c r="F473" s="1094"/>
      <c r="G473" s="1095"/>
      <c r="H473" s="1096">
        <v>1410.6</v>
      </c>
      <c r="I473" s="1094"/>
      <c r="J473" s="1095"/>
      <c r="K473" s="1096">
        <v>26653.53</v>
      </c>
      <c r="L473" s="1094"/>
      <c r="M473" s="1095"/>
      <c r="N473" s="1096">
        <v>42727.95</v>
      </c>
      <c r="O473" s="1094"/>
      <c r="P473" s="1095"/>
      <c r="Q473" s="1096">
        <v>1302.69</v>
      </c>
      <c r="R473" s="1094"/>
      <c r="S473" s="1095"/>
      <c r="T473" s="1096">
        <v>7299.74</v>
      </c>
      <c r="U473" s="1094"/>
      <c r="V473" s="1095"/>
      <c r="W473" s="1092">
        <v>22949.040000000001</v>
      </c>
      <c r="X473" s="1094"/>
      <c r="Y473" s="1095"/>
      <c r="Z473" s="1092">
        <v>67.010000000000005</v>
      </c>
      <c r="AA473" s="1094"/>
      <c r="AB473" s="1095"/>
      <c r="AC473" s="1092">
        <v>16998.62</v>
      </c>
      <c r="AD473" s="1094"/>
      <c r="AE473" s="1095"/>
      <c r="AF473" s="1092">
        <v>1981.43</v>
      </c>
      <c r="AG473" s="1094"/>
      <c r="AH473" s="1095"/>
      <c r="AI473" s="1140">
        <v>24843.37</v>
      </c>
      <c r="AJ473" s="1094"/>
      <c r="AK473" s="1095"/>
      <c r="AL473" s="1140">
        <v>10017.57</v>
      </c>
      <c r="AM473" s="1094"/>
      <c r="AN473" s="1095"/>
      <c r="AO473" s="1140">
        <v>17051.759999999998</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Holdbacks</v>
      </c>
      <c r="B474" s="54" t="s">
        <v>148</v>
      </c>
      <c r="C474" s="819"/>
      <c r="D474" s="820"/>
      <c r="E474" s="802">
        <v>890720.4</v>
      </c>
      <c r="F474" s="819"/>
      <c r="G474" s="820"/>
      <c r="H474" s="802">
        <v>82565</v>
      </c>
      <c r="I474" s="819"/>
      <c r="J474" s="820"/>
      <c r="K474" s="802">
        <v>47635</v>
      </c>
      <c r="L474" s="819"/>
      <c r="M474" s="820"/>
      <c r="N474" s="802">
        <v>69794</v>
      </c>
      <c r="O474" s="819"/>
      <c r="P474" s="820"/>
      <c r="Q474" s="802">
        <v>77555</v>
      </c>
      <c r="R474" s="819"/>
      <c r="S474" s="820"/>
      <c r="T474" s="802">
        <v>69529</v>
      </c>
      <c r="U474" s="819"/>
      <c r="V474" s="820"/>
      <c r="W474" s="802">
        <v>61215.55</v>
      </c>
      <c r="X474" s="819"/>
      <c r="Y474" s="820"/>
      <c r="Z474" s="802">
        <v>94826.85</v>
      </c>
      <c r="AA474" s="819"/>
      <c r="AB474" s="820"/>
      <c r="AC474" s="802">
        <v>80559</v>
      </c>
      <c r="AD474" s="819"/>
      <c r="AE474" s="820"/>
      <c r="AF474" s="802">
        <v>77496</v>
      </c>
      <c r="AG474" s="819"/>
      <c r="AH474" s="820"/>
      <c r="AI474" s="1137">
        <v>76838</v>
      </c>
      <c r="AJ474" s="819"/>
      <c r="AK474" s="820"/>
      <c r="AL474" s="1137">
        <v>95331</v>
      </c>
      <c r="AM474" s="819"/>
      <c r="AN474" s="820"/>
      <c r="AO474" s="1137">
        <v>57376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1</v>
      </c>
      <c r="B475" s="54" t="s">
        <v>145</v>
      </c>
      <c r="C475" s="819"/>
      <c r="D475" s="820"/>
      <c r="E475" s="802">
        <v>88064.2</v>
      </c>
      <c r="F475" s="819"/>
      <c r="G475" s="820"/>
      <c r="H475" s="802">
        <v>0</v>
      </c>
      <c r="I475" s="819"/>
      <c r="J475" s="820"/>
      <c r="K475" s="802">
        <v>0</v>
      </c>
      <c r="L475" s="819"/>
      <c r="M475" s="820"/>
      <c r="N475" s="802">
        <v>0</v>
      </c>
      <c r="O475" s="819"/>
      <c r="P475" s="820"/>
      <c r="Q475" s="802">
        <v>0</v>
      </c>
      <c r="R475" s="819"/>
      <c r="S475" s="820"/>
      <c r="T475" s="802">
        <v>0</v>
      </c>
      <c r="U475" s="819"/>
      <c r="V475" s="820"/>
      <c r="W475" s="802">
        <v>12000</v>
      </c>
      <c r="X475" s="819"/>
      <c r="Y475" s="820"/>
      <c r="Z475" s="802">
        <v>0</v>
      </c>
      <c r="AA475" s="819"/>
      <c r="AB475" s="820"/>
      <c r="AC475" s="802">
        <v>19414.2</v>
      </c>
      <c r="AD475" s="819"/>
      <c r="AE475" s="820"/>
      <c r="AF475" s="802">
        <v>0</v>
      </c>
      <c r="AG475" s="819"/>
      <c r="AH475" s="820"/>
      <c r="AI475" s="1137">
        <v>45250</v>
      </c>
      <c r="AJ475" s="819"/>
      <c r="AK475" s="820"/>
      <c r="AL475" s="1137">
        <v>0</v>
      </c>
      <c r="AM475" s="819"/>
      <c r="AN475" s="820"/>
      <c r="AO475" s="1137">
        <v>11400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2</v>
      </c>
      <c r="B476" s="54" t="s">
        <v>146</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7">
        <v>0</v>
      </c>
      <c r="AJ476" s="819"/>
      <c r="AK476" s="820"/>
      <c r="AL476" s="1137">
        <v>0</v>
      </c>
      <c r="AM476" s="819"/>
      <c r="AN476" s="820"/>
      <c r="AO476" s="1137">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neuf 3</v>
      </c>
      <c r="B477" s="54" t="s">
        <v>147</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7">
        <v>0</v>
      </c>
      <c r="AJ477" s="819"/>
      <c r="AK477" s="820"/>
      <c r="AL477" s="1137">
        <v>0</v>
      </c>
      <c r="AM477" s="819"/>
      <c r="AN477" s="820"/>
      <c r="AO477" s="1137">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1</v>
      </c>
      <c r="B478" s="54" t="s">
        <v>158</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7">
        <v>0</v>
      </c>
      <c r="AJ478" s="819"/>
      <c r="AK478" s="820"/>
      <c r="AL478" s="1137">
        <v>0</v>
      </c>
      <c r="AM478" s="819"/>
      <c r="AN478" s="820"/>
      <c r="AO478" s="1137">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2</v>
      </c>
      <c r="B479" s="54" t="s">
        <v>159</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7">
        <v>0</v>
      </c>
      <c r="AJ479" s="819"/>
      <c r="AK479" s="820"/>
      <c r="AL479" s="1137">
        <v>0</v>
      </c>
      <c r="AM479" s="819"/>
      <c r="AN479" s="820"/>
      <c r="AO479" s="1137">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Programme used 3</v>
      </c>
      <c r="B480" s="54" t="s">
        <v>160</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7">
        <v>0</v>
      </c>
      <c r="AJ480" s="819"/>
      <c r="AK480" s="820"/>
      <c r="AL480" s="1137">
        <v>0</v>
      </c>
      <c r="AM480" s="819"/>
      <c r="AN480" s="820"/>
      <c r="AO480" s="1137">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v>0</v>
      </c>
      <c r="F481" s="819"/>
      <c r="G481" s="820"/>
      <c r="H481" s="802">
        <v>0</v>
      </c>
      <c r="I481" s="819"/>
      <c r="J481" s="820"/>
      <c r="K481" s="802">
        <v>0</v>
      </c>
      <c r="L481" s="819"/>
      <c r="M481" s="820"/>
      <c r="N481" s="802">
        <v>0</v>
      </c>
      <c r="O481" s="819"/>
      <c r="P481" s="820"/>
      <c r="Q481" s="802">
        <v>0</v>
      </c>
      <c r="R481" s="819"/>
      <c r="S481" s="820"/>
      <c r="T481" s="802">
        <v>0</v>
      </c>
      <c r="U481" s="819"/>
      <c r="V481" s="820"/>
      <c r="W481" s="802">
        <v>0</v>
      </c>
      <c r="X481" s="819"/>
      <c r="Y481" s="820"/>
      <c r="Z481" s="802">
        <v>0</v>
      </c>
      <c r="AA481" s="819"/>
      <c r="AB481" s="820"/>
      <c r="AC481" s="802">
        <v>0</v>
      </c>
      <c r="AD481" s="819"/>
      <c r="AE481" s="820"/>
      <c r="AF481" s="802">
        <v>0</v>
      </c>
      <c r="AG481" s="819"/>
      <c r="AH481" s="820"/>
      <c r="AI481" s="1137">
        <v>0</v>
      </c>
      <c r="AJ481" s="819"/>
      <c r="AK481" s="820"/>
      <c r="AL481" s="1137">
        <v>0</v>
      </c>
      <c r="AM481" s="819"/>
      <c r="AN481" s="820"/>
      <c r="AO481" s="1137">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7"/>
      <c r="AJ482" s="819"/>
      <c r="AK482" s="820"/>
      <c r="AL482" s="1137"/>
      <c r="AM482" s="819"/>
      <c r="AN482" s="820"/>
      <c r="AO482" s="1137"/>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v>
      </c>
      <c r="B483" s="44" t="s">
        <v>59</v>
      </c>
      <c r="C483" s="819"/>
      <c r="D483" s="820"/>
      <c r="E483" s="802"/>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1137"/>
      <c r="AJ483" s="819"/>
      <c r="AK483" s="820"/>
      <c r="AL483" s="1137"/>
      <c r="AM483" s="819"/>
      <c r="AN483" s="820"/>
      <c r="AO483" s="1137"/>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7"/>
        <v>Frais administration</v>
      </c>
      <c r="B484" s="55" t="s">
        <v>149</v>
      </c>
      <c r="C484" s="821"/>
      <c r="D484" s="820"/>
      <c r="E484" s="802">
        <v>461577</v>
      </c>
      <c r="F484" s="821"/>
      <c r="G484" s="820"/>
      <c r="H484" s="802">
        <v>35733</v>
      </c>
      <c r="I484" s="821"/>
      <c r="J484" s="820"/>
      <c r="K484" s="802">
        <v>24144</v>
      </c>
      <c r="L484" s="821"/>
      <c r="M484" s="820"/>
      <c r="N484" s="802">
        <v>37728</v>
      </c>
      <c r="O484" s="821"/>
      <c r="P484" s="820"/>
      <c r="Q484" s="802">
        <v>38946</v>
      </c>
      <c r="R484" s="821"/>
      <c r="S484" s="820"/>
      <c r="T484" s="802">
        <v>40557</v>
      </c>
      <c r="U484" s="821"/>
      <c r="V484" s="820"/>
      <c r="W484" s="802">
        <v>37332</v>
      </c>
      <c r="X484" s="821"/>
      <c r="Y484" s="820"/>
      <c r="Z484" s="802">
        <v>52152</v>
      </c>
      <c r="AA484" s="821"/>
      <c r="AB484" s="820"/>
      <c r="AC484" s="802">
        <v>46158</v>
      </c>
      <c r="AD484" s="821"/>
      <c r="AE484" s="820"/>
      <c r="AF484" s="802">
        <v>42711</v>
      </c>
      <c r="AG484" s="821"/>
      <c r="AH484" s="820"/>
      <c r="AI484" s="1137">
        <v>30198</v>
      </c>
      <c r="AJ484" s="821"/>
      <c r="AK484" s="820"/>
      <c r="AL484" s="1137">
        <v>44739</v>
      </c>
      <c r="AM484" s="821"/>
      <c r="AN484" s="820"/>
      <c r="AO484" s="1137">
        <v>31179</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7"/>
        <v>TOTAL AUTRES REVENUS</v>
      </c>
      <c r="B485" s="70" t="s">
        <v>217</v>
      </c>
      <c r="C485" s="1084">
        <v>0.19396935756983152</v>
      </c>
      <c r="D485" s="1097"/>
      <c r="E485" s="1086">
        <v>1613664.91</v>
      </c>
      <c r="F485" s="1084"/>
      <c r="G485" s="1097"/>
      <c r="H485" s="1086">
        <v>119708.6</v>
      </c>
      <c r="I485" s="1084"/>
      <c r="J485" s="1097"/>
      <c r="K485" s="1086">
        <v>98432.53</v>
      </c>
      <c r="L485" s="1084"/>
      <c r="M485" s="1097"/>
      <c r="N485" s="1086">
        <v>150249.95000000001</v>
      </c>
      <c r="O485" s="1084"/>
      <c r="P485" s="1097"/>
      <c r="Q485" s="1086">
        <v>117803.69</v>
      </c>
      <c r="R485" s="1084"/>
      <c r="S485" s="1097"/>
      <c r="T485" s="1086">
        <v>117385.74</v>
      </c>
      <c r="U485" s="1084"/>
      <c r="V485" s="1097"/>
      <c r="W485" s="1135">
        <v>133496.59</v>
      </c>
      <c r="X485" s="1084"/>
      <c r="Y485" s="1097"/>
      <c r="Z485" s="1135">
        <v>147045.85999999999</v>
      </c>
      <c r="AA485" s="1084"/>
      <c r="AB485" s="1097"/>
      <c r="AC485" s="1135">
        <v>163129.82</v>
      </c>
      <c r="AD485" s="1084"/>
      <c r="AE485" s="1097"/>
      <c r="AF485" s="1135">
        <v>122188.43</v>
      </c>
      <c r="AG485" s="1084"/>
      <c r="AH485" s="1097"/>
      <c r="AI485" s="1086">
        <v>177129.37</v>
      </c>
      <c r="AJ485" s="1084"/>
      <c r="AK485" s="1097"/>
      <c r="AL485" s="1086">
        <v>150087.57</v>
      </c>
      <c r="AM485" s="1084"/>
      <c r="AN485" s="1097"/>
      <c r="AO485" s="1086">
        <v>117006.76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Bot="1">
      <c r="A486" s="39">
        <f t="shared" si="7"/>
        <v>0</v>
      </c>
      <c r="B486" s="71"/>
      <c r="C486" s="1141"/>
      <c r="D486" s="1142"/>
      <c r="E486" s="1143">
        <v>372401.45999999996</v>
      </c>
      <c r="F486" s="1141"/>
      <c r="G486" s="1142"/>
      <c r="H486" s="1143"/>
      <c r="I486" s="1141"/>
      <c r="J486" s="1142"/>
      <c r="K486" s="1143"/>
      <c r="L486" s="1141"/>
      <c r="M486" s="1142"/>
      <c r="N486" s="1143"/>
      <c r="O486" s="1141"/>
      <c r="P486" s="1142"/>
      <c r="Q486" s="1143"/>
      <c r="R486" s="1141"/>
      <c r="S486" s="1142"/>
      <c r="T486" s="1143"/>
      <c r="U486" s="1141"/>
      <c r="V486" s="1142"/>
      <c r="W486" s="1144"/>
      <c r="X486" s="1141"/>
      <c r="Y486" s="1142"/>
      <c r="Z486" s="1144"/>
      <c r="AA486" s="1141"/>
      <c r="AB486" s="1142"/>
      <c r="AC486" s="1144"/>
      <c r="AD486" s="1141"/>
      <c r="AE486" s="1142"/>
      <c r="AF486" s="1144"/>
      <c r="AG486" s="1141"/>
      <c r="AH486" s="1142"/>
      <c r="AI486" s="1143"/>
      <c r="AJ486" s="1141"/>
      <c r="AK486" s="1142"/>
      <c r="AL486" s="1143"/>
      <c r="AM486" s="1141"/>
      <c r="AN486" s="1142"/>
      <c r="AO486" s="1143"/>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thickBot="1">
      <c r="A487" s="39" t="str">
        <f t="shared" si="7"/>
        <v>BAIIA OPÉRATIONNEL</v>
      </c>
      <c r="B487" s="72" t="s">
        <v>218</v>
      </c>
      <c r="C487" s="825" t="s">
        <v>219</v>
      </c>
      <c r="D487" s="826">
        <v>3.4780960868952729E-2</v>
      </c>
      <c r="E487" s="827">
        <v>2211033.1199999964</v>
      </c>
      <c r="F487" s="825" t="s">
        <v>219</v>
      </c>
      <c r="G487" s="826">
        <v>8.3019356578440343E-3</v>
      </c>
      <c r="H487" s="827">
        <v>37899.819999998697</v>
      </c>
      <c r="I487" s="825" t="s">
        <v>219</v>
      </c>
      <c r="J487" s="826">
        <v>1.1754742194385633E-2</v>
      </c>
      <c r="K487" s="827">
        <v>40773.829999999522</v>
      </c>
      <c r="L487" s="825" t="s">
        <v>219</v>
      </c>
      <c r="M487" s="826">
        <v>2.6740836424321936E-2</v>
      </c>
      <c r="N487" s="827">
        <v>121990.76999999938</v>
      </c>
      <c r="O487" s="825" t="s">
        <v>219</v>
      </c>
      <c r="P487" s="826">
        <v>3.2733410537390935E-2</v>
      </c>
      <c r="Q487" s="827">
        <v>154988.5099999996</v>
      </c>
      <c r="R487" s="825" t="s">
        <v>219</v>
      </c>
      <c r="S487" s="826">
        <v>2.713274179403951E-2</v>
      </c>
      <c r="T487" s="827">
        <v>147383.54999999981</v>
      </c>
      <c r="U487" s="825" t="s">
        <v>219</v>
      </c>
      <c r="V487" s="826">
        <v>3.8441619363911286E-2</v>
      </c>
      <c r="W487" s="1145">
        <v>179782.38999999946</v>
      </c>
      <c r="X487" s="825" t="s">
        <v>219</v>
      </c>
      <c r="Y487" s="826">
        <v>4.1371218581874307E-2</v>
      </c>
      <c r="Z487" s="1145">
        <v>279221.77000000048</v>
      </c>
      <c r="AA487" s="825" t="s">
        <v>219</v>
      </c>
      <c r="AB487" s="826">
        <v>3.507544936874632E-2</v>
      </c>
      <c r="AC487" s="1145">
        <v>215692.75999999937</v>
      </c>
      <c r="AD487" s="825" t="s">
        <v>219</v>
      </c>
      <c r="AE487" s="826">
        <v>5.147450496360996E-2</v>
      </c>
      <c r="AF487" s="1145">
        <v>298542.91999999975</v>
      </c>
      <c r="AG487" s="825" t="s">
        <v>219</v>
      </c>
      <c r="AH487" s="826">
        <v>3.6084188134366611E-2</v>
      </c>
      <c r="AI487" s="827">
        <v>198338.29999999912</v>
      </c>
      <c r="AJ487" s="825" t="s">
        <v>219</v>
      </c>
      <c r="AK487" s="826">
        <v>4.0618307926277609E-2</v>
      </c>
      <c r="AL487" s="827">
        <v>300141.6799999986</v>
      </c>
      <c r="AM487" s="825" t="s">
        <v>219</v>
      </c>
      <c r="AN487" s="826">
        <v>5.1968743050519427E-2</v>
      </c>
      <c r="AO487" s="827">
        <v>236276.81999999972</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thickTop="1">
      <c r="A488" s="39"/>
      <c r="B488" s="61"/>
      <c r="C488" s="707"/>
      <c r="D488" s="707"/>
      <c r="E488" s="828">
        <v>2211033.1199999936</v>
      </c>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t="s">
        <v>3840</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thickBot="1">
      <c r="A492" s="39"/>
      <c r="B492" s="61" t="s">
        <v>3824</v>
      </c>
      <c r="C492" s="832" t="s">
        <v>219</v>
      </c>
      <c r="D492" s="830">
        <v>3.7619686572380372E-2</v>
      </c>
      <c r="E492" s="833">
        <v>2391491.5199999963</v>
      </c>
      <c r="F492" s="832" t="s">
        <v>219</v>
      </c>
      <c r="G492" s="830">
        <v>1.4770105210689069E-2</v>
      </c>
      <c r="H492" s="833">
        <v>67428.169999998703</v>
      </c>
      <c r="I492" s="832" t="s">
        <v>219</v>
      </c>
      <c r="J492" s="830">
        <v>9.1039869035007496E-3</v>
      </c>
      <c r="K492" s="833">
        <v>31579.119999999522</v>
      </c>
      <c r="L492" s="832" t="s">
        <v>219</v>
      </c>
      <c r="M492" s="830">
        <v>3.2458181434072982E-2</v>
      </c>
      <c r="N492" s="833">
        <v>148073.09999999937</v>
      </c>
      <c r="O492" s="832" t="s">
        <v>219</v>
      </c>
      <c r="P492" s="830">
        <v>3.2310750751166468E-2</v>
      </c>
      <c r="Q492" s="833">
        <v>152987.26999999961</v>
      </c>
      <c r="R492" s="832" t="s">
        <v>219</v>
      </c>
      <c r="S492" s="830">
        <v>3.0268337107613945E-2</v>
      </c>
      <c r="T492" s="833">
        <v>164415.92999999982</v>
      </c>
      <c r="U492" s="832" t="s">
        <v>219</v>
      </c>
      <c r="V492" s="830">
        <v>4.232972642781626E-2</v>
      </c>
      <c r="W492" s="1146">
        <v>197966.14999999947</v>
      </c>
      <c r="X492" s="832" t="s">
        <v>219</v>
      </c>
      <c r="Y492" s="830">
        <v>4.5254527800547083E-2</v>
      </c>
      <c r="Z492" s="1146">
        <v>305430.92000000051</v>
      </c>
      <c r="AA492" s="832" t="s">
        <v>219</v>
      </c>
      <c r="AB492" s="830">
        <v>3.5665166008242336E-2</v>
      </c>
      <c r="AC492" s="1146">
        <v>219319.15999999936</v>
      </c>
      <c r="AD492" s="832" t="s">
        <v>219</v>
      </c>
      <c r="AE492" s="830">
        <v>5.2139211673270361E-2</v>
      </c>
      <c r="AF492" s="1146">
        <v>302398.09999999974</v>
      </c>
      <c r="AG492" s="832" t="s">
        <v>219</v>
      </c>
      <c r="AH492" s="830">
        <v>4.0161452528046274E-2</v>
      </c>
      <c r="AI492" s="833">
        <v>220749.1599999991</v>
      </c>
      <c r="AJ492" s="832" t="s">
        <v>219</v>
      </c>
      <c r="AK492" s="830">
        <v>4.4016665230088667E-2</v>
      </c>
      <c r="AL492" s="833">
        <v>325253.22999999858</v>
      </c>
      <c r="AM492" s="832" t="s">
        <v>219</v>
      </c>
      <c r="AN492" s="830">
        <v>5.6282899614852222E-2</v>
      </c>
      <c r="AO492" s="833">
        <v>255891.20999999973</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thickTop="1">
      <c r="A493" s="39"/>
      <c r="B493" s="73" t="s">
        <v>218</v>
      </c>
      <c r="C493" s="832" t="s">
        <v>219</v>
      </c>
      <c r="D493" s="830">
        <v>3.4780960868952729E-2</v>
      </c>
      <c r="E493" s="833">
        <v>2211033.1199999964</v>
      </c>
      <c r="F493" s="832" t="s">
        <v>219</v>
      </c>
      <c r="G493" s="830">
        <v>8.3019356578440343E-3</v>
      </c>
      <c r="H493" s="833">
        <v>37899.819999998697</v>
      </c>
      <c r="I493" s="832" t="s">
        <v>219</v>
      </c>
      <c r="J493" s="830">
        <v>1.1754742194385633E-2</v>
      </c>
      <c r="K493" s="833">
        <v>40773.829999999522</v>
      </c>
      <c r="L493" s="832" t="s">
        <v>219</v>
      </c>
      <c r="M493" s="830">
        <v>2.6740836424321936E-2</v>
      </c>
      <c r="N493" s="833">
        <v>121990.76999999938</v>
      </c>
      <c r="O493" s="832" t="s">
        <v>219</v>
      </c>
      <c r="P493" s="830">
        <v>3.2733410537390935E-2</v>
      </c>
      <c r="Q493" s="833">
        <v>154988.5099999996</v>
      </c>
      <c r="R493" s="832" t="s">
        <v>219</v>
      </c>
      <c r="S493" s="830">
        <v>2.713274179403951E-2</v>
      </c>
      <c r="T493" s="833">
        <v>147383.54999999981</v>
      </c>
      <c r="U493" s="832" t="s">
        <v>219</v>
      </c>
      <c r="V493" s="830">
        <v>3.8441619363911286E-2</v>
      </c>
      <c r="W493" s="1146">
        <v>179782.38999999946</v>
      </c>
      <c r="X493" s="832" t="s">
        <v>219</v>
      </c>
      <c r="Y493" s="830">
        <v>4.1371218581874307E-2</v>
      </c>
      <c r="Z493" s="1146">
        <v>279221.77000000048</v>
      </c>
      <c r="AA493" s="832" t="s">
        <v>219</v>
      </c>
      <c r="AB493" s="830">
        <v>3.507544936874632E-2</v>
      </c>
      <c r="AC493" s="1146">
        <v>215692.75999999937</v>
      </c>
      <c r="AD493" s="832" t="s">
        <v>219</v>
      </c>
      <c r="AE493" s="830">
        <v>5.147450496360996E-2</v>
      </c>
      <c r="AF493" s="1146">
        <v>298542.91999999975</v>
      </c>
      <c r="AG493" s="832" t="s">
        <v>219</v>
      </c>
      <c r="AH493" s="830">
        <v>3.6084188134366611E-2</v>
      </c>
      <c r="AI493" s="833">
        <v>198338.29999999912</v>
      </c>
      <c r="AJ493" s="832" t="s">
        <v>219</v>
      </c>
      <c r="AK493" s="830">
        <v>4.0618307926277609E-2</v>
      </c>
      <c r="AL493" s="833">
        <v>300141.6799999986</v>
      </c>
      <c r="AM493" s="832" t="s">
        <v>219</v>
      </c>
      <c r="AN493" s="830">
        <v>5.1968743050519427E-2</v>
      </c>
      <c r="AO493" s="833">
        <v>236276.81999999972</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74"/>
      <c r="C494" s="835"/>
      <c r="D494" s="834"/>
      <c r="E494" s="836"/>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8">B495</f>
        <v>Amortissement</v>
      </c>
      <c r="B495" s="75" t="s">
        <v>221</v>
      </c>
      <c r="C495" s="805"/>
      <c r="D495" s="804"/>
      <c r="E495" s="809">
        <v>500171.23</v>
      </c>
      <c r="F495" s="805"/>
      <c r="G495" s="804"/>
      <c r="H495" s="809">
        <v>42648</v>
      </c>
      <c r="I495" s="805"/>
      <c r="J495" s="804"/>
      <c r="K495" s="809">
        <v>42648</v>
      </c>
      <c r="L495" s="805"/>
      <c r="M495" s="804"/>
      <c r="N495" s="809">
        <v>42648</v>
      </c>
      <c r="O495" s="805"/>
      <c r="P495" s="804"/>
      <c r="Q495" s="809">
        <v>42648</v>
      </c>
      <c r="R495" s="805"/>
      <c r="S495" s="804"/>
      <c r="T495" s="809">
        <v>42648</v>
      </c>
      <c r="U495" s="805"/>
      <c r="V495" s="804"/>
      <c r="W495" s="809">
        <v>42648</v>
      </c>
      <c r="X495" s="805"/>
      <c r="Y495" s="804"/>
      <c r="Z495" s="809">
        <v>42648</v>
      </c>
      <c r="AA495" s="805"/>
      <c r="AB495" s="804"/>
      <c r="AC495" s="809">
        <v>42648</v>
      </c>
      <c r="AD495" s="805"/>
      <c r="AE495" s="804"/>
      <c r="AF495" s="809">
        <v>42648</v>
      </c>
      <c r="AG495" s="805"/>
      <c r="AH495" s="804"/>
      <c r="AI495" s="809">
        <v>42648</v>
      </c>
      <c r="AJ495" s="805"/>
      <c r="AK495" s="804"/>
      <c r="AL495" s="809">
        <v>42648</v>
      </c>
      <c r="AM495" s="805"/>
      <c r="AN495" s="804"/>
      <c r="AO495" s="1136">
        <v>31043.23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marge</v>
      </c>
      <c r="B496" s="75" t="s">
        <v>222</v>
      </c>
      <c r="C496" s="838"/>
      <c r="D496" s="707"/>
      <c r="E496" s="809">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1136">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prêt</v>
      </c>
      <c r="B497" s="75" t="s">
        <v>223</v>
      </c>
      <c r="C497" s="839"/>
      <c r="D497" s="707"/>
      <c r="E497" s="809">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1136">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avance</v>
      </c>
      <c r="B498" s="75" t="s">
        <v>224</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1136">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Intérêts sur hypothèque</v>
      </c>
      <c r="B499" s="76" t="s">
        <v>3839</v>
      </c>
      <c r="C499" s="840"/>
      <c r="D499" s="748"/>
      <c r="E499" s="809">
        <v>0</v>
      </c>
      <c r="F499" s="840"/>
      <c r="G499" s="748"/>
      <c r="H499" s="809">
        <v>0</v>
      </c>
      <c r="I499" s="840"/>
      <c r="J499" s="748"/>
      <c r="K499" s="809">
        <v>0</v>
      </c>
      <c r="L499" s="840"/>
      <c r="M499" s="748"/>
      <c r="N499" s="809">
        <v>0</v>
      </c>
      <c r="O499" s="840"/>
      <c r="P499" s="748"/>
      <c r="Q499" s="809">
        <v>0</v>
      </c>
      <c r="R499" s="840"/>
      <c r="S499" s="748"/>
      <c r="T499" s="809">
        <v>0</v>
      </c>
      <c r="U499" s="840"/>
      <c r="V499" s="748"/>
      <c r="W499" s="809">
        <v>0</v>
      </c>
      <c r="X499" s="840"/>
      <c r="Y499" s="748"/>
      <c r="Z499" s="809">
        <v>0</v>
      </c>
      <c r="AA499" s="840"/>
      <c r="AB499" s="748"/>
      <c r="AC499" s="809">
        <v>0</v>
      </c>
      <c r="AD499" s="840"/>
      <c r="AE499" s="748"/>
      <c r="AF499" s="809">
        <v>0</v>
      </c>
      <c r="AG499" s="840"/>
      <c r="AH499" s="748"/>
      <c r="AI499" s="809">
        <v>0</v>
      </c>
      <c r="AJ499" s="840"/>
      <c r="AK499" s="748"/>
      <c r="AL499" s="809">
        <v>0</v>
      </c>
      <c r="AM499" s="840"/>
      <c r="AN499" s="748"/>
      <c r="AO499" s="809">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8"/>
        <v>Revenus d'intérêts Floor plan</v>
      </c>
      <c r="B500" s="76" t="s">
        <v>3841</v>
      </c>
      <c r="C500" s="840"/>
      <c r="D500" s="748"/>
      <c r="E500" s="809">
        <v>-10790</v>
      </c>
      <c r="F500" s="840"/>
      <c r="G500" s="748"/>
      <c r="H500" s="802">
        <v>-1079</v>
      </c>
      <c r="I500" s="840"/>
      <c r="J500" s="748"/>
      <c r="K500" s="802">
        <v>-1079</v>
      </c>
      <c r="L500" s="840"/>
      <c r="M500" s="748"/>
      <c r="N500" s="802">
        <v>-1079</v>
      </c>
      <c r="O500" s="840"/>
      <c r="P500" s="748"/>
      <c r="Q500" s="802">
        <v>-1079</v>
      </c>
      <c r="R500" s="840"/>
      <c r="S500" s="748"/>
      <c r="T500" s="802">
        <v>-1079</v>
      </c>
      <c r="U500" s="840"/>
      <c r="V500" s="748"/>
      <c r="W500" s="802">
        <v>-1079</v>
      </c>
      <c r="X500" s="840"/>
      <c r="Y500" s="748"/>
      <c r="Z500" s="802">
        <v>-1079</v>
      </c>
      <c r="AA500" s="840"/>
      <c r="AB500" s="748"/>
      <c r="AC500" s="802">
        <v>-1079</v>
      </c>
      <c r="AD500" s="840"/>
      <c r="AE500" s="748"/>
      <c r="AF500" s="802">
        <v>-1079</v>
      </c>
      <c r="AG500" s="840"/>
      <c r="AH500" s="748"/>
      <c r="AI500" s="802">
        <v>-1079</v>
      </c>
      <c r="AJ500" s="840"/>
      <c r="AK500" s="748"/>
      <c r="AL500" s="802">
        <v>0</v>
      </c>
      <c r="AM500" s="840"/>
      <c r="AN500" s="748"/>
      <c r="AO500" s="802">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Bot="1">
      <c r="A501" s="39" t="str">
        <f t="shared" si="8"/>
        <v>[...]</v>
      </c>
      <c r="B501" s="77" t="s">
        <v>59</v>
      </c>
      <c r="C501" s="840"/>
      <c r="D501" s="748"/>
      <c r="E501" s="802"/>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thickBot="1">
      <c r="A502" s="33"/>
      <c r="B502" s="78" t="s">
        <v>225</v>
      </c>
      <c r="C502" s="844" t="s">
        <v>219</v>
      </c>
      <c r="D502" s="842">
        <v>2.7082682061338129E-2</v>
      </c>
      <c r="E502" s="845">
        <v>1721651.8899999964</v>
      </c>
      <c r="F502" s="844" t="s">
        <v>219</v>
      </c>
      <c r="G502" s="842">
        <v>3.0090147187851302</v>
      </c>
      <c r="H502" s="845">
        <v>-3669.1800000013027</v>
      </c>
      <c r="I502" s="844" t="s">
        <v>219</v>
      </c>
      <c r="J502" s="842">
        <v>3.0090147187851302</v>
      </c>
      <c r="K502" s="845">
        <v>-795.17000000047847</v>
      </c>
      <c r="L502" s="844" t="s">
        <v>219</v>
      </c>
      <c r="M502" s="842">
        <v>3.0090147187851302</v>
      </c>
      <c r="N502" s="845">
        <v>80421.769999999378</v>
      </c>
      <c r="O502" s="844" t="s">
        <v>219</v>
      </c>
      <c r="P502" s="842">
        <v>3.0090147187851302</v>
      </c>
      <c r="Q502" s="845">
        <v>113419.5099999996</v>
      </c>
      <c r="R502" s="844" t="s">
        <v>219</v>
      </c>
      <c r="S502" s="842">
        <v>3.0090147187851302</v>
      </c>
      <c r="T502" s="845">
        <v>105814.54999999981</v>
      </c>
      <c r="U502" s="844" t="s">
        <v>219</v>
      </c>
      <c r="V502" s="842">
        <v>3.0090147187851302</v>
      </c>
      <c r="W502" s="1147">
        <v>138213.38999999946</v>
      </c>
      <c r="X502" s="844" t="s">
        <v>219</v>
      </c>
      <c r="Y502" s="842">
        <v>3.0090147187851302</v>
      </c>
      <c r="Z502" s="1147">
        <v>237652.77000000048</v>
      </c>
      <c r="AA502" s="844" t="s">
        <v>219</v>
      </c>
      <c r="AB502" s="842">
        <v>3.0090147187851302</v>
      </c>
      <c r="AC502" s="1147">
        <v>174123.75999999937</v>
      </c>
      <c r="AD502" s="844" t="s">
        <v>219</v>
      </c>
      <c r="AE502" s="842">
        <v>3.0090147187851302</v>
      </c>
      <c r="AF502" s="1147">
        <v>256973.91999999975</v>
      </c>
      <c r="AG502" s="844" t="s">
        <v>219</v>
      </c>
      <c r="AH502" s="842">
        <v>3.0090147187851302</v>
      </c>
      <c r="AI502" s="845">
        <v>156769.29999999912</v>
      </c>
      <c r="AJ502" s="844" t="s">
        <v>219</v>
      </c>
      <c r="AK502" s="842">
        <v>3.0090147187851302</v>
      </c>
      <c r="AL502" s="845">
        <v>257493.6799999986</v>
      </c>
      <c r="AM502" s="844" t="s">
        <v>219</v>
      </c>
      <c r="AN502" s="842">
        <v>3.0090147187851302</v>
      </c>
      <c r="AO502" s="845">
        <v>205233.58999999971</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thickTop="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conditionalFormatting sqref="C6">
    <cfRule type="expression" priority="173" stopIfTrue="1">
      <formula>"esterreur(reference)"</formula>
    </cfRule>
  </conditionalFormatting>
  <conditionalFormatting sqref="C9 C11:C17 C19:C27 C97:AO101 C103:AO122 D123:E125 C169:D171 C214:D214 C233:D233 C237:D239 E254:E255 C270:D270 C293:D294 C298:E333 F299:K320 F321:G332 I321:J332 H322:H332 K322:K332 F333:K333 C334:D334 C357:D359 C404:D404">
    <cfRule type="expression" priority="129" stopIfTrue="1">
      <formula>"esterreur(reference)"</formula>
    </cfRule>
  </conditionalFormatting>
  <conditionalFormatting sqref="C94">
    <cfRule type="expression" priority="126" stopIfTrue="1">
      <formula>"esterreur(reference)"</formula>
    </cfRule>
  </conditionalFormatting>
  <conditionalFormatting sqref="C102">
    <cfRule type="expression" priority="5" stopIfTrue="1">
      <formula>"esterreur(reference)"</formula>
    </cfRule>
  </conditionalFormatting>
  <conditionalFormatting sqref="C174">
    <cfRule type="expression" priority="125" stopIfTrue="1">
      <formula>"esterreur(reference)"</formula>
    </cfRule>
  </conditionalFormatting>
  <conditionalFormatting sqref="C242">
    <cfRule type="expression" priority="124" stopIfTrue="1">
      <formula>"esterreur(reference)"</formula>
    </cfRule>
  </conditionalFormatting>
  <conditionalFormatting sqref="C297">
    <cfRule type="expression" priority="123" stopIfTrue="1">
      <formula>"esterreur(reference)"</formula>
    </cfRule>
  </conditionalFormatting>
  <conditionalFormatting sqref="C362">
    <cfRule type="expression" priority="122" stopIfTrue="1">
      <formula>"esterreur(reference)"</formula>
    </cfRule>
  </conditionalFormatting>
  <conditionalFormatting sqref="C408">
    <cfRule type="expression" priority="121" stopIfTrue="1">
      <formula>"esterreur(reference)"</formula>
    </cfRule>
  </conditionalFormatting>
  <conditionalFormatting sqref="C254:D258">
    <cfRule type="expression" priority="127" stopIfTrue="1">
      <formula>"esterreur(reference)"</formula>
    </cfRule>
  </conditionalFormatting>
  <conditionalFormatting sqref="C28:AO75">
    <cfRule type="expression" priority="14" stopIfTrue="1">
      <formula>"esterreur(reference)"</formula>
    </cfRule>
  </conditionalFormatting>
  <conditionalFormatting sqref="C86:AO91">
    <cfRule type="expression" priority="12" stopIfTrue="1">
      <formula>"esterreur(reference)"</formula>
    </cfRule>
  </conditionalFormatting>
  <conditionalFormatting sqref="C93:AO93 E170:AO171 C173:AO173 E238:AO239 C241:AO241 E294:AO294 C296:AO296 F357:G359 I357:J359 F404:G404 I404:J404">
    <cfRule type="expression" priority="97" stopIfTrue="1">
      <formula>"esterreur(reference)"</formula>
    </cfRule>
  </conditionalFormatting>
  <conditionalFormatting sqref="C139:AO157">
    <cfRule type="expression" priority="30" stopIfTrue="1">
      <formula>"esterreur(reference)"</formula>
    </cfRule>
  </conditionalFormatting>
  <conditionalFormatting sqref="C175:AO213">
    <cfRule type="expression" priority="8" stopIfTrue="1">
      <formula>"esterreur(reference)"</formula>
    </cfRule>
  </conditionalFormatting>
  <conditionalFormatting sqref="C247:AO247">
    <cfRule type="expression" priority="69" stopIfTrue="1">
      <formula>"esterreur(reference)"</formula>
    </cfRule>
  </conditionalFormatting>
  <conditionalFormatting sqref="C271:AO289 AH292:AI292 AK292:AL292 AN292:AO292 AH293 AK293 AN293">
    <cfRule type="expression" priority="66" stopIfTrue="1">
      <formula>"esterreur(reference)"</formula>
    </cfRule>
  </conditionalFormatting>
  <conditionalFormatting sqref="C335:AO353 AH356:AI356 AK356:AL356 AN356:AO356 AH357 AK357 AN357">
    <cfRule type="expression" priority="62" stopIfTrue="1">
      <formula>"esterreur(reference)"</formula>
    </cfRule>
  </conditionalFormatting>
  <conditionalFormatting sqref="C361:AO361">
    <cfRule type="expression" priority="96" stopIfTrue="1">
      <formula>"esterreur(reference)"</formula>
    </cfRule>
  </conditionalFormatting>
  <conditionalFormatting sqref="C363:AO398">
    <cfRule type="expression" priority="61" stopIfTrue="1">
      <formula>"esterreur(reference)"</formula>
    </cfRule>
  </conditionalFormatting>
  <conditionalFormatting sqref="C400:AO403">
    <cfRule type="expression" priority="59" stopIfTrue="1">
      <formula>"esterreur(reference)"</formula>
    </cfRule>
  </conditionalFormatting>
  <conditionalFormatting sqref="D399">
    <cfRule type="expression" priority="128" stopIfTrue="1">
      <formula>"esterreur(reference)"</formula>
    </cfRule>
  </conditionalFormatting>
  <conditionalFormatting sqref="E9:F9 H9:I9 K9:K17 E11:F17 H11:I17 E19:F27 H19:I27 K19:L27 G123:H125 J123:K125 C126:Q138 C160:AO161 C168:AF168 F169:G169 I169:J169 F214:G214 I214:J214 C215:AO232 F233:G233 I233:J233 C236:AF236 F237:G237 I237:J237 C243:AO244 C253:AF253 H254:H255 K254:K255 C256:AO269 F270:G270 I270:J270 C292:AF292 F293:G293 I293:J293 F334:G334 I334:J334 C356:AF356">
    <cfRule type="expression" priority="98" stopIfTrue="1">
      <formula>"esterreur(reference)"</formula>
    </cfRule>
  </conditionalFormatting>
  <conditionalFormatting sqref="E102:F102 H102:I102 K102:L102">
    <cfRule type="expression" priority="3" stopIfTrue="1">
      <formula>"esterreur(reference)"</formula>
    </cfRule>
  </conditionalFormatting>
  <conditionalFormatting sqref="F6 I6 L6 O6 R6 U6 X6 AA6 AD6 AG6 AJ6 AM6">
    <cfRule type="expression" priority="175" stopIfTrue="1">
      <formula>"esterreur(reference)"</formula>
    </cfRule>
  </conditionalFormatting>
  <conditionalFormatting sqref="F94">
    <cfRule type="expression" priority="93" stopIfTrue="1">
      <formula>"esterreur(reference)"</formula>
    </cfRule>
  </conditionalFormatting>
  <conditionalFormatting sqref="F174">
    <cfRule type="expression" priority="92" stopIfTrue="1">
      <formula>"esterreur(reference)"</formula>
    </cfRule>
  </conditionalFormatting>
  <conditionalFormatting sqref="F242">
    <cfRule type="expression" priority="91" stopIfTrue="1">
      <formula>"esterreur(reference)"</formula>
    </cfRule>
  </conditionalFormatting>
  <conditionalFormatting sqref="F297:F298">
    <cfRule type="expression" priority="90" stopIfTrue="1">
      <formula>"esterreur(reference)"</formula>
    </cfRule>
  </conditionalFormatting>
  <conditionalFormatting sqref="F362">
    <cfRule type="expression" priority="89" stopIfTrue="1">
      <formula>"esterreur(reference)"</formula>
    </cfRule>
  </conditionalFormatting>
  <conditionalFormatting sqref="F408">
    <cfRule type="expression" priority="88" stopIfTrue="1">
      <formula>"esterreur(reference)"</formula>
    </cfRule>
  </conditionalFormatting>
  <conditionalFormatting sqref="F254:G258 I254:J258">
    <cfRule type="expression" priority="94" stopIfTrue="1">
      <formula>"esterreur(reference)"</formula>
    </cfRule>
  </conditionalFormatting>
  <conditionalFormatting sqref="G399 J399">
    <cfRule type="expression" priority="95" stopIfTrue="1">
      <formula>"esterreur(reference)"</formula>
    </cfRule>
  </conditionalFormatting>
  <conditionalFormatting sqref="G298:K298">
    <cfRule type="expression" priority="87" stopIfTrue="1">
      <formula>"esterreur(reference)"</formula>
    </cfRule>
  </conditionalFormatting>
  <conditionalFormatting sqref="I94 L94 O94 R94">
    <cfRule type="expression" priority="52" stopIfTrue="1">
      <formula>"esterreur(reference)"</formula>
    </cfRule>
  </conditionalFormatting>
  <conditionalFormatting sqref="I174 L174 O174 R174">
    <cfRule type="expression" priority="51" stopIfTrue="1">
      <formula>"esterreur(reference)"</formula>
    </cfRule>
  </conditionalFormatting>
  <conditionalFormatting sqref="I242 L242 O242 R242">
    <cfRule type="expression" priority="50" stopIfTrue="1">
      <formula>"esterreur(reference)"</formula>
    </cfRule>
  </conditionalFormatting>
  <conditionalFormatting sqref="I297 L297 O297 R297">
    <cfRule type="expression" priority="49" stopIfTrue="1">
      <formula>"esterreur(reference)"</formula>
    </cfRule>
  </conditionalFormatting>
  <conditionalFormatting sqref="I362 L362 O362 R362">
    <cfRule type="expression" priority="48" stopIfTrue="1">
      <formula>"esterreur(reference)"</formula>
    </cfRule>
  </conditionalFormatting>
  <conditionalFormatting sqref="I408 L408 O408 R408">
    <cfRule type="expression" priority="47" stopIfTrue="1">
      <formula>"esterreur(reference)"</formula>
    </cfRule>
  </conditionalFormatting>
  <conditionalFormatting sqref="L9 N9:O9 Q9:R9 T9:U9 W9:X9 Z9:AA9 AC9:AD9 L11:L17 N11:O17 Q11:R17 T11:U17 W11:X17 Z11:AA17 AC11:AD17 N19:O27 Q19:R27 T19:U27 W19:X27 Z19:AA27 AC19:AD27 M123:N125 P123:Q125 S123:T126 V123:W126 Y123:Z126 AB123:AC126 AE123:AF126 L169:M169 O169:P169 R169:S169 U169:V169 X169:Y169 AA169:AB169 AD169:AE169 L214:M214 O214:P214 R214:S214 U214:V214 X214:Y214 AA214:AB214 AD214:AE214 L233:M233 O233:P233 R233:S233 U233:V233 X233:Y233 AA233:AB233 AD233:AE233 L237:M237 O237:P237 R237:S237 U237:V237 X237:Y237 AA237:AB237 AD237:AE237 N254:N255 Q254:Q255 T254:T255 W254:W255 Z254:Z255 AC254:AC255 AF254:AF255 L270:M270 O270:P270 R270:S270 U270:V270 X270:Y270 AA270:AB270 AD270:AE270 L293:M293 O293:P293 R293:S293 U293:V293 X293:Y293 AA293:AB293 AD293:AE293 L334:M334 O334:P334 R334:S334 U334:V334 X334:Y334 AA334:AB334 AD334:AE334">
    <cfRule type="expression" priority="111" stopIfTrue="1">
      <formula>"esterreur(reference)"</formula>
    </cfRule>
  </conditionalFormatting>
  <conditionalFormatting sqref="L254:M258 O254:P258 R254:S258 U254:V258 X254:Y258">
    <cfRule type="expression" priority="109" stopIfTrue="1">
      <formula>"esterreur(reference)"</formula>
    </cfRule>
  </conditionalFormatting>
  <conditionalFormatting sqref="L357:M359 O357:P359 R357:S359 U357:V359 X357:Y359 AA357:AB359 AD357:AE359 L404:M404 O404:P404 R404:S404 U404:V404 X404:Y404 AA404:AB404 AD404:AE404">
    <cfRule type="expression" priority="108" stopIfTrue="1">
      <formula>"esterreur(reference)"</formula>
    </cfRule>
  </conditionalFormatting>
  <conditionalFormatting sqref="L298:AO333">
    <cfRule type="expression" priority="65" stopIfTrue="1">
      <formula>"esterreur(reference)"</formula>
    </cfRule>
  </conditionalFormatting>
  <conditionalFormatting sqref="M399 P399 S399 V399">
    <cfRule type="expression" priority="110" stopIfTrue="1">
      <formula>"esterreur(reference)"</formula>
    </cfRule>
  </conditionalFormatting>
  <conditionalFormatting sqref="N102:O102 Q102:R102 T102:U102 W102:X102 Z102:AA102 AC102:AD102">
    <cfRule type="expression" priority="4" stopIfTrue="1">
      <formula>"esterreur(reference)"</formula>
    </cfRule>
  </conditionalFormatting>
  <conditionalFormatting sqref="U94">
    <cfRule type="expression" priority="58" stopIfTrue="1">
      <formula>"esterreur(reference)"</formula>
    </cfRule>
  </conditionalFormatting>
  <conditionalFormatting sqref="U174">
    <cfRule type="expression" priority="57" stopIfTrue="1">
      <formula>"esterreur(reference)"</formula>
    </cfRule>
  </conditionalFormatting>
  <conditionalFormatting sqref="U242">
    <cfRule type="expression" priority="56" stopIfTrue="1">
      <formula>"esterreur(reference)"</formula>
    </cfRule>
  </conditionalFormatting>
  <conditionalFormatting sqref="U297">
    <cfRule type="expression" priority="55" stopIfTrue="1">
      <formula>"esterreur(reference)"</formula>
    </cfRule>
  </conditionalFormatting>
  <conditionalFormatting sqref="U362">
    <cfRule type="expression" priority="54" stopIfTrue="1">
      <formula>"esterreur(reference)"</formula>
    </cfRule>
  </conditionalFormatting>
  <conditionalFormatting sqref="U408">
    <cfRule type="expression" priority="53" stopIfTrue="1">
      <formula>"esterreur(reference)"</formula>
    </cfRule>
  </conditionalFormatting>
  <conditionalFormatting sqref="X94">
    <cfRule type="expression" priority="45" stopIfTrue="1">
      <formula>"esterreur(reference)"</formula>
    </cfRule>
  </conditionalFormatting>
  <conditionalFormatting sqref="X174">
    <cfRule type="expression" priority="44" stopIfTrue="1">
      <formula>"esterreur(reference)"</formula>
    </cfRule>
  </conditionalFormatting>
  <conditionalFormatting sqref="X242">
    <cfRule type="expression" priority="43" stopIfTrue="1">
      <formula>"esterreur(reference)"</formula>
    </cfRule>
  </conditionalFormatting>
  <conditionalFormatting sqref="X297">
    <cfRule type="expression" priority="42" stopIfTrue="1">
      <formula>"esterreur(reference)"</formula>
    </cfRule>
  </conditionalFormatting>
  <conditionalFormatting sqref="X362">
    <cfRule type="expression" priority="41" stopIfTrue="1">
      <formula>"esterreur(reference)"</formula>
    </cfRule>
  </conditionalFormatting>
  <conditionalFormatting sqref="X408">
    <cfRule type="expression" priority="40" stopIfTrue="1">
      <formula>"esterreur(reference)"</formula>
    </cfRule>
  </conditionalFormatting>
  <conditionalFormatting sqref="Y399">
    <cfRule type="expression" priority="46" stopIfTrue="1">
      <formula>"esterreur(reference)"</formula>
    </cfRule>
  </conditionalFormatting>
  <conditionalFormatting sqref="AA94">
    <cfRule type="expression" priority="37" stopIfTrue="1">
      <formula>"esterreur(reference)"</formula>
    </cfRule>
  </conditionalFormatting>
  <conditionalFormatting sqref="AA174">
    <cfRule type="expression" priority="36" stopIfTrue="1">
      <formula>"esterreur(reference)"</formula>
    </cfRule>
  </conditionalFormatting>
  <conditionalFormatting sqref="AA242">
    <cfRule type="expression" priority="35" stopIfTrue="1">
      <formula>"esterreur(reference)"</formula>
    </cfRule>
  </conditionalFormatting>
  <conditionalFormatting sqref="AA297">
    <cfRule type="expression" priority="34" stopIfTrue="1">
      <formula>"esterreur(reference)"</formula>
    </cfRule>
  </conditionalFormatting>
  <conditionalFormatting sqref="AA362">
    <cfRule type="expression" priority="33" stopIfTrue="1">
      <formula>"esterreur(reference)"</formula>
    </cfRule>
  </conditionalFormatting>
  <conditionalFormatting sqref="AA408">
    <cfRule type="expression" priority="32" stopIfTrue="1">
      <formula>"esterreur(reference)"</formula>
    </cfRule>
  </conditionalFormatting>
  <conditionalFormatting sqref="AA254:AB258">
    <cfRule type="expression" priority="39" stopIfTrue="1">
      <formula>"esterreur(reference)"</formula>
    </cfRule>
  </conditionalFormatting>
  <conditionalFormatting sqref="AB399">
    <cfRule type="expression" priority="38" stopIfTrue="1">
      <formula>"esterreur(reference)"</formula>
    </cfRule>
  </conditionalFormatting>
  <conditionalFormatting sqref="AD94">
    <cfRule type="expression" priority="28" stopIfTrue="1">
      <formula>"esterreur(reference)"</formula>
    </cfRule>
  </conditionalFormatting>
  <conditionalFormatting sqref="AD174">
    <cfRule type="expression" priority="27" stopIfTrue="1">
      <formula>"esterreur(reference)"</formula>
    </cfRule>
  </conditionalFormatting>
  <conditionalFormatting sqref="AD242">
    <cfRule type="expression" priority="26" stopIfTrue="1">
      <formula>"esterreur(reference)"</formula>
    </cfRule>
  </conditionalFormatting>
  <conditionalFormatting sqref="AD297">
    <cfRule type="expression" priority="25" stopIfTrue="1">
      <formula>"esterreur(reference)"</formula>
    </cfRule>
  </conditionalFormatting>
  <conditionalFormatting sqref="AD362">
    <cfRule type="expression" priority="24" stopIfTrue="1">
      <formula>"esterreur(reference)"</formula>
    </cfRule>
  </conditionalFormatting>
  <conditionalFormatting sqref="AD408">
    <cfRule type="expression" priority="23" stopIfTrue="1">
      <formula>"esterreur(reference)"</formula>
    </cfRule>
  </conditionalFormatting>
  <conditionalFormatting sqref="AD254:AE258">
    <cfRule type="expression" priority="31" stopIfTrue="1">
      <formula>"esterreur(reference)"</formula>
    </cfRule>
  </conditionalFormatting>
  <conditionalFormatting sqref="AE399">
    <cfRule type="expression" priority="29" stopIfTrue="1">
      <formula>"esterreur(reference)"</formula>
    </cfRule>
  </conditionalFormatting>
  <conditionalFormatting sqref="AF9:AG9 AI9:AJ9 AL9:AM9 R127:AO138 AG168:AH169 AJ168:AK169 AG236:AG237 AJ236:AJ237 AG292:AG293 AJ292:AJ293 AG356:AG357 AJ356:AJ357">
    <cfRule type="expression" priority="107" stopIfTrue="1">
      <formula>"esterreur(reference)"</formula>
    </cfRule>
  </conditionalFormatting>
  <conditionalFormatting sqref="AF11:AG17 AI11:AJ17">
    <cfRule type="expression" priority="86" stopIfTrue="1">
      <formula>"esterreur(reference)"</formula>
    </cfRule>
  </conditionalFormatting>
  <conditionalFormatting sqref="AF19:AG27 AI19:AJ27">
    <cfRule type="expression" priority="84" stopIfTrue="1">
      <formula>"esterreur(reference)"</formula>
    </cfRule>
  </conditionalFormatting>
  <conditionalFormatting sqref="AF102:AG102 AI102:AJ102">
    <cfRule type="expression" priority="2" stopIfTrue="1">
      <formula>"esterreur(reference)"</formula>
    </cfRule>
  </conditionalFormatting>
  <conditionalFormatting sqref="AG94">
    <cfRule type="expression" priority="104" stopIfTrue="1">
      <formula>"esterreur(reference)"</formula>
    </cfRule>
  </conditionalFormatting>
  <conditionalFormatting sqref="AG174">
    <cfRule type="expression" priority="103" stopIfTrue="1">
      <formula>"esterreur(reference)"</formula>
    </cfRule>
  </conditionalFormatting>
  <conditionalFormatting sqref="AG242">
    <cfRule type="expression" priority="102" stopIfTrue="1">
      <formula>"esterreur(reference)"</formula>
    </cfRule>
  </conditionalFormatting>
  <conditionalFormatting sqref="AG297">
    <cfRule type="expression" priority="101" stopIfTrue="1">
      <formula>"esterreur(reference)"</formula>
    </cfRule>
  </conditionalFormatting>
  <conditionalFormatting sqref="AG362">
    <cfRule type="expression" priority="100" stopIfTrue="1">
      <formula>"esterreur(reference)"</formula>
    </cfRule>
  </conditionalFormatting>
  <conditionalFormatting sqref="AG408">
    <cfRule type="expression" priority="99" stopIfTrue="1">
      <formula>"esterreur(reference)"</formula>
    </cfRule>
  </conditionalFormatting>
  <conditionalFormatting sqref="AG214:AH214">
    <cfRule type="expression" priority="73" stopIfTrue="1">
      <formula>"esterreur(reference)"</formula>
    </cfRule>
  </conditionalFormatting>
  <conditionalFormatting sqref="AG233:AH233 AJ233:AK233 AM233:AN233 AH236:AI236 AK236:AL236 AN236:AO236 AH237 AK237 AN237">
    <cfRule type="expression" priority="70" stopIfTrue="1">
      <formula>"esterreur(reference)"</formula>
    </cfRule>
  </conditionalFormatting>
  <conditionalFormatting sqref="AG256:AH258">
    <cfRule type="expression" priority="105" stopIfTrue="1">
      <formula>"esterreur(reference)"</formula>
    </cfRule>
  </conditionalFormatting>
  <conditionalFormatting sqref="AG270:AH270 AJ270:AK270 AM270:AN270">
    <cfRule type="expression" priority="68" stopIfTrue="1">
      <formula>"esterreur(reference)"</formula>
    </cfRule>
  </conditionalFormatting>
  <conditionalFormatting sqref="AG334:AH334">
    <cfRule type="expression" priority="64" stopIfTrue="1">
      <formula>"esterreur(reference)"</formula>
    </cfRule>
  </conditionalFormatting>
  <conditionalFormatting sqref="AG358:AH359 AJ358:AK359 AG404:AH404 AJ404:AK404">
    <cfRule type="expression" priority="106" stopIfTrue="1">
      <formula>"esterreur(reference)"</formula>
    </cfRule>
  </conditionalFormatting>
  <conditionalFormatting sqref="AG253:AO255">
    <cfRule type="expression" priority="22" stopIfTrue="1">
      <formula>"esterreur(reference)"</formula>
    </cfRule>
  </conditionalFormatting>
  <conditionalFormatting sqref="AH77">
    <cfRule type="expression" priority="82" stopIfTrue="1">
      <formula>"esterreur(reference)"</formula>
    </cfRule>
  </conditionalFormatting>
  <conditionalFormatting sqref="AH123:AH125 AG126:AH126">
    <cfRule type="expression" priority="80" stopIfTrue="1">
      <formula>"esterreur(reference)"</formula>
    </cfRule>
  </conditionalFormatting>
  <conditionalFormatting sqref="AH159">
    <cfRule type="expression" priority="77" stopIfTrue="1">
      <formula>"esterreur(reference)"</formula>
    </cfRule>
  </conditionalFormatting>
  <conditionalFormatting sqref="AH235 AK235 AN235">
    <cfRule type="expression" priority="71" stopIfTrue="1">
      <formula>"esterreur(reference)"</formula>
    </cfRule>
  </conditionalFormatting>
  <conditionalFormatting sqref="AH291 AK291 AN291">
    <cfRule type="expression" priority="67" stopIfTrue="1">
      <formula>"esterreur(reference)"</formula>
    </cfRule>
  </conditionalFormatting>
  <conditionalFormatting sqref="AH399 AK399 AN399">
    <cfRule type="expression" priority="60" stopIfTrue="1">
      <formula>"esterreur(reference)"</formula>
    </cfRule>
  </conditionalFormatting>
  <conditionalFormatting sqref="AI123:AI126 AL123:AL126 AO123:AO126">
    <cfRule type="expression" priority="78" stopIfTrue="1">
      <formula>"esterreur(reference)"</formula>
    </cfRule>
  </conditionalFormatting>
  <conditionalFormatting sqref="AI168">
    <cfRule type="expression" priority="75" stopIfTrue="1">
      <formula>"esterreur(reference)"</formula>
    </cfRule>
  </conditionalFormatting>
  <conditionalFormatting sqref="AJ94">
    <cfRule type="expression" priority="20" stopIfTrue="1">
      <formula>"esterreur(reference)"</formula>
    </cfRule>
  </conditionalFormatting>
  <conditionalFormatting sqref="AJ174">
    <cfRule type="expression" priority="19" stopIfTrue="1">
      <formula>"esterreur(reference)"</formula>
    </cfRule>
  </conditionalFormatting>
  <conditionalFormatting sqref="AJ242">
    <cfRule type="expression" priority="18" stopIfTrue="1">
      <formula>"esterreur(reference)"</formula>
    </cfRule>
  </conditionalFormatting>
  <conditionalFormatting sqref="AJ297">
    <cfRule type="expression" priority="17" stopIfTrue="1">
      <formula>"esterreur(reference)"</formula>
    </cfRule>
  </conditionalFormatting>
  <conditionalFormatting sqref="AJ362">
    <cfRule type="expression" priority="16" stopIfTrue="1">
      <formula>"esterreur(reference)"</formula>
    </cfRule>
  </conditionalFormatting>
  <conditionalFormatting sqref="AJ408">
    <cfRule type="expression" priority="15" stopIfTrue="1">
      <formula>"esterreur(reference)"</formula>
    </cfRule>
  </conditionalFormatting>
  <conditionalFormatting sqref="AJ214:AK214">
    <cfRule type="expression" priority="7" stopIfTrue="1">
      <formula>"esterreur(reference)"</formula>
    </cfRule>
  </conditionalFormatting>
  <conditionalFormatting sqref="AJ256:AK258">
    <cfRule type="expression" priority="21" stopIfTrue="1">
      <formula>"esterreur(reference)"</formula>
    </cfRule>
  </conditionalFormatting>
  <conditionalFormatting sqref="AJ334:AK334">
    <cfRule type="expression" priority="6" stopIfTrue="1">
      <formula>"esterreur(reference)"</formula>
    </cfRule>
  </conditionalFormatting>
  <conditionalFormatting sqref="AK77">
    <cfRule type="expression" priority="13" stopIfTrue="1">
      <formula>"esterreur(reference)"</formula>
    </cfRule>
  </conditionalFormatting>
  <conditionalFormatting sqref="AK123:AK125 AJ126:AK126">
    <cfRule type="expression" priority="11" stopIfTrue="1">
      <formula>"esterreur(reference)"</formula>
    </cfRule>
  </conditionalFormatting>
  <conditionalFormatting sqref="AK159">
    <cfRule type="expression" priority="10" stopIfTrue="1">
      <formula>"esterreur(reference)"</formula>
    </cfRule>
  </conditionalFormatting>
  <conditionalFormatting sqref="AL168">
    <cfRule type="expression" priority="9" stopIfTrue="1">
      <formula>"esterreur(reference)"</formula>
    </cfRule>
  </conditionalFormatting>
  <conditionalFormatting sqref="AL11:AM17 AO11:AO17">
    <cfRule type="expression" priority="85" stopIfTrue="1">
      <formula>"esterreur(reference)"</formula>
    </cfRule>
  </conditionalFormatting>
  <conditionalFormatting sqref="AL19:AM27 AO19:AO27">
    <cfRule type="expression" priority="83" stopIfTrue="1">
      <formula>"esterreur(reference)"</formula>
    </cfRule>
  </conditionalFormatting>
  <conditionalFormatting sqref="AL102:AM102 AO102">
    <cfRule type="expression" priority="1" stopIfTrue="1">
      <formula>"esterreur(reference)"</formula>
    </cfRule>
  </conditionalFormatting>
  <conditionalFormatting sqref="AM94">
    <cfRule type="expression" priority="117" stopIfTrue="1">
      <formula>"esterreur(reference)"</formula>
    </cfRule>
  </conditionalFormatting>
  <conditionalFormatting sqref="AM174">
    <cfRule type="expression" priority="116" stopIfTrue="1">
      <formula>"esterreur(reference)"</formula>
    </cfRule>
  </conditionalFormatting>
  <conditionalFormatting sqref="AM242">
    <cfRule type="expression" priority="115" stopIfTrue="1">
      <formula>"esterreur(reference)"</formula>
    </cfRule>
  </conditionalFormatting>
  <conditionalFormatting sqref="AM297">
    <cfRule type="expression" priority="114" stopIfTrue="1">
      <formula>"esterreur(reference)"</formula>
    </cfRule>
  </conditionalFormatting>
  <conditionalFormatting sqref="AM362">
    <cfRule type="expression" priority="113" stopIfTrue="1">
      <formula>"esterreur(reference)"</formula>
    </cfRule>
  </conditionalFormatting>
  <conditionalFormatting sqref="AM408">
    <cfRule type="expression" priority="112" stopIfTrue="1">
      <formula>"esterreur(reference)"</formula>
    </cfRule>
  </conditionalFormatting>
  <conditionalFormatting sqref="AM214:AN214">
    <cfRule type="expression" priority="72" stopIfTrue="1">
      <formula>"esterreur(reference)"</formula>
    </cfRule>
  </conditionalFormatting>
  <conditionalFormatting sqref="AM256:AN258">
    <cfRule type="expression" priority="119" stopIfTrue="1">
      <formula>"esterreur(reference)"</formula>
    </cfRule>
  </conditionalFormatting>
  <conditionalFormatting sqref="AM334:AN334">
    <cfRule type="expression" priority="63" stopIfTrue="1">
      <formula>"esterreur(reference)"</formula>
    </cfRule>
  </conditionalFormatting>
  <conditionalFormatting sqref="AM358:AN359 AM404:AN404">
    <cfRule type="expression" priority="118" stopIfTrue="1">
      <formula>"esterreur(reference)"</formula>
    </cfRule>
  </conditionalFormatting>
  <conditionalFormatting sqref="AN77">
    <cfRule type="expression" priority="81" stopIfTrue="1">
      <formula>"esterreur(reference)"</formula>
    </cfRule>
  </conditionalFormatting>
  <conditionalFormatting sqref="AN123:AN125 AM126:AN126">
    <cfRule type="expression" priority="79" stopIfTrue="1">
      <formula>"esterreur(reference)"</formula>
    </cfRule>
  </conditionalFormatting>
  <conditionalFormatting sqref="AN159">
    <cfRule type="expression" priority="76" stopIfTrue="1">
      <formula>"esterreur(reference)"</formula>
    </cfRule>
  </conditionalFormatting>
  <conditionalFormatting sqref="AO9 AM168:AN169 AM236:AM237 AM292:AM293 AM356:AM357">
    <cfRule type="expression" priority="120" stopIfTrue="1">
      <formula>"esterreur(reference)"</formula>
    </cfRule>
  </conditionalFormatting>
  <conditionalFormatting sqref="AO168">
    <cfRule type="expression" priority="74"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66" t="s">
        <v>228</v>
      </c>
      <c r="B4" s="1166"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67"/>
      <c r="B5" s="1167"/>
      <c r="C5" s="1168" t="s">
        <v>248</v>
      </c>
      <c r="D5" s="116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3808</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3837</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793</v>
      </c>
      <c r="F1" s="966" t="s">
        <v>850</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3285</v>
      </c>
      <c r="B3" s="965" t="s">
        <v>278</v>
      </c>
      <c r="C3" s="965" t="s">
        <v>267</v>
      </c>
      <c r="D3" s="965" t="s">
        <v>282</v>
      </c>
      <c r="E3" s="967">
        <v>24454.46</v>
      </c>
      <c r="F3" s="963"/>
      <c r="G3" s="965" t="s">
        <v>3286</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3363</v>
      </c>
      <c r="B4" s="965" t="s">
        <v>268</v>
      </c>
      <c r="C4" s="965" t="s">
        <v>267</v>
      </c>
      <c r="D4" s="965" t="s">
        <v>269</v>
      </c>
      <c r="E4" s="967">
        <v>37735.15</v>
      </c>
      <c r="F4" s="963"/>
      <c r="G4" s="965" t="s">
        <v>3364</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3365</v>
      </c>
      <c r="B5" s="965" t="s">
        <v>266</v>
      </c>
      <c r="C5" s="965" t="s">
        <v>267</v>
      </c>
      <c r="D5" s="965" t="s">
        <v>3352</v>
      </c>
      <c r="E5" s="967">
        <v>29929.55</v>
      </c>
      <c r="F5" s="963"/>
      <c r="G5" s="965" t="s">
        <v>3366</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3385</v>
      </c>
      <c r="B6" s="965" t="s">
        <v>266</v>
      </c>
      <c r="C6" s="965" t="s">
        <v>267</v>
      </c>
      <c r="D6" s="965" t="s">
        <v>262</v>
      </c>
      <c r="E6" s="967">
        <v>31306.12</v>
      </c>
      <c r="F6" s="963"/>
      <c r="G6" s="965" t="s">
        <v>3386</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3492</v>
      </c>
      <c r="B7" s="965" t="s">
        <v>3493</v>
      </c>
      <c r="C7" s="965" t="s">
        <v>3487</v>
      </c>
      <c r="D7" s="965" t="s">
        <v>3488</v>
      </c>
      <c r="E7" s="967">
        <v>17680.419999999998</v>
      </c>
      <c r="F7" s="963"/>
      <c r="G7" s="965" t="s">
        <v>3494</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3407</v>
      </c>
      <c r="B8" s="965" t="s">
        <v>268</v>
      </c>
      <c r="C8" s="965" t="s">
        <v>267</v>
      </c>
      <c r="D8" s="965" t="s">
        <v>260</v>
      </c>
      <c r="E8" s="967">
        <v>28635.15</v>
      </c>
      <c r="F8" s="967">
        <v>-31332.799999999999</v>
      </c>
      <c r="G8" s="965" t="s">
        <v>3408</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3403</v>
      </c>
      <c r="B9" s="965" t="s">
        <v>259</v>
      </c>
      <c r="C9" s="965" t="s">
        <v>267</v>
      </c>
      <c r="D9" s="965" t="s">
        <v>260</v>
      </c>
      <c r="E9" s="967">
        <v>38815.25</v>
      </c>
      <c r="F9" s="963"/>
      <c r="G9" s="965" t="s">
        <v>3404</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3405</v>
      </c>
      <c r="B10" s="965" t="s">
        <v>278</v>
      </c>
      <c r="C10" s="965" t="s">
        <v>267</v>
      </c>
      <c r="D10" s="965" t="s">
        <v>260</v>
      </c>
      <c r="E10" s="967">
        <v>31315.25</v>
      </c>
      <c r="F10" s="967">
        <v>-24944.54</v>
      </c>
      <c r="G10" s="965" t="s">
        <v>3406</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3410</v>
      </c>
      <c r="B11" s="965" t="s">
        <v>275</v>
      </c>
      <c r="C11" s="965" t="s">
        <v>267</v>
      </c>
      <c r="D11" s="965" t="s">
        <v>277</v>
      </c>
      <c r="E11" s="967">
        <v>21280.25</v>
      </c>
      <c r="F11" s="967">
        <v>-10962</v>
      </c>
      <c r="G11" s="965" t="s">
        <v>3411</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3412</v>
      </c>
      <c r="B12" s="965" t="s">
        <v>266</v>
      </c>
      <c r="C12" s="965" t="s">
        <v>3413</v>
      </c>
      <c r="D12" s="965" t="s">
        <v>3414</v>
      </c>
      <c r="E12" s="967">
        <v>17550</v>
      </c>
      <c r="F12" s="963"/>
      <c r="G12" s="965" t="s">
        <v>3415</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3478</v>
      </c>
      <c r="B13" s="965" t="s">
        <v>275</v>
      </c>
      <c r="C13" s="965" t="s">
        <v>267</v>
      </c>
      <c r="D13" s="965" t="s">
        <v>279</v>
      </c>
      <c r="E13" s="967">
        <v>27280.25</v>
      </c>
      <c r="F13" s="967">
        <v>-17480.23</v>
      </c>
      <c r="G13" s="965" t="s">
        <v>3479</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3455</v>
      </c>
      <c r="B14" s="965" t="s">
        <v>259</v>
      </c>
      <c r="C14" s="965" t="s">
        <v>267</v>
      </c>
      <c r="D14" s="965" t="s">
        <v>269</v>
      </c>
      <c r="E14" s="967">
        <v>44105.05</v>
      </c>
      <c r="F14" s="967">
        <v>-38250</v>
      </c>
      <c r="G14" s="965" t="s">
        <v>3456</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3469</v>
      </c>
      <c r="B15" s="965" t="s">
        <v>278</v>
      </c>
      <c r="C15" s="965" t="s">
        <v>267</v>
      </c>
      <c r="D15" s="965" t="s">
        <v>269</v>
      </c>
      <c r="E15" s="967">
        <v>36415.129999999997</v>
      </c>
      <c r="F15" s="967">
        <v>-26892</v>
      </c>
      <c r="G15" s="965" t="s">
        <v>3470</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3463</v>
      </c>
      <c r="B16" s="965" t="s">
        <v>278</v>
      </c>
      <c r="C16" s="965" t="s">
        <v>267</v>
      </c>
      <c r="D16" s="965" t="s">
        <v>260</v>
      </c>
      <c r="E16" s="967">
        <v>27935.05</v>
      </c>
      <c r="F16" s="963"/>
      <c r="G16" s="965" t="s">
        <v>3464</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3489</v>
      </c>
      <c r="B17" s="965" t="s">
        <v>280</v>
      </c>
      <c r="C17" s="965" t="s">
        <v>3295</v>
      </c>
      <c r="D17" s="965" t="s">
        <v>3490</v>
      </c>
      <c r="E17" s="967">
        <v>20050</v>
      </c>
      <c r="F17" s="963"/>
      <c r="G17" s="965" t="s">
        <v>3491</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3482</v>
      </c>
      <c r="B18" s="965" t="s">
        <v>266</v>
      </c>
      <c r="C18" s="965" t="s">
        <v>267</v>
      </c>
      <c r="D18" s="965" t="s">
        <v>260</v>
      </c>
      <c r="E18" s="967">
        <v>20497.05</v>
      </c>
      <c r="F18" s="963"/>
      <c r="G18" s="965" t="s">
        <v>3483</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3465</v>
      </c>
      <c r="B19" s="965" t="s">
        <v>278</v>
      </c>
      <c r="C19" s="965" t="s">
        <v>267</v>
      </c>
      <c r="D19" s="965" t="s">
        <v>260</v>
      </c>
      <c r="E19" s="967">
        <v>28075.78</v>
      </c>
      <c r="F19" s="967">
        <v>-23850</v>
      </c>
      <c r="G19" s="965" t="s">
        <v>3466</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3476</v>
      </c>
      <c r="B20" s="965" t="s">
        <v>275</v>
      </c>
      <c r="C20" s="965" t="s">
        <v>267</v>
      </c>
      <c r="D20" s="965" t="s">
        <v>260</v>
      </c>
      <c r="E20" s="967">
        <v>26815.25</v>
      </c>
      <c r="F20" s="963"/>
      <c r="G20" s="965" t="s">
        <v>3477</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3526</v>
      </c>
      <c r="B21" s="965" t="s">
        <v>268</v>
      </c>
      <c r="C21" s="965" t="s">
        <v>267</v>
      </c>
      <c r="D21" s="965" t="s">
        <v>260</v>
      </c>
      <c r="E21" s="967">
        <v>28447.25</v>
      </c>
      <c r="F21" s="967">
        <v>-24418.799999999999</v>
      </c>
      <c r="G21" s="965" t="s">
        <v>3527</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3480</v>
      </c>
      <c r="B22" s="965" t="s">
        <v>275</v>
      </c>
      <c r="C22" s="965" t="s">
        <v>267</v>
      </c>
      <c r="D22" s="965" t="s">
        <v>262</v>
      </c>
      <c r="E22" s="967">
        <v>29352</v>
      </c>
      <c r="F22" s="963"/>
      <c r="G22" s="965" t="s">
        <v>3481</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3485</v>
      </c>
      <c r="B23" s="965" t="s">
        <v>266</v>
      </c>
      <c r="C23" s="965" t="s">
        <v>267</v>
      </c>
      <c r="D23" s="965" t="s">
        <v>273</v>
      </c>
      <c r="E23" s="967">
        <v>18787.5</v>
      </c>
      <c r="F23" s="963"/>
      <c r="G23" s="965" t="s">
        <v>3486</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3467</v>
      </c>
      <c r="B24" s="965" t="s">
        <v>278</v>
      </c>
      <c r="C24" s="965" t="s">
        <v>267</v>
      </c>
      <c r="D24" s="965" t="s">
        <v>277</v>
      </c>
      <c r="E24" s="967">
        <v>18043.82</v>
      </c>
      <c r="F24" s="963"/>
      <c r="G24" s="965" t="s">
        <v>3468</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3459</v>
      </c>
      <c r="B25" s="965" t="s">
        <v>268</v>
      </c>
      <c r="C25" s="965" t="s">
        <v>267</v>
      </c>
      <c r="D25" s="965" t="s">
        <v>262</v>
      </c>
      <c r="E25" s="967">
        <v>40209.65</v>
      </c>
      <c r="F25" s="963"/>
      <c r="G25" s="965" t="s">
        <v>3460</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3461</v>
      </c>
      <c r="B26" s="965" t="s">
        <v>278</v>
      </c>
      <c r="C26" s="965" t="s">
        <v>267</v>
      </c>
      <c r="D26" s="965" t="s">
        <v>260</v>
      </c>
      <c r="E26" s="967">
        <v>30620.3</v>
      </c>
      <c r="F26" s="963"/>
      <c r="G26" s="965" t="s">
        <v>3462</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3474</v>
      </c>
      <c r="B27" s="965" t="s">
        <v>278</v>
      </c>
      <c r="C27" s="965" t="s">
        <v>3417</v>
      </c>
      <c r="D27" s="965" t="s">
        <v>3418</v>
      </c>
      <c r="E27" s="967">
        <v>28211.38</v>
      </c>
      <c r="F27" s="963"/>
      <c r="G27" s="965" t="s">
        <v>3475</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3471</v>
      </c>
      <c r="B28" s="965" t="s">
        <v>278</v>
      </c>
      <c r="C28" s="965" t="s">
        <v>3378</v>
      </c>
      <c r="D28" s="965" t="s">
        <v>3472</v>
      </c>
      <c r="E28" s="967">
        <v>23550</v>
      </c>
      <c r="F28" s="963"/>
      <c r="G28" s="965" t="s">
        <v>3473</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3528</v>
      </c>
      <c r="B29" s="965" t="s">
        <v>259</v>
      </c>
      <c r="C29" s="965" t="s">
        <v>267</v>
      </c>
      <c r="D29" s="965" t="s">
        <v>260</v>
      </c>
      <c r="E29" s="967">
        <v>36524.6</v>
      </c>
      <c r="F29" s="963"/>
      <c r="G29" s="965" t="s">
        <v>3529</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3530</v>
      </c>
      <c r="B30" s="965" t="s">
        <v>278</v>
      </c>
      <c r="C30" s="965" t="s">
        <v>267</v>
      </c>
      <c r="D30" s="965" t="s">
        <v>260</v>
      </c>
      <c r="E30" s="967">
        <v>24346.21</v>
      </c>
      <c r="F30" s="967">
        <v>-16047.88</v>
      </c>
      <c r="G30" s="965" t="s">
        <v>3531</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3532</v>
      </c>
      <c r="B31" s="965" t="s">
        <v>275</v>
      </c>
      <c r="C31" s="965" t="s">
        <v>267</v>
      </c>
      <c r="D31" s="965" t="s">
        <v>273</v>
      </c>
      <c r="E31" s="967">
        <v>18530.25</v>
      </c>
      <c r="F31" s="963"/>
      <c r="G31" s="965" t="s">
        <v>3533</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3457</v>
      </c>
      <c r="B32" s="965" t="s">
        <v>268</v>
      </c>
      <c r="C32" s="965" t="s">
        <v>267</v>
      </c>
      <c r="D32" s="965" t="s">
        <v>260</v>
      </c>
      <c r="E32" s="967">
        <v>29670.31</v>
      </c>
      <c r="F32" s="967">
        <v>-25505.1</v>
      </c>
      <c r="G32" s="965" t="s">
        <v>3458</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3534</v>
      </c>
      <c r="B33" s="965" t="s">
        <v>278</v>
      </c>
      <c r="C33" s="965" t="s">
        <v>267</v>
      </c>
      <c r="D33" s="965" t="s">
        <v>277</v>
      </c>
      <c r="E33" s="967">
        <v>22965.200000000001</v>
      </c>
      <c r="F33" s="963"/>
      <c r="G33" s="965" t="s">
        <v>3535</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3695</v>
      </c>
      <c r="B34" s="965" t="s">
        <v>268</v>
      </c>
      <c r="C34" s="965" t="s">
        <v>267</v>
      </c>
      <c r="D34" s="965" t="s">
        <v>260</v>
      </c>
      <c r="E34" s="967">
        <v>31666.799999999999</v>
      </c>
      <c r="F34" s="967">
        <v>-33046.589999999997</v>
      </c>
      <c r="G34" s="965" t="s">
        <v>3696</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3536</v>
      </c>
      <c r="B35" s="965" t="s">
        <v>275</v>
      </c>
      <c r="C35" s="965" t="s">
        <v>267</v>
      </c>
      <c r="D35" s="965" t="s">
        <v>260</v>
      </c>
      <c r="E35" s="967">
        <v>24846.26</v>
      </c>
      <c r="F35" s="963"/>
      <c r="G35" s="965" t="s">
        <v>3537</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3538</v>
      </c>
      <c r="B36" s="965" t="s">
        <v>278</v>
      </c>
      <c r="C36" s="965" t="s">
        <v>267</v>
      </c>
      <c r="D36" s="965" t="s">
        <v>277</v>
      </c>
      <c r="E36" s="967">
        <v>19323.740000000002</v>
      </c>
      <c r="F36" s="963"/>
      <c r="G36" s="965" t="s">
        <v>3539</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3540</v>
      </c>
      <c r="B37" s="965" t="s">
        <v>275</v>
      </c>
      <c r="C37" s="965" t="s">
        <v>267</v>
      </c>
      <c r="D37" s="965" t="s">
        <v>273</v>
      </c>
      <c r="E37" s="967">
        <v>18294.75</v>
      </c>
      <c r="F37" s="963"/>
      <c r="G37" s="965" t="s">
        <v>3541</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3542</v>
      </c>
      <c r="B38" s="965" t="s">
        <v>266</v>
      </c>
      <c r="C38" s="965" t="s">
        <v>267</v>
      </c>
      <c r="D38" s="965" t="s">
        <v>273</v>
      </c>
      <c r="E38" s="967">
        <v>16745.3</v>
      </c>
      <c r="F38" s="963"/>
      <c r="G38" s="965" t="s">
        <v>3543</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3544</v>
      </c>
      <c r="B39" s="965" t="s">
        <v>259</v>
      </c>
      <c r="C39" s="965" t="s">
        <v>267</v>
      </c>
      <c r="D39" s="965" t="s">
        <v>262</v>
      </c>
      <c r="E39" s="967">
        <v>49927.29</v>
      </c>
      <c r="F39" s="963"/>
      <c r="G39" s="965" t="s">
        <v>3545</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3546</v>
      </c>
      <c r="B40" s="965" t="s">
        <v>278</v>
      </c>
      <c r="C40" s="965" t="s">
        <v>267</v>
      </c>
      <c r="D40" s="965" t="s">
        <v>260</v>
      </c>
      <c r="E40" s="967">
        <v>24483.1</v>
      </c>
      <c r="F40" s="967">
        <v>-18876</v>
      </c>
      <c r="G40" s="965" t="s">
        <v>3547</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3548</v>
      </c>
      <c r="B41" s="965" t="s">
        <v>275</v>
      </c>
      <c r="C41" s="965" t="s">
        <v>267</v>
      </c>
      <c r="D41" s="965" t="s">
        <v>273</v>
      </c>
      <c r="E41" s="967">
        <v>21779.599999999999</v>
      </c>
      <c r="F41" s="963"/>
      <c r="G41" s="965" t="s">
        <v>3549</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3550</v>
      </c>
      <c r="B42" s="965" t="s">
        <v>268</v>
      </c>
      <c r="C42" s="965" t="s">
        <v>267</v>
      </c>
      <c r="D42" s="965" t="s">
        <v>273</v>
      </c>
      <c r="E42" s="967">
        <v>21350</v>
      </c>
      <c r="F42" s="963"/>
      <c r="G42" s="965" t="s">
        <v>3551</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3552</v>
      </c>
      <c r="B43" s="965" t="s">
        <v>275</v>
      </c>
      <c r="C43" s="965" t="s">
        <v>267</v>
      </c>
      <c r="D43" s="965" t="s">
        <v>277</v>
      </c>
      <c r="E43" s="967">
        <v>17488.18</v>
      </c>
      <c r="F43" s="963"/>
      <c r="G43" s="965" t="s">
        <v>3553</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3554</v>
      </c>
      <c r="B44" s="965" t="s">
        <v>278</v>
      </c>
      <c r="C44" s="965" t="s">
        <v>267</v>
      </c>
      <c r="D44" s="965" t="s">
        <v>277</v>
      </c>
      <c r="E44" s="967">
        <v>18370.25</v>
      </c>
      <c r="F44" s="963"/>
      <c r="G44" s="965" t="s">
        <v>3555</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3556</v>
      </c>
      <c r="B45" s="965" t="s">
        <v>266</v>
      </c>
      <c r="C45" s="965" t="s">
        <v>267</v>
      </c>
      <c r="D45" s="965" t="s">
        <v>260</v>
      </c>
      <c r="E45" s="967">
        <v>20165.3</v>
      </c>
      <c r="F45" s="963"/>
      <c r="G45" s="965" t="s">
        <v>3557</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3697</v>
      </c>
      <c r="B46" s="965" t="s">
        <v>3284</v>
      </c>
      <c r="C46" s="965" t="s">
        <v>3417</v>
      </c>
      <c r="D46" s="965" t="s">
        <v>3698</v>
      </c>
      <c r="E46" s="967">
        <v>15050</v>
      </c>
      <c r="F46" s="963"/>
      <c r="G46" s="965" t="s">
        <v>3699</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3558</v>
      </c>
      <c r="B47" s="965" t="s">
        <v>278</v>
      </c>
      <c r="C47" s="965" t="s">
        <v>267</v>
      </c>
      <c r="D47" s="965" t="s">
        <v>277</v>
      </c>
      <c r="E47" s="967">
        <v>21360.2</v>
      </c>
      <c r="F47" s="963"/>
      <c r="G47" s="965" t="s">
        <v>3559</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3560</v>
      </c>
      <c r="B48" s="965" t="s">
        <v>268</v>
      </c>
      <c r="C48" s="965" t="s">
        <v>267</v>
      </c>
      <c r="D48" s="965" t="s">
        <v>277</v>
      </c>
      <c r="E48" s="967">
        <v>25003.85</v>
      </c>
      <c r="F48" s="967">
        <v>-21330</v>
      </c>
      <c r="G48" s="965" t="s">
        <v>3561</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3562</v>
      </c>
      <c r="B49" s="965" t="s">
        <v>278</v>
      </c>
      <c r="C49" s="965" t="s">
        <v>267</v>
      </c>
      <c r="D49" s="965" t="s">
        <v>260</v>
      </c>
      <c r="E49" s="967">
        <v>24894.97</v>
      </c>
      <c r="F49" s="963"/>
      <c r="G49" s="965" t="s">
        <v>3563</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3564</v>
      </c>
      <c r="B50" s="965" t="s">
        <v>275</v>
      </c>
      <c r="C50" s="965" t="s">
        <v>267</v>
      </c>
      <c r="D50" s="965" t="s">
        <v>260</v>
      </c>
      <c r="E50" s="967">
        <v>27870.3</v>
      </c>
      <c r="F50" s="963"/>
      <c r="G50" s="965" t="s">
        <v>3565</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3566</v>
      </c>
      <c r="B51" s="965" t="s">
        <v>268</v>
      </c>
      <c r="C51" s="965" t="s">
        <v>267</v>
      </c>
      <c r="D51" s="965" t="s">
        <v>277</v>
      </c>
      <c r="E51" s="967">
        <v>24530.400000000001</v>
      </c>
      <c r="F51" s="963"/>
      <c r="G51" s="965" t="s">
        <v>3567</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3568</v>
      </c>
      <c r="B52" s="965" t="s">
        <v>3569</v>
      </c>
      <c r="C52" s="965" t="s">
        <v>267</v>
      </c>
      <c r="D52" s="965" t="s">
        <v>3570</v>
      </c>
      <c r="E52" s="967">
        <v>4314.03</v>
      </c>
      <c r="F52" s="963"/>
      <c r="G52" s="965" t="s">
        <v>3571</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3574</v>
      </c>
      <c r="B53" s="965" t="s">
        <v>268</v>
      </c>
      <c r="C53" s="965" t="s">
        <v>267</v>
      </c>
      <c r="D53" s="965" t="s">
        <v>277</v>
      </c>
      <c r="E53" s="967">
        <v>24447.5</v>
      </c>
      <c r="F53" s="963"/>
      <c r="G53" s="965" t="s">
        <v>3575</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3576</v>
      </c>
      <c r="B54" s="965" t="s">
        <v>275</v>
      </c>
      <c r="C54" s="965" t="s">
        <v>267</v>
      </c>
      <c r="D54" s="965" t="s">
        <v>273</v>
      </c>
      <c r="E54" s="967">
        <v>20373.45</v>
      </c>
      <c r="F54" s="967">
        <v>-12553.38</v>
      </c>
      <c r="G54" s="965" t="s">
        <v>3577</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3582</v>
      </c>
      <c r="B55" s="965" t="s">
        <v>268</v>
      </c>
      <c r="C55" s="965" t="s">
        <v>267</v>
      </c>
      <c r="D55" s="965" t="s">
        <v>279</v>
      </c>
      <c r="E55" s="967">
        <v>32388.2</v>
      </c>
      <c r="F55" s="963"/>
      <c r="G55" s="965" t="s">
        <v>3583</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3586</v>
      </c>
      <c r="B56" s="965" t="s">
        <v>278</v>
      </c>
      <c r="C56" s="965" t="s">
        <v>267</v>
      </c>
      <c r="D56" s="965" t="s">
        <v>3587</v>
      </c>
      <c r="E56" s="967">
        <v>23491.599999999999</v>
      </c>
      <c r="F56" s="963"/>
      <c r="G56" s="965" t="s">
        <v>3588</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3589</v>
      </c>
      <c r="B57" s="965" t="s">
        <v>268</v>
      </c>
      <c r="C57" s="965" t="s">
        <v>267</v>
      </c>
      <c r="D57" s="965" t="s">
        <v>260</v>
      </c>
      <c r="E57" s="967">
        <v>29343.25</v>
      </c>
      <c r="F57" s="963"/>
      <c r="G57" s="965" t="s">
        <v>3590</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3591</v>
      </c>
      <c r="B58" s="965" t="s">
        <v>278</v>
      </c>
      <c r="C58" s="965" t="s">
        <v>267</v>
      </c>
      <c r="D58" s="965" t="s">
        <v>260</v>
      </c>
      <c r="E58" s="967">
        <v>29950</v>
      </c>
      <c r="F58" s="963"/>
      <c r="G58" s="965" t="s">
        <v>3592</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3593</v>
      </c>
      <c r="B59" s="965" t="s">
        <v>275</v>
      </c>
      <c r="C59" s="965" t="s">
        <v>267</v>
      </c>
      <c r="D59" s="965" t="s">
        <v>260</v>
      </c>
      <c r="E59" s="967">
        <v>21448.99</v>
      </c>
      <c r="F59" s="967">
        <v>-18000</v>
      </c>
      <c r="G59" s="965" t="s">
        <v>3594</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3595</v>
      </c>
      <c r="B60" s="965" t="s">
        <v>275</v>
      </c>
      <c r="C60" s="965" t="s">
        <v>267</v>
      </c>
      <c r="D60" s="965" t="s">
        <v>3484</v>
      </c>
      <c r="E60" s="967">
        <v>23680.2</v>
      </c>
      <c r="F60" s="963"/>
      <c r="G60" s="965" t="s">
        <v>3596</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3597</v>
      </c>
      <c r="B61" s="965" t="s">
        <v>275</v>
      </c>
      <c r="C61" s="965" t="s">
        <v>267</v>
      </c>
      <c r="D61" s="965" t="s">
        <v>273</v>
      </c>
      <c r="E61" s="967">
        <v>19433.849999999999</v>
      </c>
      <c r="F61" s="963"/>
      <c r="G61" s="965" t="s">
        <v>3598</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3599</v>
      </c>
      <c r="B62" s="965" t="s">
        <v>275</v>
      </c>
      <c r="C62" s="965" t="s">
        <v>3378</v>
      </c>
      <c r="D62" s="965" t="s">
        <v>3472</v>
      </c>
      <c r="E62" s="967">
        <v>17516.849999999999</v>
      </c>
      <c r="F62" s="963"/>
      <c r="G62" s="965" t="s">
        <v>3600</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3580</v>
      </c>
      <c r="B63" s="965" t="s">
        <v>268</v>
      </c>
      <c r="C63" s="965" t="s">
        <v>267</v>
      </c>
      <c r="D63" s="965" t="s">
        <v>260</v>
      </c>
      <c r="E63" s="967">
        <v>28418.09</v>
      </c>
      <c r="F63" s="963"/>
      <c r="G63" s="965" t="s">
        <v>3581</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3584</v>
      </c>
      <c r="B64" s="965" t="s">
        <v>278</v>
      </c>
      <c r="C64" s="965" t="s">
        <v>267</v>
      </c>
      <c r="D64" s="965" t="s">
        <v>260</v>
      </c>
      <c r="E64" s="967">
        <v>26650</v>
      </c>
      <c r="F64" s="963"/>
      <c r="G64" s="965" t="s">
        <v>3585</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3700</v>
      </c>
      <c r="B65" s="965" t="s">
        <v>275</v>
      </c>
      <c r="C65" s="965" t="s">
        <v>267</v>
      </c>
      <c r="D65" s="965" t="s">
        <v>260</v>
      </c>
      <c r="E65" s="967">
        <v>22943.200000000001</v>
      </c>
      <c r="F65" s="967">
        <v>-14910</v>
      </c>
      <c r="G65" s="965" t="s">
        <v>3701</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3702</v>
      </c>
      <c r="B66" s="965" t="s">
        <v>3383</v>
      </c>
      <c r="C66" s="965" t="s">
        <v>267</v>
      </c>
      <c r="D66" s="965" t="s">
        <v>3517</v>
      </c>
      <c r="E66" s="967">
        <v>56282.9</v>
      </c>
      <c r="F66" s="967">
        <v>-53444.44</v>
      </c>
      <c r="G66" s="965" t="s">
        <v>3703</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3704</v>
      </c>
      <c r="B67" s="965" t="s">
        <v>264</v>
      </c>
      <c r="C67" s="965" t="s">
        <v>267</v>
      </c>
      <c r="D67" s="965" t="s">
        <v>260</v>
      </c>
      <c r="E67" s="967">
        <v>37343.25</v>
      </c>
      <c r="F67" s="967">
        <v>-31500</v>
      </c>
      <c r="G67" s="965" t="s">
        <v>3705</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3706</v>
      </c>
      <c r="B68" s="965" t="s">
        <v>268</v>
      </c>
      <c r="C68" s="965" t="s">
        <v>267</v>
      </c>
      <c r="D68" s="965" t="s">
        <v>260</v>
      </c>
      <c r="E68" s="967">
        <v>27555.439999999999</v>
      </c>
      <c r="F68" s="967">
        <v>-26142.19</v>
      </c>
      <c r="G68" s="965" t="s">
        <v>3707</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3572</v>
      </c>
      <c r="B69" s="965" t="s">
        <v>275</v>
      </c>
      <c r="C69" s="965" t="s">
        <v>267</v>
      </c>
      <c r="D69" s="965" t="s">
        <v>277</v>
      </c>
      <c r="E69" s="967">
        <v>15050</v>
      </c>
      <c r="F69" s="963"/>
      <c r="G69" s="965" t="s">
        <v>3573</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3708</v>
      </c>
      <c r="B70" s="965" t="s">
        <v>278</v>
      </c>
      <c r="C70" s="965" t="s">
        <v>267</v>
      </c>
      <c r="D70" s="965" t="s">
        <v>282</v>
      </c>
      <c r="E70" s="967">
        <v>24148.3</v>
      </c>
      <c r="F70" s="967">
        <v>-13011</v>
      </c>
      <c r="G70" s="965" t="s">
        <v>3709</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3710</v>
      </c>
      <c r="B71" s="965" t="s">
        <v>280</v>
      </c>
      <c r="C71" s="965" t="s">
        <v>267</v>
      </c>
      <c r="D71" s="965" t="s">
        <v>260</v>
      </c>
      <c r="E71" s="967">
        <v>17323.25</v>
      </c>
      <c r="F71" s="967">
        <v>-14400</v>
      </c>
      <c r="G71" s="965" t="s">
        <v>3711</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3712</v>
      </c>
      <c r="B72" s="965" t="s">
        <v>278</v>
      </c>
      <c r="C72" s="965" t="s">
        <v>267</v>
      </c>
      <c r="D72" s="965" t="s">
        <v>260</v>
      </c>
      <c r="E72" s="967">
        <v>24729.89</v>
      </c>
      <c r="F72" s="967">
        <v>-21121.07</v>
      </c>
      <c r="G72" s="965" t="s">
        <v>3713</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3714</v>
      </c>
      <c r="B73" s="965" t="s">
        <v>264</v>
      </c>
      <c r="C73" s="965" t="s">
        <v>3579</v>
      </c>
      <c r="D73" s="965" t="s">
        <v>3715</v>
      </c>
      <c r="E73" s="967">
        <v>39801.279999999999</v>
      </c>
      <c r="F73" s="963"/>
      <c r="G73" s="965" t="s">
        <v>3716</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3717</v>
      </c>
      <c r="B74" s="965" t="s">
        <v>278</v>
      </c>
      <c r="C74" s="965" t="s">
        <v>267</v>
      </c>
      <c r="D74" s="965" t="s">
        <v>260</v>
      </c>
      <c r="E74" s="967">
        <v>27897</v>
      </c>
      <c r="F74" s="967">
        <v>-21259.15</v>
      </c>
      <c r="G74" s="965" t="s">
        <v>3718</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3719</v>
      </c>
      <c r="B75" s="965" t="s">
        <v>268</v>
      </c>
      <c r="C75" s="965" t="s">
        <v>267</v>
      </c>
      <c r="D75" s="965" t="s">
        <v>260</v>
      </c>
      <c r="E75" s="967">
        <v>29849.7</v>
      </c>
      <c r="F75" s="967">
        <v>-25650</v>
      </c>
      <c r="G75" s="965" t="s">
        <v>3720</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3721</v>
      </c>
      <c r="B76" s="965" t="s">
        <v>268</v>
      </c>
      <c r="C76" s="965" t="s">
        <v>267</v>
      </c>
      <c r="D76" s="965" t="s">
        <v>277</v>
      </c>
      <c r="E76" s="967">
        <v>22734.85</v>
      </c>
      <c r="F76" s="963"/>
      <c r="G76" s="965" t="s">
        <v>3722</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3723</v>
      </c>
      <c r="B77" s="965" t="s">
        <v>278</v>
      </c>
      <c r="C77" s="965" t="s">
        <v>267</v>
      </c>
      <c r="D77" s="965" t="s">
        <v>260</v>
      </c>
      <c r="E77" s="967">
        <v>23937.85</v>
      </c>
      <c r="F77" s="963"/>
      <c r="G77" s="965" t="s">
        <v>3724</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3725</v>
      </c>
      <c r="B78" s="965" t="s">
        <v>278</v>
      </c>
      <c r="C78" s="965" t="s">
        <v>3726</v>
      </c>
      <c r="D78" s="965" t="s">
        <v>3727</v>
      </c>
      <c r="E78" s="967">
        <v>37860.379999999997</v>
      </c>
      <c r="F78" s="963"/>
      <c r="G78" s="965" t="s">
        <v>3728</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3729</v>
      </c>
      <c r="B79" s="965" t="s">
        <v>275</v>
      </c>
      <c r="C79" s="965" t="s">
        <v>267</v>
      </c>
      <c r="D79" s="965" t="s">
        <v>273</v>
      </c>
      <c r="E79" s="967">
        <v>17250</v>
      </c>
      <c r="F79" s="967">
        <v>-10994</v>
      </c>
      <c r="G79" s="965" t="s">
        <v>3730</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3731</v>
      </c>
      <c r="B80" s="965" t="s">
        <v>3284</v>
      </c>
      <c r="C80" s="965" t="s">
        <v>267</v>
      </c>
      <c r="D80" s="965" t="s">
        <v>265</v>
      </c>
      <c r="E80" s="967">
        <v>9050</v>
      </c>
      <c r="F80" s="963"/>
      <c r="G80" s="965" t="s">
        <v>3732</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3733</v>
      </c>
      <c r="B81" s="965" t="s">
        <v>3493</v>
      </c>
      <c r="C81" s="965" t="s">
        <v>3378</v>
      </c>
      <c r="D81" s="965" t="s">
        <v>3734</v>
      </c>
      <c r="E81" s="967">
        <v>10550</v>
      </c>
      <c r="F81" s="963"/>
      <c r="G81" s="965" t="s">
        <v>3735</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3736</v>
      </c>
      <c r="B82" s="965" t="s">
        <v>259</v>
      </c>
      <c r="C82" s="965" t="s">
        <v>267</v>
      </c>
      <c r="D82" s="965" t="s">
        <v>3517</v>
      </c>
      <c r="E82" s="967">
        <v>48197.8</v>
      </c>
      <c r="F82" s="967">
        <v>-42300</v>
      </c>
      <c r="G82" s="965" t="s">
        <v>3737</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3738</v>
      </c>
      <c r="B83" s="965" t="s">
        <v>275</v>
      </c>
      <c r="C83" s="965" t="s">
        <v>267</v>
      </c>
      <c r="D83" s="965" t="s">
        <v>277</v>
      </c>
      <c r="E83" s="967">
        <v>21402.85</v>
      </c>
      <c r="F83" s="963"/>
      <c r="G83" s="965" t="s">
        <v>3739</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3740</v>
      </c>
      <c r="B84" s="965" t="s">
        <v>275</v>
      </c>
      <c r="C84" s="965" t="s">
        <v>267</v>
      </c>
      <c r="D84" s="965" t="s">
        <v>273</v>
      </c>
      <c r="E84" s="967">
        <v>18179.95</v>
      </c>
      <c r="F84" s="963"/>
      <c r="G84" s="965" t="s">
        <v>3741</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3742</v>
      </c>
      <c r="B85" s="965" t="s">
        <v>3416</v>
      </c>
      <c r="C85" s="965" t="s">
        <v>3743</v>
      </c>
      <c r="D85" s="965" t="s">
        <v>3744</v>
      </c>
      <c r="E85" s="967">
        <v>22550</v>
      </c>
      <c r="F85" s="963"/>
      <c r="G85" s="965" t="s">
        <v>3745</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3746</v>
      </c>
      <c r="B86" s="965" t="s">
        <v>3387</v>
      </c>
      <c r="C86" s="965" t="s">
        <v>3376</v>
      </c>
      <c r="D86" s="965" t="s">
        <v>3747</v>
      </c>
      <c r="E86" s="967">
        <v>5450</v>
      </c>
      <c r="F86" s="963"/>
      <c r="G86" s="965" t="s">
        <v>3748</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3749</v>
      </c>
      <c r="B87" s="965" t="s">
        <v>275</v>
      </c>
      <c r="C87" s="965" t="s">
        <v>267</v>
      </c>
      <c r="D87" s="965" t="s">
        <v>260</v>
      </c>
      <c r="E87" s="967">
        <v>20650</v>
      </c>
      <c r="F87" s="963"/>
      <c r="G87" s="965" t="s">
        <v>3750</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3751</v>
      </c>
      <c r="B88" s="965" t="s">
        <v>3284</v>
      </c>
      <c r="C88" s="965" t="s">
        <v>267</v>
      </c>
      <c r="D88" s="965" t="s">
        <v>260</v>
      </c>
      <c r="E88" s="967">
        <v>8550</v>
      </c>
      <c r="F88" s="963"/>
      <c r="G88" s="965" t="s">
        <v>3752</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3753</v>
      </c>
      <c r="B89" s="965" t="s">
        <v>278</v>
      </c>
      <c r="C89" s="965" t="s">
        <v>267</v>
      </c>
      <c r="D89" s="965" t="s">
        <v>260</v>
      </c>
      <c r="E89" s="967">
        <v>25550</v>
      </c>
      <c r="F89" s="963"/>
      <c r="G89" s="965" t="s">
        <v>3754</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3755</v>
      </c>
      <c r="B90" s="965" t="s">
        <v>278</v>
      </c>
      <c r="C90" s="965" t="s">
        <v>3377</v>
      </c>
      <c r="D90" s="965" t="s">
        <v>3756</v>
      </c>
      <c r="E90" s="967">
        <v>28550</v>
      </c>
      <c r="F90" s="963"/>
      <c r="G90" s="965" t="s">
        <v>3757</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3758</v>
      </c>
      <c r="B91" s="965" t="s">
        <v>275</v>
      </c>
      <c r="C91" s="965" t="s">
        <v>267</v>
      </c>
      <c r="D91" s="965" t="s">
        <v>273</v>
      </c>
      <c r="E91" s="967">
        <v>17050</v>
      </c>
      <c r="F91" s="963"/>
      <c r="G91" s="965" t="s">
        <v>3759</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3760</v>
      </c>
      <c r="B92" s="965" t="s">
        <v>259</v>
      </c>
      <c r="C92" s="965" t="s">
        <v>267</v>
      </c>
      <c r="D92" s="965" t="s">
        <v>260</v>
      </c>
      <c r="E92" s="967">
        <v>31300</v>
      </c>
      <c r="F92" s="963"/>
      <c r="G92" s="965" t="s">
        <v>3761</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3762</v>
      </c>
      <c r="B93" s="965" t="s">
        <v>264</v>
      </c>
      <c r="C93" s="965" t="s">
        <v>267</v>
      </c>
      <c r="D93" s="965" t="s">
        <v>262</v>
      </c>
      <c r="E93" s="967">
        <v>47388.75</v>
      </c>
      <c r="F93" s="963"/>
      <c r="G93" s="965" t="s">
        <v>3763</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3764</v>
      </c>
      <c r="B94" s="965" t="s">
        <v>268</v>
      </c>
      <c r="C94" s="965" t="s">
        <v>267</v>
      </c>
      <c r="D94" s="965" t="s">
        <v>277</v>
      </c>
      <c r="E94" s="967">
        <v>24050</v>
      </c>
      <c r="F94" s="963"/>
      <c r="G94" s="965" t="s">
        <v>3765</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3766</v>
      </c>
      <c r="B95" s="965" t="s">
        <v>278</v>
      </c>
      <c r="C95" s="965" t="s">
        <v>267</v>
      </c>
      <c r="D95" s="965" t="s">
        <v>260</v>
      </c>
      <c r="E95" s="967">
        <v>29837.9</v>
      </c>
      <c r="F95" s="963"/>
      <c r="G95" s="965" t="s">
        <v>3767</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3768</v>
      </c>
      <c r="B96" s="965" t="s">
        <v>278</v>
      </c>
      <c r="C96" s="965" t="s">
        <v>267</v>
      </c>
      <c r="D96" s="965" t="s">
        <v>277</v>
      </c>
      <c r="E96" s="967">
        <v>18250</v>
      </c>
      <c r="F96" s="963"/>
      <c r="G96" s="965" t="s">
        <v>3769</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3770</v>
      </c>
      <c r="B97" s="965" t="s">
        <v>268</v>
      </c>
      <c r="C97" s="965" t="s">
        <v>267</v>
      </c>
      <c r="D97" s="965" t="s">
        <v>260</v>
      </c>
      <c r="E97" s="967">
        <v>24300</v>
      </c>
      <c r="F97" s="963"/>
      <c r="G97" s="965" t="s">
        <v>3771</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3772</v>
      </c>
      <c r="B98" s="965" t="s">
        <v>278</v>
      </c>
      <c r="C98" s="965" t="s">
        <v>267</v>
      </c>
      <c r="D98" s="965" t="s">
        <v>277</v>
      </c>
      <c r="E98" s="967">
        <v>16550</v>
      </c>
      <c r="F98" s="963"/>
      <c r="G98" s="965" t="s">
        <v>3773</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3774</v>
      </c>
      <c r="B99" s="965" t="s">
        <v>278</v>
      </c>
      <c r="C99" s="965" t="s">
        <v>3295</v>
      </c>
      <c r="D99" s="965" t="s">
        <v>3775</v>
      </c>
      <c r="E99" s="967">
        <v>53050</v>
      </c>
      <c r="F99" s="963"/>
      <c r="G99" s="965" t="s">
        <v>3776</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3777</v>
      </c>
      <c r="B100" s="965" t="s">
        <v>280</v>
      </c>
      <c r="C100" s="965" t="s">
        <v>3778</v>
      </c>
      <c r="D100" s="965" t="s">
        <v>3779</v>
      </c>
      <c r="E100" s="967">
        <v>10300</v>
      </c>
      <c r="F100" s="963"/>
      <c r="G100" s="965" t="s">
        <v>3780</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3781</v>
      </c>
      <c r="B101" s="965" t="s">
        <v>3578</v>
      </c>
      <c r="C101" s="965" t="s">
        <v>267</v>
      </c>
      <c r="D101" s="965" t="s">
        <v>3587</v>
      </c>
      <c r="E101" s="967">
        <v>2550</v>
      </c>
      <c r="F101" s="963"/>
      <c r="G101" s="965" t="s">
        <v>3782</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3783</v>
      </c>
      <c r="B102" s="965" t="s">
        <v>3578</v>
      </c>
      <c r="C102" s="965" t="s">
        <v>3409</v>
      </c>
      <c r="D102" s="965" t="s">
        <v>3784</v>
      </c>
      <c r="E102" s="967">
        <v>2300</v>
      </c>
      <c r="F102" s="963"/>
      <c r="G102" s="965" t="s">
        <v>3785</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3786</v>
      </c>
      <c r="B103" s="965" t="s">
        <v>264</v>
      </c>
      <c r="C103" s="965" t="s">
        <v>267</v>
      </c>
      <c r="D103" s="965" t="s">
        <v>260</v>
      </c>
      <c r="E103" s="967">
        <v>36050</v>
      </c>
      <c r="F103" s="963"/>
      <c r="G103" s="965" t="s">
        <v>3787</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3788</v>
      </c>
      <c r="B104" s="965" t="s">
        <v>259</v>
      </c>
      <c r="C104" s="965" t="s">
        <v>267</v>
      </c>
      <c r="D104" s="965" t="s">
        <v>260</v>
      </c>
      <c r="E104" s="967">
        <v>33550</v>
      </c>
      <c r="F104" s="963"/>
      <c r="G104" s="965" t="s">
        <v>3789</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3790</v>
      </c>
      <c r="B105" s="965" t="s">
        <v>259</v>
      </c>
      <c r="C105" s="965" t="s">
        <v>3487</v>
      </c>
      <c r="D105" s="965" t="s">
        <v>3791</v>
      </c>
      <c r="E105" s="967">
        <v>20750</v>
      </c>
      <c r="F105" s="963"/>
      <c r="G105" s="965" t="s">
        <v>3792</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3793</v>
      </c>
      <c r="B106" s="965" t="s">
        <v>268</v>
      </c>
      <c r="C106" s="965" t="s">
        <v>267</v>
      </c>
      <c r="D106" s="965" t="s">
        <v>260</v>
      </c>
      <c r="E106" s="967">
        <v>26050</v>
      </c>
      <c r="F106" s="963"/>
      <c r="G106" s="965" t="s">
        <v>3794</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3795</v>
      </c>
      <c r="B107" s="965" t="s">
        <v>268</v>
      </c>
      <c r="C107" s="965" t="s">
        <v>3487</v>
      </c>
      <c r="D107" s="965" t="s">
        <v>3488</v>
      </c>
      <c r="E107" s="967">
        <v>29050</v>
      </c>
      <c r="F107" s="963"/>
      <c r="G107" s="965" t="s">
        <v>3796</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3797</v>
      </c>
      <c r="B108" s="965" t="s">
        <v>275</v>
      </c>
      <c r="C108" s="965" t="s">
        <v>3413</v>
      </c>
      <c r="D108" s="965" t="s">
        <v>3798</v>
      </c>
      <c r="E108" s="967">
        <v>35550</v>
      </c>
      <c r="F108" s="963"/>
      <c r="G108" s="965" t="s">
        <v>3799</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3800</v>
      </c>
      <c r="B109" s="965" t="s">
        <v>3284</v>
      </c>
      <c r="C109" s="965" t="s">
        <v>267</v>
      </c>
      <c r="D109" s="965" t="s">
        <v>265</v>
      </c>
      <c r="E109" s="967">
        <v>4050</v>
      </c>
      <c r="F109" s="963"/>
      <c r="G109" s="965" t="s">
        <v>3801</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3353</v>
      </c>
      <c r="B113" s="947" t="s">
        <v>275</v>
      </c>
      <c r="C113" s="947" t="s">
        <v>3354</v>
      </c>
      <c r="D113" s="947" t="s">
        <v>3601</v>
      </c>
      <c r="E113" s="945">
        <v>36739.79</v>
      </c>
      <c r="F113" s="944"/>
      <c r="G113" s="947" t="s">
        <v>3355</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3388</v>
      </c>
      <c r="B114" s="947" t="s">
        <v>3387</v>
      </c>
      <c r="C114" s="947" t="s">
        <v>267</v>
      </c>
      <c r="D114" s="947" t="s">
        <v>1356</v>
      </c>
      <c r="E114" s="945">
        <v>11948.62</v>
      </c>
      <c r="F114" s="944"/>
      <c r="G114" s="947" t="s">
        <v>3389</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786</v>
      </c>
      <c r="F1" s="957" t="s">
        <v>848</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3381</v>
      </c>
      <c r="B2" s="956" t="s">
        <v>264</v>
      </c>
      <c r="C2" s="956" t="s">
        <v>267</v>
      </c>
      <c r="D2" s="956" t="s">
        <v>265</v>
      </c>
      <c r="E2" s="958">
        <v>33666.97</v>
      </c>
      <c r="F2" s="958">
        <v>-31504.85</v>
      </c>
      <c r="G2" s="956" t="s">
        <v>3382</v>
      </c>
      <c r="H2" s="953">
        <v>142</v>
      </c>
      <c r="I2" s="138"/>
      <c r="J2" s="138"/>
      <c r="K2" s="140" t="s">
        <v>261</v>
      </c>
      <c r="L2" s="904">
        <f>+SUM(E2:E9963)</f>
        <v>3059537.15</v>
      </c>
      <c r="M2" s="905">
        <f>+SUM(F2:F9963)</f>
        <v>-2668371.9500000002</v>
      </c>
      <c r="N2" s="138"/>
      <c r="O2" s="138"/>
      <c r="P2" s="138"/>
      <c r="Q2" s="138"/>
      <c r="R2" s="138"/>
      <c r="S2" s="138"/>
      <c r="T2" s="138"/>
      <c r="U2" s="138"/>
      <c r="V2" s="138"/>
      <c r="W2" s="138"/>
      <c r="X2" s="138"/>
      <c r="Y2" s="138"/>
      <c r="Z2" s="138"/>
    </row>
    <row r="3" spans="1:26" ht="14.25" customHeight="1">
      <c r="A3" s="956" t="s">
        <v>3379</v>
      </c>
      <c r="B3" s="956" t="s">
        <v>3383</v>
      </c>
      <c r="C3" s="956" t="s">
        <v>267</v>
      </c>
      <c r="D3" s="956" t="s">
        <v>262</v>
      </c>
      <c r="E3" s="958">
        <v>56706.1</v>
      </c>
      <c r="F3" s="958">
        <v>-57628.2</v>
      </c>
      <c r="G3" s="956" t="s">
        <v>3380</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3400</v>
      </c>
      <c r="B4" s="956" t="s">
        <v>264</v>
      </c>
      <c r="C4" s="956" t="s">
        <v>267</v>
      </c>
      <c r="D4" s="956" t="s">
        <v>265</v>
      </c>
      <c r="E4" s="958">
        <v>31163.98</v>
      </c>
      <c r="F4" s="958">
        <v>-32628.75</v>
      </c>
      <c r="G4" s="956" t="s">
        <v>3401</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3398</v>
      </c>
      <c r="B5" s="956" t="s">
        <v>264</v>
      </c>
      <c r="C5" s="956" t="s">
        <v>267</v>
      </c>
      <c r="D5" s="956" t="s">
        <v>921</v>
      </c>
      <c r="E5" s="958">
        <v>38081.07</v>
      </c>
      <c r="F5" s="958">
        <v>-39936.75</v>
      </c>
      <c r="G5" s="956" t="s">
        <v>3399</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3394</v>
      </c>
      <c r="B6" s="956" t="s">
        <v>3383</v>
      </c>
      <c r="C6" s="956" t="s">
        <v>267</v>
      </c>
      <c r="D6" s="956" t="s">
        <v>262</v>
      </c>
      <c r="E6" s="958">
        <v>50511.98</v>
      </c>
      <c r="F6" s="958">
        <v>-51427.95</v>
      </c>
      <c r="G6" s="956" t="s">
        <v>3395</v>
      </c>
      <c r="H6" s="953">
        <v>108</v>
      </c>
      <c r="I6" s="138"/>
      <c r="J6" s="138"/>
      <c r="K6" s="139" t="s">
        <v>3263</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3392</v>
      </c>
      <c r="B7" s="956" t="s">
        <v>3383</v>
      </c>
      <c r="C7" s="956" t="s">
        <v>267</v>
      </c>
      <c r="D7" s="956" t="s">
        <v>3402</v>
      </c>
      <c r="E7" s="958">
        <v>54659.17</v>
      </c>
      <c r="F7" s="958">
        <v>-57051.75</v>
      </c>
      <c r="G7" s="956" t="s">
        <v>3393</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3396</v>
      </c>
      <c r="B8" s="956" t="s">
        <v>3383</v>
      </c>
      <c r="C8" s="956" t="s">
        <v>267</v>
      </c>
      <c r="D8" s="956" t="s">
        <v>3402</v>
      </c>
      <c r="E8" s="958">
        <v>48328.17</v>
      </c>
      <c r="F8" s="958">
        <v>-51136.05</v>
      </c>
      <c r="G8" s="956" t="s">
        <v>3397</v>
      </c>
      <c r="H8" s="953">
        <v>97</v>
      </c>
      <c r="I8" s="138"/>
      <c r="J8" s="138"/>
      <c r="K8" s="138"/>
      <c r="L8" s="4"/>
      <c r="M8" s="144"/>
      <c r="N8" s="138"/>
      <c r="O8" s="138"/>
      <c r="P8" s="138"/>
      <c r="Q8" s="138"/>
      <c r="R8" s="138"/>
      <c r="S8" s="138"/>
      <c r="T8" s="138"/>
      <c r="U8" s="138"/>
      <c r="V8" s="138"/>
      <c r="W8" s="138"/>
      <c r="X8" s="138"/>
      <c r="Y8" s="138"/>
      <c r="Z8" s="138"/>
    </row>
    <row r="9" spans="1:26" ht="14.25" customHeight="1">
      <c r="A9" s="956" t="s">
        <v>3390</v>
      </c>
      <c r="B9" s="956" t="s">
        <v>3383</v>
      </c>
      <c r="C9" s="956" t="s">
        <v>267</v>
      </c>
      <c r="D9" s="956" t="s">
        <v>3402</v>
      </c>
      <c r="E9" s="958">
        <v>57229.1</v>
      </c>
      <c r="F9" s="954"/>
      <c r="G9" s="956" t="s">
        <v>3391</v>
      </c>
      <c r="H9" s="953">
        <v>93</v>
      </c>
      <c r="I9" s="138"/>
      <c r="J9" s="138"/>
      <c r="K9" s="139" t="s">
        <v>3287</v>
      </c>
      <c r="L9" s="903">
        <v>0</v>
      </c>
      <c r="M9" s="903">
        <v>0</v>
      </c>
      <c r="N9" s="138"/>
      <c r="O9" s="138"/>
      <c r="P9" s="138"/>
      <c r="Q9" s="138"/>
      <c r="R9" s="138"/>
      <c r="S9" s="138"/>
      <c r="T9" s="138"/>
      <c r="U9" s="138"/>
      <c r="V9" s="138"/>
      <c r="W9" s="138"/>
      <c r="X9" s="138"/>
      <c r="Y9" s="138"/>
      <c r="Z9" s="138"/>
    </row>
    <row r="10" spans="1:26" ht="14.25" customHeight="1">
      <c r="A10" s="956" t="s">
        <v>3425</v>
      </c>
      <c r="B10" s="956" t="s">
        <v>3383</v>
      </c>
      <c r="C10" s="956" t="s">
        <v>267</v>
      </c>
      <c r="D10" s="956" t="s">
        <v>262</v>
      </c>
      <c r="E10" s="958">
        <v>58141.01</v>
      </c>
      <c r="F10" s="954"/>
      <c r="G10" s="956" t="s">
        <v>3426</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3429</v>
      </c>
      <c r="B11" s="956" t="s">
        <v>3383</v>
      </c>
      <c r="C11" s="956" t="s">
        <v>267</v>
      </c>
      <c r="D11" s="956" t="s">
        <v>262</v>
      </c>
      <c r="E11" s="958">
        <v>48171.23</v>
      </c>
      <c r="F11" s="954"/>
      <c r="G11" s="956" t="s">
        <v>3430</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3439</v>
      </c>
      <c r="B12" s="956" t="s">
        <v>3383</v>
      </c>
      <c r="C12" s="956" t="s">
        <v>267</v>
      </c>
      <c r="D12" s="956" t="s">
        <v>3402</v>
      </c>
      <c r="E12" s="958">
        <v>56292.01</v>
      </c>
      <c r="F12" s="958">
        <v>-57051.75</v>
      </c>
      <c r="G12" s="956" t="s">
        <v>3440</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3427</v>
      </c>
      <c r="B13" s="956" t="s">
        <v>3383</v>
      </c>
      <c r="C13" s="956" t="s">
        <v>267</v>
      </c>
      <c r="D13" s="956" t="s">
        <v>262</v>
      </c>
      <c r="E13" s="958">
        <v>56073.919999999998</v>
      </c>
      <c r="F13" s="958">
        <v>-58869.3</v>
      </c>
      <c r="G13" s="956" t="s">
        <v>3428</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3443</v>
      </c>
      <c r="B14" s="956" t="s">
        <v>3383</v>
      </c>
      <c r="C14" s="956" t="s">
        <v>267</v>
      </c>
      <c r="D14" s="956" t="s">
        <v>279</v>
      </c>
      <c r="E14" s="958">
        <v>37397</v>
      </c>
      <c r="F14" s="958">
        <v>-39440.1</v>
      </c>
      <c r="G14" s="956" t="s">
        <v>3444</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3431</v>
      </c>
      <c r="B15" s="956" t="s">
        <v>3383</v>
      </c>
      <c r="C15" s="956" t="s">
        <v>267</v>
      </c>
      <c r="D15" s="956" t="s">
        <v>3402</v>
      </c>
      <c r="E15" s="958">
        <v>56197.99</v>
      </c>
      <c r="F15" s="958">
        <v>-58834.65</v>
      </c>
      <c r="G15" s="956" t="s">
        <v>3432</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3421</v>
      </c>
      <c r="B16" s="956" t="s">
        <v>264</v>
      </c>
      <c r="C16" s="956" t="s">
        <v>267</v>
      </c>
      <c r="D16" s="956" t="s">
        <v>921</v>
      </c>
      <c r="E16" s="958">
        <v>32135.51</v>
      </c>
      <c r="F16" s="958">
        <v>-34034.699999999997</v>
      </c>
      <c r="G16" s="956" t="s">
        <v>3422</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3433</v>
      </c>
      <c r="B17" s="956" t="s">
        <v>3383</v>
      </c>
      <c r="C17" s="956" t="s">
        <v>267</v>
      </c>
      <c r="D17" s="956" t="s">
        <v>3402</v>
      </c>
      <c r="E17" s="958">
        <v>55950.97</v>
      </c>
      <c r="F17" s="958">
        <v>-58834.65</v>
      </c>
      <c r="G17" s="956" t="s">
        <v>3434</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3435</v>
      </c>
      <c r="B18" s="956" t="s">
        <v>3383</v>
      </c>
      <c r="C18" s="956" t="s">
        <v>267</v>
      </c>
      <c r="D18" s="956" t="s">
        <v>3402</v>
      </c>
      <c r="E18" s="958">
        <v>55950.97</v>
      </c>
      <c r="F18" s="958">
        <v>-58834.65</v>
      </c>
      <c r="G18" s="956" t="s">
        <v>3436</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3453</v>
      </c>
      <c r="B19" s="956" t="s">
        <v>3383</v>
      </c>
      <c r="C19" s="956" t="s">
        <v>267</v>
      </c>
      <c r="D19" s="956" t="s">
        <v>265</v>
      </c>
      <c r="E19" s="958">
        <v>26927</v>
      </c>
      <c r="F19" s="958">
        <v>-28367.85</v>
      </c>
      <c r="G19" s="956" t="s">
        <v>3454</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3419</v>
      </c>
      <c r="B20" s="956" t="s">
        <v>264</v>
      </c>
      <c r="C20" s="956" t="s">
        <v>267</v>
      </c>
      <c r="D20" s="956" t="s">
        <v>921</v>
      </c>
      <c r="E20" s="958">
        <v>37610</v>
      </c>
      <c r="F20" s="958">
        <v>-39461.1</v>
      </c>
      <c r="G20" s="956" t="s">
        <v>3420</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3437</v>
      </c>
      <c r="B21" s="956" t="s">
        <v>3383</v>
      </c>
      <c r="C21" s="956" t="s">
        <v>267</v>
      </c>
      <c r="D21" s="956" t="s">
        <v>3402</v>
      </c>
      <c r="E21" s="958">
        <v>55950.97</v>
      </c>
      <c r="F21" s="958">
        <v>-58834.65</v>
      </c>
      <c r="G21" s="956" t="s">
        <v>3438</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3451</v>
      </c>
      <c r="B22" s="956" t="s">
        <v>3383</v>
      </c>
      <c r="C22" s="956" t="s">
        <v>267</v>
      </c>
      <c r="D22" s="956" t="s">
        <v>265</v>
      </c>
      <c r="E22" s="958">
        <v>29531</v>
      </c>
      <c r="F22" s="958">
        <v>-31102.05</v>
      </c>
      <c r="G22" s="956" t="s">
        <v>3452</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3441</v>
      </c>
      <c r="B23" s="956" t="s">
        <v>3383</v>
      </c>
      <c r="C23" s="956" t="s">
        <v>267</v>
      </c>
      <c r="D23" s="956" t="s">
        <v>3402</v>
      </c>
      <c r="E23" s="958">
        <v>54250</v>
      </c>
      <c r="F23" s="958">
        <v>-57051.75</v>
      </c>
      <c r="G23" s="956" t="s">
        <v>3442</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3445</v>
      </c>
      <c r="B24" s="956" t="s">
        <v>3383</v>
      </c>
      <c r="C24" s="956" t="s">
        <v>267</v>
      </c>
      <c r="D24" s="956" t="s">
        <v>279</v>
      </c>
      <c r="E24" s="958">
        <v>37506.9</v>
      </c>
      <c r="F24" s="958">
        <v>-39440.1</v>
      </c>
      <c r="G24" s="956" t="s">
        <v>3446</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3447</v>
      </c>
      <c r="B25" s="956" t="s">
        <v>3383</v>
      </c>
      <c r="C25" s="956" t="s">
        <v>267</v>
      </c>
      <c r="D25" s="956" t="s">
        <v>3384</v>
      </c>
      <c r="E25" s="958">
        <v>32637</v>
      </c>
      <c r="F25" s="958">
        <v>-34363.35</v>
      </c>
      <c r="G25" s="956" t="s">
        <v>3448</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3423</v>
      </c>
      <c r="B26" s="956" t="s">
        <v>264</v>
      </c>
      <c r="C26" s="956" t="s">
        <v>267</v>
      </c>
      <c r="D26" s="956" t="s">
        <v>921</v>
      </c>
      <c r="E26" s="958">
        <v>28066.02</v>
      </c>
      <c r="F26" s="958">
        <v>-28951.65</v>
      </c>
      <c r="G26" s="956" t="s">
        <v>3424</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3449</v>
      </c>
      <c r="B27" s="956" t="s">
        <v>3383</v>
      </c>
      <c r="C27" s="956" t="s">
        <v>267</v>
      </c>
      <c r="D27" s="956" t="s">
        <v>265</v>
      </c>
      <c r="E27" s="958">
        <v>32017.87</v>
      </c>
      <c r="F27" s="958">
        <v>-33204.15</v>
      </c>
      <c r="G27" s="956" t="s">
        <v>3450</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3500</v>
      </c>
      <c r="B28" s="956" t="s">
        <v>3383</v>
      </c>
      <c r="C28" s="956" t="s">
        <v>267</v>
      </c>
      <c r="D28" s="956" t="s">
        <v>3384</v>
      </c>
      <c r="E28" s="958">
        <v>31816.52</v>
      </c>
      <c r="F28" s="954"/>
      <c r="G28" s="956" t="s">
        <v>3507</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3631</v>
      </c>
      <c r="B29" s="956" t="s">
        <v>3383</v>
      </c>
      <c r="C29" s="956" t="s">
        <v>267</v>
      </c>
      <c r="D29" s="956" t="s">
        <v>3384</v>
      </c>
      <c r="E29" s="958">
        <v>31513</v>
      </c>
      <c r="F29" s="954"/>
      <c r="G29" s="956" t="s">
        <v>3632</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3504</v>
      </c>
      <c r="B30" s="956" t="s">
        <v>3383</v>
      </c>
      <c r="C30" s="956" t="s">
        <v>267</v>
      </c>
      <c r="D30" s="956" t="s">
        <v>262</v>
      </c>
      <c r="E30" s="958">
        <v>48894</v>
      </c>
      <c r="F30" s="958">
        <v>-51427.95</v>
      </c>
      <c r="G30" s="956" t="s">
        <v>3510</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3519</v>
      </c>
      <c r="B31" s="956" t="s">
        <v>3383</v>
      </c>
      <c r="C31" s="956" t="s">
        <v>267</v>
      </c>
      <c r="D31" s="956" t="s">
        <v>3402</v>
      </c>
      <c r="E31" s="958">
        <v>55948</v>
      </c>
      <c r="F31" s="958">
        <v>-58834.65</v>
      </c>
      <c r="G31" s="956" t="s">
        <v>3509</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3633</v>
      </c>
      <c r="B32" s="956" t="s">
        <v>3383</v>
      </c>
      <c r="C32" s="956" t="s">
        <v>267</v>
      </c>
      <c r="D32" s="956" t="s">
        <v>3402</v>
      </c>
      <c r="E32" s="958">
        <v>54236.5</v>
      </c>
      <c r="F32" s="954"/>
      <c r="G32" s="956" t="s">
        <v>3634</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3523</v>
      </c>
      <c r="B33" s="956" t="s">
        <v>3383</v>
      </c>
      <c r="C33" s="956" t="s">
        <v>267</v>
      </c>
      <c r="D33" s="956" t="s">
        <v>921</v>
      </c>
      <c r="E33" s="958">
        <v>32864</v>
      </c>
      <c r="F33" s="958">
        <v>-34706.699999999997</v>
      </c>
      <c r="G33" s="956" t="s">
        <v>3508</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3511</v>
      </c>
      <c r="B34" s="956" t="s">
        <v>3383</v>
      </c>
      <c r="C34" s="956" t="s">
        <v>267</v>
      </c>
      <c r="D34" s="956" t="s">
        <v>262</v>
      </c>
      <c r="E34" s="958">
        <v>55259.97</v>
      </c>
      <c r="F34" s="958">
        <v>-58109.1</v>
      </c>
      <c r="G34" s="956" t="s">
        <v>3512</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3503</v>
      </c>
      <c r="B35" s="956" t="s">
        <v>3383</v>
      </c>
      <c r="C35" s="956" t="s">
        <v>267</v>
      </c>
      <c r="D35" s="956" t="s">
        <v>3402</v>
      </c>
      <c r="E35" s="958">
        <v>53794.97</v>
      </c>
      <c r="F35" s="958">
        <v>-56570.85</v>
      </c>
      <c r="G35" s="956" t="s">
        <v>3513</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3506</v>
      </c>
      <c r="B36" s="956" t="s">
        <v>3383</v>
      </c>
      <c r="C36" s="956" t="s">
        <v>267</v>
      </c>
      <c r="D36" s="956" t="s">
        <v>265</v>
      </c>
      <c r="E36" s="958">
        <v>28629</v>
      </c>
      <c r="F36" s="954"/>
      <c r="G36" s="956" t="s">
        <v>3515</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3502</v>
      </c>
      <c r="B37" s="956" t="s">
        <v>3383</v>
      </c>
      <c r="C37" s="956" t="s">
        <v>267</v>
      </c>
      <c r="D37" s="956" t="s">
        <v>262</v>
      </c>
      <c r="E37" s="958">
        <v>54801.97</v>
      </c>
      <c r="F37" s="958">
        <v>-57628.2</v>
      </c>
      <c r="G37" s="956" t="s">
        <v>3518</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3516</v>
      </c>
      <c r="B38" s="956" t="s">
        <v>3383</v>
      </c>
      <c r="C38" s="956" t="s">
        <v>267</v>
      </c>
      <c r="D38" s="956" t="s">
        <v>262</v>
      </c>
      <c r="E38" s="958">
        <v>58249.97</v>
      </c>
      <c r="F38" s="954"/>
      <c r="G38" s="956" t="s">
        <v>3520</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3499</v>
      </c>
      <c r="B39" s="956" t="s">
        <v>3383</v>
      </c>
      <c r="C39" s="956" t="s">
        <v>267</v>
      </c>
      <c r="D39" s="956" t="s">
        <v>260</v>
      </c>
      <c r="E39" s="958">
        <v>45175.95</v>
      </c>
      <c r="F39" s="958">
        <v>-47526.15</v>
      </c>
      <c r="G39" s="956" t="s">
        <v>3521</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3501</v>
      </c>
      <c r="B40" s="956" t="s">
        <v>3383</v>
      </c>
      <c r="C40" s="956" t="s">
        <v>267</v>
      </c>
      <c r="D40" s="956" t="s">
        <v>260</v>
      </c>
      <c r="E40" s="958">
        <v>44101</v>
      </c>
      <c r="F40" s="958">
        <v>-46474.05</v>
      </c>
      <c r="G40" s="956" t="s">
        <v>3522</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3514</v>
      </c>
      <c r="B41" s="956" t="s">
        <v>3383</v>
      </c>
      <c r="C41" s="956" t="s">
        <v>267</v>
      </c>
      <c r="D41" s="956" t="s">
        <v>262</v>
      </c>
      <c r="E41" s="958">
        <v>54806.97</v>
      </c>
      <c r="F41" s="958">
        <v>-57628.2</v>
      </c>
      <c r="G41" s="956" t="s">
        <v>3525</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3505</v>
      </c>
      <c r="B42" s="956" t="s">
        <v>3383</v>
      </c>
      <c r="C42" s="956" t="s">
        <v>267</v>
      </c>
      <c r="D42" s="956" t="s">
        <v>921</v>
      </c>
      <c r="E42" s="958">
        <v>38195</v>
      </c>
      <c r="F42" s="958">
        <v>-40225.5</v>
      </c>
      <c r="G42" s="956" t="s">
        <v>3524</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3635</v>
      </c>
      <c r="B43" s="956" t="s">
        <v>3383</v>
      </c>
      <c r="C43" s="956" t="s">
        <v>267</v>
      </c>
      <c r="D43" s="956" t="s">
        <v>3402</v>
      </c>
      <c r="E43" s="958">
        <v>56348.1</v>
      </c>
      <c r="F43" s="958">
        <v>-58834.65</v>
      </c>
      <c r="G43" s="956" t="s">
        <v>3636</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3637</v>
      </c>
      <c r="B44" s="956" t="s">
        <v>3383</v>
      </c>
      <c r="C44" s="956" t="s">
        <v>267</v>
      </c>
      <c r="D44" s="956" t="s">
        <v>260</v>
      </c>
      <c r="E44" s="958">
        <v>45762.95</v>
      </c>
      <c r="F44" s="954"/>
      <c r="G44" s="956" t="s">
        <v>3638</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3639</v>
      </c>
      <c r="B45" s="956" t="s">
        <v>3383</v>
      </c>
      <c r="C45" s="956" t="s">
        <v>267</v>
      </c>
      <c r="D45" s="956" t="s">
        <v>921</v>
      </c>
      <c r="E45" s="958">
        <v>37908</v>
      </c>
      <c r="F45" s="958">
        <v>-39749.85</v>
      </c>
      <c r="G45" s="956" t="s">
        <v>3640</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3641</v>
      </c>
      <c r="B46" s="956" t="s">
        <v>3383</v>
      </c>
      <c r="C46" s="956" t="s">
        <v>267</v>
      </c>
      <c r="D46" s="956" t="s">
        <v>921</v>
      </c>
      <c r="E46" s="958">
        <v>32705</v>
      </c>
      <c r="F46" s="958">
        <v>-34423.199999999997</v>
      </c>
      <c r="G46" s="956" t="s">
        <v>3642</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3643</v>
      </c>
      <c r="B47" s="956" t="s">
        <v>3383</v>
      </c>
      <c r="C47" s="956" t="s">
        <v>267</v>
      </c>
      <c r="D47" s="956" t="s">
        <v>921</v>
      </c>
      <c r="E47" s="958">
        <v>32705</v>
      </c>
      <c r="F47" s="958">
        <v>-34423.199999999997</v>
      </c>
      <c r="G47" s="956" t="s">
        <v>3644</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3645</v>
      </c>
      <c r="B48" s="956" t="s">
        <v>3383</v>
      </c>
      <c r="C48" s="956" t="s">
        <v>267</v>
      </c>
      <c r="D48" s="956" t="s">
        <v>921</v>
      </c>
      <c r="E48" s="958">
        <v>32700</v>
      </c>
      <c r="F48" s="958">
        <v>-34423.199999999997</v>
      </c>
      <c r="G48" s="956" t="s">
        <v>3646</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3647</v>
      </c>
      <c r="B49" s="956" t="s">
        <v>3383</v>
      </c>
      <c r="C49" s="956" t="s">
        <v>267</v>
      </c>
      <c r="D49" s="956" t="s">
        <v>921</v>
      </c>
      <c r="E49" s="958">
        <v>35661.949999999997</v>
      </c>
      <c r="F49" s="954"/>
      <c r="G49" s="956" t="s">
        <v>3648</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3649</v>
      </c>
      <c r="B50" s="956" t="s">
        <v>3383</v>
      </c>
      <c r="C50" s="956" t="s">
        <v>267</v>
      </c>
      <c r="D50" s="956" t="s">
        <v>260</v>
      </c>
      <c r="E50" s="958">
        <v>44107</v>
      </c>
      <c r="F50" s="958">
        <v>-46474.05</v>
      </c>
      <c r="G50" s="956" t="s">
        <v>3650</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3651</v>
      </c>
      <c r="B51" s="956" t="s">
        <v>3383</v>
      </c>
      <c r="C51" s="956" t="s">
        <v>267</v>
      </c>
      <c r="D51" s="956" t="s">
        <v>921</v>
      </c>
      <c r="E51" s="958">
        <v>37441.5</v>
      </c>
      <c r="F51" s="954"/>
      <c r="G51" s="956" t="s">
        <v>3652</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3653</v>
      </c>
      <c r="B52" s="956" t="s">
        <v>3383</v>
      </c>
      <c r="C52" s="956" t="s">
        <v>267</v>
      </c>
      <c r="D52" s="956" t="s">
        <v>279</v>
      </c>
      <c r="E52" s="958">
        <v>38207</v>
      </c>
      <c r="F52" s="958">
        <v>-40179.300000000003</v>
      </c>
      <c r="G52" s="956" t="s">
        <v>3654</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3655</v>
      </c>
      <c r="B53" s="956" t="s">
        <v>3383</v>
      </c>
      <c r="C53" s="956" t="s">
        <v>267</v>
      </c>
      <c r="D53" s="956" t="s">
        <v>921</v>
      </c>
      <c r="E53" s="958">
        <v>37773</v>
      </c>
      <c r="F53" s="958">
        <v>-39749.85</v>
      </c>
      <c r="G53" s="956" t="s">
        <v>3656</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3657</v>
      </c>
      <c r="B54" s="956" t="s">
        <v>3383</v>
      </c>
      <c r="C54" s="956" t="s">
        <v>267</v>
      </c>
      <c r="D54" s="956" t="s">
        <v>921</v>
      </c>
      <c r="E54" s="958">
        <v>37109</v>
      </c>
      <c r="F54" s="958">
        <v>-39552.449999999997</v>
      </c>
      <c r="G54" s="956" t="s">
        <v>3658</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3659</v>
      </c>
      <c r="B55" s="956" t="s">
        <v>3383</v>
      </c>
      <c r="C55" s="956" t="s">
        <v>267</v>
      </c>
      <c r="D55" s="956" t="s">
        <v>921</v>
      </c>
      <c r="E55" s="958">
        <v>34270</v>
      </c>
      <c r="F55" s="958">
        <v>-36066.449999999997</v>
      </c>
      <c r="G55" s="956" t="s">
        <v>3660</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3661</v>
      </c>
      <c r="B56" s="956" t="s">
        <v>3383</v>
      </c>
      <c r="C56" s="956" t="s">
        <v>267</v>
      </c>
      <c r="D56" s="956" t="s">
        <v>279</v>
      </c>
      <c r="E56" s="958">
        <v>39384</v>
      </c>
      <c r="F56" s="958">
        <v>-41836.199999999997</v>
      </c>
      <c r="G56" s="956" t="s">
        <v>3662</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3663</v>
      </c>
      <c r="B57" s="956" t="s">
        <v>3383</v>
      </c>
      <c r="C57" s="956" t="s">
        <v>267</v>
      </c>
      <c r="D57" s="956" t="s">
        <v>3517</v>
      </c>
      <c r="E57" s="958">
        <v>49697</v>
      </c>
      <c r="F57" s="958">
        <v>-52243.8</v>
      </c>
      <c r="G57" s="956" t="s">
        <v>3664</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3665</v>
      </c>
      <c r="B58" s="956" t="s">
        <v>3383</v>
      </c>
      <c r="C58" s="956" t="s">
        <v>267</v>
      </c>
      <c r="D58" s="956" t="s">
        <v>3517</v>
      </c>
      <c r="E58" s="958">
        <v>49697</v>
      </c>
      <c r="F58" s="958">
        <v>-52243.8</v>
      </c>
      <c r="G58" s="956" t="s">
        <v>3666</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3667</v>
      </c>
      <c r="B59" s="956" t="s">
        <v>3383</v>
      </c>
      <c r="C59" s="956" t="s">
        <v>267</v>
      </c>
      <c r="D59" s="956" t="s">
        <v>921</v>
      </c>
      <c r="E59" s="958">
        <v>35568</v>
      </c>
      <c r="F59" s="958">
        <v>-37434.6</v>
      </c>
      <c r="G59" s="956" t="s">
        <v>3668</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3669</v>
      </c>
      <c r="B60" s="956" t="s">
        <v>3383</v>
      </c>
      <c r="C60" s="956" t="s">
        <v>267</v>
      </c>
      <c r="D60" s="956" t="s">
        <v>921</v>
      </c>
      <c r="E60" s="958">
        <v>34265</v>
      </c>
      <c r="F60" s="958">
        <v>-36066.449999999997</v>
      </c>
      <c r="G60" s="956" t="s">
        <v>3670</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3671</v>
      </c>
      <c r="B61" s="956" t="s">
        <v>3383</v>
      </c>
      <c r="C61" s="956" t="s">
        <v>267</v>
      </c>
      <c r="D61" s="956" t="s">
        <v>921</v>
      </c>
      <c r="E61" s="958">
        <v>28211</v>
      </c>
      <c r="F61" s="954"/>
      <c r="G61" s="956" t="s">
        <v>3672</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3673</v>
      </c>
      <c r="B62" s="956" t="s">
        <v>3383</v>
      </c>
      <c r="C62" s="956" t="s">
        <v>267</v>
      </c>
      <c r="D62" s="956" t="s">
        <v>260</v>
      </c>
      <c r="E62" s="958">
        <v>47482.92</v>
      </c>
      <c r="F62" s="958">
        <v>-47526.15</v>
      </c>
      <c r="G62" s="956" t="s">
        <v>3674</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3675</v>
      </c>
      <c r="B63" s="956" t="s">
        <v>3383</v>
      </c>
      <c r="C63" s="956" t="s">
        <v>267</v>
      </c>
      <c r="D63" s="956" t="s">
        <v>260</v>
      </c>
      <c r="E63" s="958">
        <v>40734</v>
      </c>
      <c r="F63" s="958">
        <v>-43358.7</v>
      </c>
      <c r="G63" s="956" t="s">
        <v>3676</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3677</v>
      </c>
      <c r="B64" s="956" t="s">
        <v>3383</v>
      </c>
      <c r="C64" s="956" t="s">
        <v>267</v>
      </c>
      <c r="D64" s="956" t="s">
        <v>279</v>
      </c>
      <c r="E64" s="958">
        <v>37806</v>
      </c>
      <c r="F64" s="958">
        <v>-40179.300000000003</v>
      </c>
      <c r="G64" s="956" t="s">
        <v>3678</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3679</v>
      </c>
      <c r="B65" s="956" t="s">
        <v>3383</v>
      </c>
      <c r="C65" s="956" t="s">
        <v>267</v>
      </c>
      <c r="D65" s="956" t="s">
        <v>260</v>
      </c>
      <c r="E65" s="958">
        <v>44886</v>
      </c>
      <c r="F65" s="958">
        <v>-47718.3</v>
      </c>
      <c r="G65" s="956" t="s">
        <v>3680</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3681</v>
      </c>
      <c r="B66" s="956" t="s">
        <v>3383</v>
      </c>
      <c r="C66" s="956" t="s">
        <v>267</v>
      </c>
      <c r="D66" s="956" t="s">
        <v>260</v>
      </c>
      <c r="E66" s="958">
        <v>44154</v>
      </c>
      <c r="F66" s="958">
        <v>-46949.7</v>
      </c>
      <c r="G66" s="956" t="s">
        <v>3682</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3683</v>
      </c>
      <c r="B67" s="956" t="s">
        <v>3383</v>
      </c>
      <c r="C67" s="956" t="s">
        <v>267</v>
      </c>
      <c r="D67" s="956" t="s">
        <v>260</v>
      </c>
      <c r="E67" s="958">
        <v>44154</v>
      </c>
      <c r="F67" s="958">
        <v>-46949.7</v>
      </c>
      <c r="G67" s="956" t="s">
        <v>3684</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3685</v>
      </c>
      <c r="B68" s="956" t="s">
        <v>3383</v>
      </c>
      <c r="C68" s="956" t="s">
        <v>267</v>
      </c>
      <c r="D68" s="956" t="s">
        <v>260</v>
      </c>
      <c r="E68" s="958">
        <v>43701</v>
      </c>
      <c r="F68" s="958">
        <v>-46474.05</v>
      </c>
      <c r="G68" s="956" t="s">
        <v>3686</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3687</v>
      </c>
      <c r="B69" s="956" t="s">
        <v>3383</v>
      </c>
      <c r="C69" s="956" t="s">
        <v>267</v>
      </c>
      <c r="D69" s="956" t="s">
        <v>260</v>
      </c>
      <c r="E69" s="958">
        <v>43701</v>
      </c>
      <c r="F69" s="958">
        <v>-46474.05</v>
      </c>
      <c r="G69" s="956" t="s">
        <v>3688</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3689</v>
      </c>
      <c r="B70" s="956" t="s">
        <v>3383</v>
      </c>
      <c r="C70" s="956" t="s">
        <v>267</v>
      </c>
      <c r="D70" s="956" t="s">
        <v>260</v>
      </c>
      <c r="E70" s="958">
        <v>40734</v>
      </c>
      <c r="F70" s="958">
        <v>-43358.7</v>
      </c>
      <c r="G70" s="956" t="s">
        <v>3690</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3691</v>
      </c>
      <c r="B71" s="956" t="s">
        <v>3383</v>
      </c>
      <c r="C71" s="956" t="s">
        <v>267</v>
      </c>
      <c r="D71" s="956" t="s">
        <v>260</v>
      </c>
      <c r="E71" s="958">
        <v>39069</v>
      </c>
      <c r="F71" s="958">
        <v>-41610.449999999997</v>
      </c>
      <c r="G71" s="956" t="s">
        <v>3692</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3693</v>
      </c>
      <c r="B72" s="956" t="s">
        <v>3383</v>
      </c>
      <c r="C72" s="956" t="s">
        <v>267</v>
      </c>
      <c r="D72" s="956" t="s">
        <v>260</v>
      </c>
      <c r="E72" s="958">
        <v>44154</v>
      </c>
      <c r="F72" s="958">
        <v>-46949.7</v>
      </c>
      <c r="G72" s="956" t="s">
        <v>3694</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G92" sqref="G92"/>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73" t="str">
        <f>Parametres!$B$1&amp;" "&amp;"2 pager"&amp;" "&amp;Parametres!$B$3&amp;" "&amp;Parametres!$B$4</f>
        <v>Volks 2 pager Juillet 2026</v>
      </c>
      <c r="C1" s="1174"/>
      <c r="D1" s="1174"/>
      <c r="E1" s="1174"/>
      <c r="F1" s="1174"/>
      <c r="G1" s="1174"/>
      <c r="H1" s="1174"/>
      <c r="I1" s="1174"/>
      <c r="J1" s="117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3806</v>
      </c>
      <c r="H3" s="156" t="s">
        <v>288</v>
      </c>
      <c r="I3" s="158" t="s">
        <v>3807</v>
      </c>
      <c r="J3" s="154" t="s">
        <v>289</v>
      </c>
      <c r="K3" s="3"/>
      <c r="L3" s="3"/>
      <c r="M3" s="3"/>
      <c r="N3" s="3"/>
      <c r="O3" s="3"/>
      <c r="P3" s="3"/>
      <c r="Q3" s="3"/>
      <c r="R3" s="3"/>
      <c r="S3" s="3"/>
      <c r="T3" s="3"/>
      <c r="U3" s="3"/>
      <c r="V3" s="3"/>
      <c r="W3" s="3"/>
    </row>
    <row r="4" spans="1:23" ht="14.45" customHeight="1">
      <c r="A4" s="3"/>
      <c r="B4" s="159" t="s">
        <v>290</v>
      </c>
      <c r="C4" s="160">
        <f>+Print_Mois!$J$13+Print_Mois!$J$15</f>
        <v>63</v>
      </c>
      <c r="D4" s="160">
        <f>+Print_Mois!$D$13+Print_Mois!$D$15</f>
        <v>64</v>
      </c>
      <c r="E4" s="160">
        <f>+Print_Mois!$O$13+Print_Mois!$O$15</f>
        <v>81</v>
      </c>
      <c r="F4" s="161">
        <f t="shared" ref="F4:F15" si="0">+IFERROR($C4-D4,"")</f>
        <v>-1</v>
      </c>
      <c r="G4" s="162">
        <f t="shared" ref="G4:G15" si="1">+IFERROR($C4-E4,"")</f>
        <v>-18</v>
      </c>
      <c r="H4" s="163">
        <f t="shared" ref="H4:H15" si="2">+IFERROR(F4/ABS($D4),"")</f>
        <v>-1.5625E-2</v>
      </c>
      <c r="I4" s="164">
        <f t="shared" ref="I4:I15" si="3">+IFERROR(G4/ABS($E4),"")</f>
        <v>-0.22222222222222221</v>
      </c>
      <c r="J4" s="1170" t="s">
        <v>3827</v>
      </c>
      <c r="K4" s="3"/>
      <c r="L4" s="3"/>
      <c r="M4" s="3"/>
      <c r="N4" s="3"/>
      <c r="O4" s="3"/>
      <c r="P4" s="3"/>
      <c r="Q4" s="3"/>
      <c r="R4" s="3"/>
      <c r="S4" s="3"/>
      <c r="T4" s="3"/>
      <c r="U4" s="3"/>
      <c r="V4" s="3"/>
      <c r="W4" s="3"/>
    </row>
    <row r="5" spans="1:23">
      <c r="A5" s="3"/>
      <c r="B5" s="165" t="s">
        <v>291</v>
      </c>
      <c r="C5" s="166">
        <f>+Print_Mois!$L$13+Print_Mois!$L$15</f>
        <v>88773.609999999782</v>
      </c>
      <c r="D5" s="166">
        <f>+Print_Mois!$F$13+Print_Mois!$F$15</f>
        <v>144455.87806996814</v>
      </c>
      <c r="E5" s="166">
        <f>+Print_Mois!$Q$13+Print_Mois!$Q$15</f>
        <v>175033.63999999998</v>
      </c>
      <c r="F5" s="167">
        <f t="shared" si="0"/>
        <v>-55682.268069968355</v>
      </c>
      <c r="G5" s="168">
        <f t="shared" si="1"/>
        <v>-86260.030000000203</v>
      </c>
      <c r="H5" s="170">
        <f t="shared" si="2"/>
        <v>-0.38546211351121545</v>
      </c>
      <c r="I5" s="171">
        <f t="shared" si="3"/>
        <v>-0.49281972311151279</v>
      </c>
      <c r="J5" s="1171"/>
      <c r="K5" s="3"/>
      <c r="L5" s="3"/>
      <c r="M5" s="3"/>
      <c r="N5" s="3"/>
      <c r="O5" s="3"/>
      <c r="P5" s="3"/>
      <c r="Q5" s="3"/>
      <c r="R5" s="3"/>
      <c r="S5" s="3"/>
      <c r="T5" s="3"/>
      <c r="U5" s="3"/>
      <c r="V5" s="3"/>
      <c r="W5" s="3"/>
    </row>
    <row r="6" spans="1:23">
      <c r="A6" s="3"/>
      <c r="B6" s="165" t="s">
        <v>292</v>
      </c>
      <c r="C6" s="166">
        <f>+C5/C4</f>
        <v>1409.1049206349171</v>
      </c>
      <c r="D6" s="166">
        <f>+D5/D4</f>
        <v>2257.1230948432521</v>
      </c>
      <c r="E6" s="166">
        <f>+E5/E4</f>
        <v>2160.9091358024689</v>
      </c>
      <c r="F6" s="167">
        <f t="shared" si="0"/>
        <v>-848.01817420833504</v>
      </c>
      <c r="G6" s="168">
        <f t="shared" si="1"/>
        <v>-751.80421516755177</v>
      </c>
      <c r="H6" s="170">
        <f t="shared" si="2"/>
        <v>-0.37570754388440936</v>
      </c>
      <c r="I6" s="171">
        <f t="shared" si="3"/>
        <v>-0.34791107257194503</v>
      </c>
      <c r="J6" s="1171"/>
      <c r="K6" s="3"/>
      <c r="L6" s="3"/>
      <c r="M6" s="3"/>
      <c r="N6" s="3"/>
      <c r="O6" s="3"/>
      <c r="P6" s="3"/>
      <c r="Q6" s="3"/>
      <c r="R6" s="3"/>
      <c r="S6" s="3"/>
      <c r="T6" s="3"/>
      <c r="U6" s="3"/>
      <c r="V6" s="3"/>
      <c r="W6" s="3"/>
    </row>
    <row r="7" spans="1:23">
      <c r="A7" s="3"/>
      <c r="B7" s="165" t="s">
        <v>293</v>
      </c>
      <c r="C7" s="166">
        <f>+Print_Mois!$L$31</f>
        <v>39746.379999999997</v>
      </c>
      <c r="D7" s="166">
        <f>+Print_Mois!$F$31</f>
        <v>47157.827019291399</v>
      </c>
      <c r="E7" s="166">
        <f>+Print_Mois!$Q$31</f>
        <v>52285.66</v>
      </c>
      <c r="F7" s="167">
        <f t="shared" si="0"/>
        <v>-7411.4470192914014</v>
      </c>
      <c r="G7" s="168">
        <f t="shared" si="1"/>
        <v>-12539.280000000006</v>
      </c>
      <c r="H7" s="170">
        <f t="shared" si="2"/>
        <v>-0.15716260667098836</v>
      </c>
      <c r="I7" s="171">
        <f t="shared" si="3"/>
        <v>-0.23982254407805134</v>
      </c>
      <c r="J7" s="1171"/>
      <c r="K7" s="3"/>
      <c r="L7" s="3"/>
      <c r="M7" s="3"/>
      <c r="N7" s="3"/>
      <c r="O7" s="3"/>
      <c r="P7" s="3"/>
      <c r="Q7" s="3"/>
      <c r="R7" s="3"/>
      <c r="S7" s="3"/>
      <c r="T7" s="3"/>
      <c r="U7" s="3"/>
      <c r="V7" s="3"/>
      <c r="W7" s="3"/>
    </row>
    <row r="8" spans="1:23">
      <c r="A8" s="3"/>
      <c r="B8" s="165" t="s">
        <v>294</v>
      </c>
      <c r="C8" s="169">
        <f>+C7/C5</f>
        <v>0.4477274271036189</v>
      </c>
      <c r="D8" s="169">
        <f>+D7/D5</f>
        <v>0.32645142343359818</v>
      </c>
      <c r="E8" s="169">
        <f>+E7/E5</f>
        <v>0.2987177779082924</v>
      </c>
      <c r="F8" s="172">
        <f t="shared" si="0"/>
        <v>0.12127600367002073</v>
      </c>
      <c r="G8" s="173">
        <f t="shared" si="1"/>
        <v>0.1490096491953265</v>
      </c>
      <c r="H8" s="170">
        <f t="shared" si="2"/>
        <v>0.37149785531472451</v>
      </c>
      <c r="I8" s="171">
        <f t="shared" si="3"/>
        <v>0.49883087052513186</v>
      </c>
      <c r="J8" s="1171"/>
      <c r="K8" s="3"/>
      <c r="L8" s="3"/>
      <c r="M8" s="3"/>
      <c r="N8" s="3"/>
      <c r="O8" s="3"/>
      <c r="P8" s="3"/>
      <c r="Q8" s="3"/>
      <c r="R8" s="3"/>
      <c r="S8" s="3"/>
      <c r="T8" s="3"/>
      <c r="U8" s="3"/>
      <c r="V8" s="3"/>
      <c r="W8" s="3"/>
    </row>
    <row r="9" spans="1:23">
      <c r="A9" s="3"/>
      <c r="B9" s="165" t="s">
        <v>295</v>
      </c>
      <c r="C9" s="166">
        <f>+Print_Mois!$L$24</f>
        <v>77135.170000000013</v>
      </c>
      <c r="D9" s="166">
        <f>+Print_Mois!$F$24</f>
        <v>76800</v>
      </c>
      <c r="E9" s="166">
        <f>+Print_Mois!$Q$24</f>
        <v>80605.51999999999</v>
      </c>
      <c r="F9" s="167">
        <f t="shared" si="0"/>
        <v>335.17000000001281</v>
      </c>
      <c r="G9" s="168">
        <f t="shared" si="1"/>
        <v>-3470.3499999999767</v>
      </c>
      <c r="H9" s="170">
        <f t="shared" si="2"/>
        <v>4.3641927083334997E-3</v>
      </c>
      <c r="I9" s="171">
        <f t="shared" si="3"/>
        <v>-4.3053503035523834E-2</v>
      </c>
      <c r="J9" s="1171"/>
      <c r="K9" s="3"/>
      <c r="L9" s="3"/>
      <c r="M9" s="3"/>
      <c r="N9" s="3"/>
      <c r="O9" s="3"/>
      <c r="P9" s="3"/>
      <c r="Q9" s="3"/>
      <c r="R9" s="3"/>
      <c r="S9" s="3"/>
      <c r="T9" s="3"/>
      <c r="U9" s="3"/>
      <c r="V9" s="3"/>
      <c r="W9" s="3"/>
    </row>
    <row r="10" spans="1:23">
      <c r="A10" s="3"/>
      <c r="B10" s="165" t="s">
        <v>296</v>
      </c>
      <c r="C10" s="166">
        <f>+C9/C4</f>
        <v>1224.367777777778</v>
      </c>
      <c r="D10" s="166">
        <f>+D9/D4</f>
        <v>1200</v>
      </c>
      <c r="E10" s="166">
        <f>+E9/E4</f>
        <v>995.12987654320978</v>
      </c>
      <c r="F10" s="167">
        <f t="shared" si="0"/>
        <v>24.367777777777974</v>
      </c>
      <c r="G10" s="168">
        <f t="shared" si="1"/>
        <v>229.2379012345682</v>
      </c>
      <c r="H10" s="170">
        <f t="shared" si="2"/>
        <v>2.0306481481481644E-2</v>
      </c>
      <c r="I10" s="171">
        <f t="shared" si="3"/>
        <v>0.23035978181146932</v>
      </c>
      <c r="J10" s="1171"/>
      <c r="K10" s="3"/>
      <c r="L10" s="3"/>
      <c r="M10" s="3"/>
      <c r="N10" s="3"/>
      <c r="O10" s="3"/>
      <c r="P10" s="3"/>
      <c r="Q10" s="3"/>
      <c r="R10" s="3"/>
      <c r="S10" s="3"/>
      <c r="T10" s="3"/>
      <c r="U10" s="3"/>
      <c r="V10" s="3"/>
      <c r="W10" s="3"/>
    </row>
    <row r="11" spans="1:23">
      <c r="A11" s="3"/>
      <c r="B11" s="165" t="s">
        <v>297</v>
      </c>
      <c r="C11" s="166">
        <f>+Print_Mois!$L$32</f>
        <v>16623.39</v>
      </c>
      <c r="D11" s="166">
        <f>+Print_Mois!$F$32</f>
        <v>15360</v>
      </c>
      <c r="E11" s="166">
        <f>+Print_Mois!$Q$32</f>
        <v>20151.54</v>
      </c>
      <c r="F11" s="167">
        <f t="shared" si="0"/>
        <v>1263.3899999999994</v>
      </c>
      <c r="G11" s="168">
        <f t="shared" si="1"/>
        <v>-3528.1500000000015</v>
      </c>
      <c r="H11" s="170">
        <f t="shared" si="2"/>
        <v>8.2251953124999957E-2</v>
      </c>
      <c r="I11" s="171">
        <f t="shared" si="3"/>
        <v>-0.17508091193030415</v>
      </c>
      <c r="J11" s="1171"/>
      <c r="K11" s="3"/>
      <c r="L11" s="3"/>
      <c r="M11" s="3"/>
      <c r="N11" s="3"/>
      <c r="O11" s="3"/>
      <c r="P11" s="3"/>
      <c r="Q11" s="3"/>
      <c r="R11" s="3"/>
      <c r="S11" s="3"/>
      <c r="T11" s="3"/>
      <c r="U11" s="3"/>
      <c r="V11" s="3"/>
      <c r="W11" s="3"/>
    </row>
    <row r="12" spans="1:23">
      <c r="A12" s="3"/>
      <c r="B12" s="165" t="s">
        <v>298</v>
      </c>
      <c r="C12" s="169">
        <f>+C11/C9</f>
        <v>0.21550986404774886</v>
      </c>
      <c r="D12" s="169">
        <f>+D11/D9</f>
        <v>0.2</v>
      </c>
      <c r="E12" s="169">
        <f>+E11/E9</f>
        <v>0.25000198497571885</v>
      </c>
      <c r="F12" s="170">
        <f t="shared" si="0"/>
        <v>1.5509864047748845E-2</v>
      </c>
      <c r="G12" s="174">
        <f t="shared" si="1"/>
        <v>-3.4492120927969994E-2</v>
      </c>
      <c r="H12" s="170">
        <f t="shared" si="2"/>
        <v>7.7549320238744224E-2</v>
      </c>
      <c r="I12" s="171">
        <f t="shared" si="3"/>
        <v>-0.13796738826421717</v>
      </c>
      <c r="J12" s="1171"/>
      <c r="K12" s="3"/>
      <c r="L12" s="3"/>
      <c r="M12" s="3"/>
      <c r="N12" s="3"/>
      <c r="O12" s="3"/>
      <c r="P12" s="3"/>
      <c r="Q12" s="3"/>
      <c r="R12" s="3"/>
      <c r="S12" s="3"/>
      <c r="T12" s="3"/>
      <c r="U12" s="3"/>
      <c r="V12" s="3"/>
      <c r="W12" s="3"/>
    </row>
    <row r="13" spans="1:23">
      <c r="A13" s="3"/>
      <c r="B13" s="165" t="s">
        <v>299</v>
      </c>
      <c r="C13" s="166">
        <f>+Print_Mois!$L$41-C7-C11</f>
        <v>30732.07</v>
      </c>
      <c r="D13" s="166">
        <f>+Print_Mois!$F$41-D7-D11</f>
        <v>38296.955642644993</v>
      </c>
      <c r="E13" s="166">
        <f>+Print_Mois!$Q$41-E7-E11</f>
        <v>38506.170000000006</v>
      </c>
      <c r="F13" s="167">
        <f t="shared" si="0"/>
        <v>-7564.8856426449929</v>
      </c>
      <c r="G13" s="168">
        <f t="shared" si="1"/>
        <v>-7774.1000000000058</v>
      </c>
      <c r="H13" s="170">
        <f t="shared" si="2"/>
        <v>-0.19753229769055664</v>
      </c>
      <c r="I13" s="171">
        <f t="shared" si="3"/>
        <v>-0.20189232011389355</v>
      </c>
      <c r="J13" s="1171"/>
      <c r="K13" s="3"/>
      <c r="L13" s="3"/>
      <c r="M13" s="3"/>
      <c r="N13" s="3"/>
      <c r="O13" s="3"/>
      <c r="P13" s="3"/>
      <c r="Q13" s="3"/>
      <c r="R13" s="3"/>
      <c r="S13" s="3"/>
      <c r="T13" s="3"/>
      <c r="U13" s="3"/>
      <c r="V13" s="3"/>
      <c r="W13" s="3"/>
    </row>
    <row r="14" spans="1:23">
      <c r="A14" s="3"/>
      <c r="B14" s="165" t="s">
        <v>300</v>
      </c>
      <c r="C14" s="166">
        <f>+C13/C4</f>
        <v>487.81063492063493</v>
      </c>
      <c r="D14" s="166">
        <f>+D13/D4</f>
        <v>598.38993191632801</v>
      </c>
      <c r="E14" s="166">
        <f>+E13/E4</f>
        <v>475.38481481481489</v>
      </c>
      <c r="F14" s="167">
        <f t="shared" si="0"/>
        <v>-110.57929699569308</v>
      </c>
      <c r="G14" s="168">
        <f t="shared" si="1"/>
        <v>12.425820105820037</v>
      </c>
      <c r="H14" s="170">
        <f t="shared" si="2"/>
        <v>-0.18479471511421625</v>
      </c>
      <c r="I14" s="171">
        <f t="shared" si="3"/>
        <v>2.6138445567851148E-2</v>
      </c>
      <c r="J14" s="1171"/>
      <c r="K14" s="3"/>
      <c r="L14" s="3"/>
      <c r="M14" s="3"/>
      <c r="N14" s="3"/>
      <c r="O14" s="3"/>
      <c r="P14" s="3"/>
      <c r="Q14" s="3"/>
      <c r="R14" s="3"/>
      <c r="S14" s="3"/>
      <c r="T14" s="3"/>
      <c r="U14" s="3"/>
      <c r="V14" s="3"/>
      <c r="W14" s="3"/>
    </row>
    <row r="15" spans="1:23">
      <c r="A15" s="3"/>
      <c r="B15" s="165" t="s">
        <v>301</v>
      </c>
      <c r="C15" s="166">
        <f>+Print_Mois!$L$83</f>
        <v>149766</v>
      </c>
      <c r="D15" s="166">
        <f>+Print_Mois!$F$83</f>
        <v>115069.44600666314</v>
      </c>
      <c r="E15" s="166">
        <f>+Print_Mois!$Q$83</f>
        <v>134474.85</v>
      </c>
      <c r="F15" s="167">
        <f t="shared" si="0"/>
        <v>34696.553993336856</v>
      </c>
      <c r="G15" s="168">
        <f t="shared" si="1"/>
        <v>15291.149999999994</v>
      </c>
      <c r="H15" s="170">
        <f t="shared" si="2"/>
        <v>0.30152707949361063</v>
      </c>
      <c r="I15" s="171">
        <f t="shared" si="3"/>
        <v>0.11371011010609042</v>
      </c>
      <c r="J15" s="1171"/>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71"/>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+IFERROR(F17/ABS($D17),"")</f>
        <v>0.16393442622950818</v>
      </c>
      <c r="I17" s="171">
        <f>+IFERROR(G17/ABS($E17),"")</f>
        <v>-0.56707317073170727</v>
      </c>
      <c r="J17" s="1171"/>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+IFERROR(F18/ABS($D18),"")</f>
        <v>0.36979684988605682</v>
      </c>
      <c r="I18" s="188">
        <f>+IFERROR(G18/ABS($E18),"")</f>
        <v>-0.46226675969898257</v>
      </c>
      <c r="J18" s="117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33</v>
      </c>
      <c r="D21" s="160">
        <f>+Print_Mois!$D$97</f>
        <v>48</v>
      </c>
      <c r="E21" s="160">
        <f>+Print_Mois!$O$97</f>
        <v>28</v>
      </c>
      <c r="F21" s="161">
        <f t="shared" ref="F21:F32" si="4">+IFERROR($C21-D21,"")</f>
        <v>-15</v>
      </c>
      <c r="G21" s="162">
        <f t="shared" ref="G21:G32" si="5">+IFERROR($C21-E21,"")</f>
        <v>5</v>
      </c>
      <c r="H21" s="163">
        <f t="shared" ref="H21:H32" si="6">+IFERROR(F21/ABS($D21),"")</f>
        <v>-0.3125</v>
      </c>
      <c r="I21" s="164">
        <f t="shared" ref="I21:I32" si="7">+IFERROR(G21/ABS($E21),"")</f>
        <v>0.17857142857142858</v>
      </c>
      <c r="J21" s="1170" t="s">
        <v>3828</v>
      </c>
      <c r="K21" s="3"/>
      <c r="L21" s="3"/>
      <c r="M21" s="3"/>
      <c r="N21" s="3"/>
      <c r="O21" s="3"/>
      <c r="P21" s="3"/>
      <c r="Q21" s="3"/>
      <c r="R21" s="3"/>
      <c r="S21" s="3"/>
      <c r="T21" s="3"/>
      <c r="U21" s="3"/>
      <c r="V21" s="3"/>
      <c r="W21" s="3"/>
    </row>
    <row r="22" spans="1:23" ht="15.75" customHeight="1">
      <c r="A22" s="3"/>
      <c r="B22" s="165" t="s">
        <v>291</v>
      </c>
      <c r="C22" s="166">
        <f>+Print_Mois!$L$97</f>
        <v>68973.77999999997</v>
      </c>
      <c r="D22" s="166">
        <f>+Print_Mois!$F$97</f>
        <v>72000</v>
      </c>
      <c r="E22" s="166">
        <f>+Print_Mois!$Q$97</f>
        <v>28137.839999999898</v>
      </c>
      <c r="F22" s="167">
        <f t="shared" si="4"/>
        <v>-3026.2200000000303</v>
      </c>
      <c r="G22" s="168">
        <f t="shared" si="5"/>
        <v>40835.940000000075</v>
      </c>
      <c r="H22" s="170">
        <f t="shared" si="6"/>
        <v>-4.2030833333333753E-2</v>
      </c>
      <c r="I22" s="171">
        <f t="shared" si="7"/>
        <v>1.4512819747358086</v>
      </c>
      <c r="J22" s="1171"/>
      <c r="K22" s="3"/>
      <c r="L22" s="3"/>
      <c r="M22" s="3"/>
      <c r="N22" s="3"/>
      <c r="O22" s="3"/>
      <c r="P22" s="3"/>
      <c r="Q22" s="3"/>
      <c r="R22" s="3"/>
      <c r="S22" s="3"/>
      <c r="T22" s="3"/>
      <c r="U22" s="3"/>
      <c r="V22" s="3"/>
      <c r="W22" s="3"/>
    </row>
    <row r="23" spans="1:23" ht="15.75" customHeight="1">
      <c r="A23" s="3"/>
      <c r="B23" s="165" t="s">
        <v>292</v>
      </c>
      <c r="C23" s="166">
        <f>+C22/C21</f>
        <v>2090.1145454545444</v>
      </c>
      <c r="D23" s="166">
        <f>+D22/D21</f>
        <v>1500</v>
      </c>
      <c r="E23" s="166">
        <f>+E22/E21</f>
        <v>1004.9228571428536</v>
      </c>
      <c r="F23" s="167">
        <f t="shared" si="4"/>
        <v>590.11454545454444</v>
      </c>
      <c r="G23" s="168">
        <f t="shared" si="5"/>
        <v>1085.191688311691</v>
      </c>
      <c r="H23" s="170">
        <f t="shared" si="6"/>
        <v>0.3934096969696963</v>
      </c>
      <c r="I23" s="171">
        <f t="shared" si="7"/>
        <v>1.0798756149273525</v>
      </c>
      <c r="J23" s="1171"/>
      <c r="K23" s="3"/>
      <c r="L23" s="3"/>
      <c r="M23" s="3"/>
      <c r="N23" s="3"/>
      <c r="O23" s="3"/>
      <c r="P23" s="3"/>
      <c r="Q23" s="3"/>
      <c r="R23" s="3"/>
      <c r="S23" s="3"/>
      <c r="T23" s="3"/>
      <c r="U23" s="3"/>
      <c r="V23" s="3"/>
      <c r="W23" s="3"/>
    </row>
    <row r="24" spans="1:23" ht="15.75" customHeight="1">
      <c r="A24" s="3"/>
      <c r="B24" s="165" t="s">
        <v>293</v>
      </c>
      <c r="C24" s="166">
        <f>+Print_Mois!$L$113</f>
        <v>25275.97</v>
      </c>
      <c r="D24" s="166">
        <f>+Print_Mois!$F$113</f>
        <v>22940</v>
      </c>
      <c r="E24" s="166">
        <f>+Print_Mois!$Q$113</f>
        <v>12008.3</v>
      </c>
      <c r="F24" s="167">
        <f t="shared" si="4"/>
        <v>2335.9700000000012</v>
      </c>
      <c r="G24" s="168">
        <f t="shared" si="5"/>
        <v>13267.670000000002</v>
      </c>
      <c r="H24" s="170">
        <f t="shared" si="6"/>
        <v>0.10182955536181347</v>
      </c>
      <c r="I24" s="171">
        <f t="shared" si="7"/>
        <v>1.1048749614849731</v>
      </c>
      <c r="J24" s="1171"/>
      <c r="K24" s="3"/>
      <c r="L24" s="3"/>
      <c r="M24" s="3"/>
      <c r="N24" s="3"/>
      <c r="O24" s="3"/>
      <c r="P24" s="3"/>
      <c r="Q24" s="3"/>
      <c r="R24" s="3"/>
      <c r="S24" s="3"/>
      <c r="T24" s="3"/>
      <c r="U24" s="3"/>
      <c r="V24" s="3"/>
      <c r="W24" s="3"/>
    </row>
    <row r="25" spans="1:23" ht="15.75" customHeight="1">
      <c r="A25" s="3"/>
      <c r="B25" s="165" t="s">
        <v>294</v>
      </c>
      <c r="C25" s="169">
        <f>+C24/C22</f>
        <v>0.3664576597077906</v>
      </c>
      <c r="D25" s="169">
        <f>+D24/D22</f>
        <v>0.31861111111111112</v>
      </c>
      <c r="E25" s="169">
        <f>+E24/E22</f>
        <v>0.42676694444207669</v>
      </c>
      <c r="F25" s="172">
        <f t="shared" si="4"/>
        <v>4.7846548596679472E-2</v>
      </c>
      <c r="G25" s="173">
        <f t="shared" si="5"/>
        <v>-6.0309284734286095E-2</v>
      </c>
      <c r="H25" s="170">
        <f t="shared" si="6"/>
        <v>0.15017225366002274</v>
      </c>
      <c r="I25" s="171">
        <f t="shared" si="7"/>
        <v>-0.14131667299849093</v>
      </c>
      <c r="J25" s="1171"/>
      <c r="K25" s="3"/>
      <c r="L25" s="3"/>
      <c r="M25" s="3"/>
      <c r="N25" s="3"/>
      <c r="O25" s="3"/>
      <c r="P25" s="3"/>
      <c r="Q25" s="3"/>
      <c r="R25" s="3"/>
      <c r="S25" s="3"/>
      <c r="T25" s="3"/>
      <c r="U25" s="3"/>
      <c r="V25" s="3"/>
      <c r="W25" s="3"/>
    </row>
    <row r="26" spans="1:23" ht="15.75" customHeight="1">
      <c r="A26" s="3"/>
      <c r="B26" s="165" t="s">
        <v>295</v>
      </c>
      <c r="C26" s="166">
        <f>+Print_Mois!$L$106</f>
        <v>65212.73</v>
      </c>
      <c r="D26" s="166">
        <f>+Print_Mois!$F$106</f>
        <v>96000</v>
      </c>
      <c r="E26" s="166">
        <f>+Print_Mois!$Q$106</f>
        <v>67537.05</v>
      </c>
      <c r="F26" s="167">
        <f t="shared" si="4"/>
        <v>-30787.269999999997</v>
      </c>
      <c r="G26" s="168">
        <f t="shared" si="5"/>
        <v>-2324.3199999999997</v>
      </c>
      <c r="H26" s="170">
        <f t="shared" si="6"/>
        <v>-0.32070072916666664</v>
      </c>
      <c r="I26" s="171">
        <f t="shared" si="7"/>
        <v>-3.4415480095740039E-2</v>
      </c>
      <c r="J26" s="1171"/>
      <c r="K26" s="3"/>
      <c r="L26" s="3"/>
      <c r="M26" s="3"/>
      <c r="N26" s="3"/>
      <c r="O26" s="3"/>
      <c r="P26" s="3"/>
      <c r="Q26" s="3"/>
      <c r="R26" s="3"/>
      <c r="S26" s="3"/>
      <c r="T26" s="3"/>
      <c r="U26" s="3"/>
      <c r="V26" s="3"/>
      <c r="W26" s="3"/>
    </row>
    <row r="27" spans="1:23" ht="15.75" customHeight="1">
      <c r="A27" s="3"/>
      <c r="B27" s="165" t="s">
        <v>296</v>
      </c>
      <c r="C27" s="166">
        <f>+C26/C21</f>
        <v>1976.1433333333334</v>
      </c>
      <c r="D27" s="166">
        <f>+D26/D21</f>
        <v>2000</v>
      </c>
      <c r="E27" s="166">
        <f>+E26/E21</f>
        <v>2412.0374999999999</v>
      </c>
      <c r="F27" s="167">
        <f t="shared" si="4"/>
        <v>-23.85666666666657</v>
      </c>
      <c r="G27" s="168">
        <f t="shared" si="5"/>
        <v>-435.89416666666648</v>
      </c>
      <c r="H27" s="170">
        <f t="shared" si="6"/>
        <v>-1.1928333333333286E-2</v>
      </c>
      <c r="I27" s="171">
        <f t="shared" si="7"/>
        <v>-0.18071616492971876</v>
      </c>
      <c r="J27" s="1171"/>
      <c r="K27" s="3"/>
      <c r="L27" s="3"/>
      <c r="M27" s="3"/>
      <c r="N27" s="3"/>
      <c r="O27" s="3"/>
      <c r="P27" s="3"/>
      <c r="Q27" s="3"/>
      <c r="R27" s="3"/>
      <c r="S27" s="3"/>
      <c r="T27" s="3"/>
      <c r="U27" s="3"/>
      <c r="V27" s="3"/>
      <c r="W27" s="3"/>
    </row>
    <row r="28" spans="1:23" ht="15.75" customHeight="1">
      <c r="A28" s="3"/>
      <c r="B28" s="165" t="s">
        <v>297</v>
      </c>
      <c r="C28" s="166">
        <f>+Print_Mois!$L$114</f>
        <v>18137.96</v>
      </c>
      <c r="D28" s="166">
        <f>+Print_Mois!$F$114</f>
        <v>24802.114537444933</v>
      </c>
      <c r="E28" s="166">
        <f>+Print_Mois!$Q$114</f>
        <v>20164.34</v>
      </c>
      <c r="F28" s="167">
        <f t="shared" si="4"/>
        <v>-6664.1545374449342</v>
      </c>
      <c r="G28" s="168">
        <f t="shared" si="5"/>
        <v>-2026.380000000001</v>
      </c>
      <c r="H28" s="170">
        <f t="shared" si="6"/>
        <v>-0.26869299903376154</v>
      </c>
      <c r="I28" s="171">
        <f t="shared" si="7"/>
        <v>-0.10049324698948743</v>
      </c>
      <c r="J28" s="1171"/>
      <c r="K28" s="3"/>
      <c r="L28" s="3"/>
      <c r="M28" s="3"/>
      <c r="N28" s="3"/>
      <c r="O28" s="3"/>
      <c r="P28" s="3"/>
      <c r="Q28" s="3"/>
      <c r="R28" s="3"/>
      <c r="S28" s="3"/>
      <c r="T28" s="3"/>
      <c r="U28" s="3"/>
      <c r="V28" s="3"/>
      <c r="W28" s="3"/>
    </row>
    <row r="29" spans="1:23" ht="15.75" customHeight="1">
      <c r="A29" s="3"/>
      <c r="B29" s="165" t="s">
        <v>298</v>
      </c>
      <c r="C29" s="169">
        <f>+C28/C26</f>
        <v>0.27813526592123961</v>
      </c>
      <c r="D29" s="169">
        <f>+D28/D26</f>
        <v>0.25835535976505136</v>
      </c>
      <c r="E29" s="169">
        <f>+E28/E26</f>
        <v>0.29856708280862132</v>
      </c>
      <c r="F29" s="170">
        <f t="shared" si="4"/>
        <v>1.9779906156188243E-2</v>
      </c>
      <c r="G29" s="174">
        <f t="shared" si="5"/>
        <v>-2.0431816887381715E-2</v>
      </c>
      <c r="H29" s="170">
        <f t="shared" si="6"/>
        <v>7.6560850814847078E-2</v>
      </c>
      <c r="I29" s="171">
        <f t="shared" si="7"/>
        <v>-6.8432918643205942E-2</v>
      </c>
      <c r="J29" s="1171"/>
      <c r="K29" s="3"/>
      <c r="L29" s="3"/>
      <c r="M29" s="3"/>
      <c r="N29" s="3"/>
      <c r="O29" s="3"/>
      <c r="P29" s="3"/>
      <c r="Q29" s="3"/>
      <c r="R29" s="3"/>
      <c r="S29" s="3"/>
      <c r="T29" s="3"/>
      <c r="U29" s="3"/>
      <c r="V29" s="3"/>
      <c r="W29" s="3"/>
    </row>
    <row r="30" spans="1:23" ht="15.75" customHeight="1">
      <c r="A30" s="3"/>
      <c r="B30" s="165" t="s">
        <v>299</v>
      </c>
      <c r="C30" s="166">
        <f>+Print_Mois!$L$123-C24-C28</f>
        <v>14043.759999999995</v>
      </c>
      <c r="D30" s="166">
        <f>+Print_Mois!$F$123-D24-D28</f>
        <v>20246.249999999993</v>
      </c>
      <c r="E30" s="166">
        <f>+Print_Mois!$Q$123-E24-E28</f>
        <v>20250.55</v>
      </c>
      <c r="F30" s="167">
        <f t="shared" si="4"/>
        <v>-6202.489999999998</v>
      </c>
      <c r="G30" s="168">
        <f t="shared" si="5"/>
        <v>-6206.7900000000045</v>
      </c>
      <c r="H30" s="170">
        <f t="shared" si="6"/>
        <v>-0.3063525344199543</v>
      </c>
      <c r="I30" s="171">
        <f t="shared" si="7"/>
        <v>-0.30649982346158522</v>
      </c>
      <c r="J30" s="1171"/>
      <c r="K30" s="3"/>
      <c r="L30" s="3"/>
      <c r="M30" s="3"/>
      <c r="N30" s="3"/>
      <c r="O30" s="3"/>
      <c r="P30" s="3"/>
      <c r="Q30" s="3"/>
      <c r="R30" s="3"/>
      <c r="S30" s="3"/>
      <c r="T30" s="3"/>
      <c r="U30" s="3"/>
      <c r="V30" s="3"/>
      <c r="W30" s="3"/>
    </row>
    <row r="31" spans="1:23" ht="15.75" customHeight="1">
      <c r="A31" s="3"/>
      <c r="B31" s="165" t="s">
        <v>300</v>
      </c>
      <c r="C31" s="166">
        <f>+C30/C21</f>
        <v>425.56848484848467</v>
      </c>
      <c r="D31" s="166">
        <f>+D30/D21</f>
        <v>421.79687499999983</v>
      </c>
      <c r="E31" s="166">
        <f>+E30/E21</f>
        <v>723.23392857142858</v>
      </c>
      <c r="F31" s="167">
        <f t="shared" si="4"/>
        <v>3.771609848484843</v>
      </c>
      <c r="G31" s="168">
        <f t="shared" si="5"/>
        <v>-297.66544372294391</v>
      </c>
      <c r="H31" s="170">
        <f t="shared" si="6"/>
        <v>8.9417681164300818E-3</v>
      </c>
      <c r="I31" s="171">
        <f t="shared" si="7"/>
        <v>-0.41157560778558749</v>
      </c>
      <c r="J31" s="1171"/>
      <c r="K31" s="3"/>
      <c r="L31" s="3"/>
      <c r="M31" s="3"/>
      <c r="N31" s="3"/>
      <c r="O31" s="3"/>
      <c r="P31" s="3"/>
      <c r="Q31" s="3"/>
      <c r="R31" s="3"/>
      <c r="S31" s="3"/>
      <c r="T31" s="3"/>
      <c r="U31" s="3"/>
      <c r="V31" s="3"/>
      <c r="W31" s="3"/>
    </row>
    <row r="32" spans="1:23" ht="15.75" customHeight="1">
      <c r="A32" s="3"/>
      <c r="B32" s="165" t="s">
        <v>301</v>
      </c>
      <c r="C32" s="166">
        <f>+Print_Mois!$L$164</f>
        <v>23500</v>
      </c>
      <c r="D32" s="166">
        <f>+Print_Mois!$F$164</f>
        <v>21842.399999999998</v>
      </c>
      <c r="E32" s="166">
        <f>+Print_Mois!$Q$164</f>
        <v>12504</v>
      </c>
      <c r="F32" s="167">
        <f t="shared" si="4"/>
        <v>1657.6000000000022</v>
      </c>
      <c r="G32" s="168">
        <f t="shared" si="5"/>
        <v>10996</v>
      </c>
      <c r="H32" s="170">
        <f t="shared" si="6"/>
        <v>7.5889096436289161E-2</v>
      </c>
      <c r="I32" s="171">
        <f t="shared" si="7"/>
        <v>0.87939859245041585</v>
      </c>
      <c r="J32" s="1171"/>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71"/>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+IFERROR(F34/ABS($D34),"")</f>
        <v>0.63235294117647056</v>
      </c>
      <c r="I34" s="171">
        <f>+IFERROR(G34/ABS($E34),"")</f>
        <v>0.20652173913043478</v>
      </c>
      <c r="J34" s="1171"/>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+IFERROR(F35/ABS($D35),"")</f>
        <v>1.5920926554072774</v>
      </c>
      <c r="I35" s="188">
        <f>+IFERROR(G35/ABS($E35),"")</f>
        <v>0.83941808589000944</v>
      </c>
      <c r="J35" s="117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+Print_Mois!$K$195</f>
        <v>300702.81</v>
      </c>
      <c r="D38" s="200">
        <f>+Print_Mois!$E$195</f>
        <v>361935.70641152275</v>
      </c>
      <c r="E38" s="200">
        <f>+Print_Mois!$P$195</f>
        <v>337642.79999999987</v>
      </c>
      <c r="F38" s="201">
        <f t="shared" ref="F38:F47" si="8">+IFERROR($C38-D38,"")</f>
        <v>-61232.896411522757</v>
      </c>
      <c r="G38" s="202">
        <f t="shared" ref="G38:G47" si="9">+IFERROR($C38-E38,"")</f>
        <v>-36939.989999999874</v>
      </c>
      <c r="H38" s="163">
        <f t="shared" ref="H38:H47" si="10">+IFERROR(F38/ABS($D38),"")</f>
        <v>-0.16918169533099517</v>
      </c>
      <c r="I38" s="164">
        <f t="shared" ref="I38:I47" si="11">+IFERROR(G38/ABS($E38),"")</f>
        <v>-0.10940553152621613</v>
      </c>
      <c r="J38" s="1170" t="s">
        <v>3829</v>
      </c>
      <c r="K38" s="3"/>
      <c r="L38" s="3"/>
      <c r="M38" s="3"/>
      <c r="N38" s="3"/>
      <c r="O38" s="3"/>
      <c r="P38" s="3"/>
      <c r="Q38" s="3"/>
      <c r="R38" s="3"/>
      <c r="S38" s="3"/>
      <c r="T38" s="3"/>
      <c r="U38" s="3"/>
      <c r="V38" s="3"/>
      <c r="W38" s="3"/>
    </row>
    <row r="39" spans="1:23" ht="15.75" customHeight="1">
      <c r="A39" s="3"/>
      <c r="B39" s="159" t="s">
        <v>306</v>
      </c>
      <c r="C39" s="200">
        <f>+Print_Mois!$L$195</f>
        <v>223887.18</v>
      </c>
      <c r="D39" s="200">
        <f>+Print_Mois!$F$195</f>
        <v>251556.38307758098</v>
      </c>
      <c r="E39" s="200">
        <f>+Print_Mois!$Q$195</f>
        <v>241303.17999999996</v>
      </c>
      <c r="F39" s="201">
        <f t="shared" si="8"/>
        <v>-27669.203077580984</v>
      </c>
      <c r="G39" s="202">
        <f t="shared" si="9"/>
        <v>-17415.999999999971</v>
      </c>
      <c r="H39" s="203">
        <f t="shared" si="10"/>
        <v>-0.10999205322906751</v>
      </c>
      <c r="I39" s="204">
        <f t="shared" si="11"/>
        <v>-7.2174763714261764E-2</v>
      </c>
      <c r="J39" s="1171"/>
      <c r="K39" s="3"/>
      <c r="L39" s="3"/>
      <c r="M39" s="3"/>
      <c r="N39" s="3"/>
      <c r="O39" s="3"/>
      <c r="P39" s="3"/>
      <c r="Q39" s="3"/>
      <c r="R39" s="3"/>
      <c r="S39" s="3"/>
      <c r="T39" s="3"/>
      <c r="U39" s="3"/>
      <c r="V39" s="3"/>
      <c r="W39" s="3"/>
    </row>
    <row r="40" spans="1:23" ht="15.75" customHeight="1">
      <c r="A40" s="3"/>
      <c r="B40" s="165" t="s">
        <v>307</v>
      </c>
      <c r="C40" s="166">
        <f>+Print_Mois!$K$173/Print_Mois!$J$173</f>
        <v>404.43270408163266</v>
      </c>
      <c r="D40" s="166">
        <f>+IFERROR(Print_Mois!$E$173/Print_Mois!$D$173,"")</f>
        <v>350</v>
      </c>
      <c r="E40" s="166">
        <f>+Print_Mois!$P$173/Print_Mois!$O$173</f>
        <v>338.76512437810942</v>
      </c>
      <c r="F40" s="167">
        <f t="shared" si="8"/>
        <v>54.432704081632664</v>
      </c>
      <c r="G40" s="168">
        <f t="shared" si="9"/>
        <v>65.667579703523245</v>
      </c>
      <c r="H40" s="170">
        <f t="shared" si="10"/>
        <v>0.15552201166180762</v>
      </c>
      <c r="I40" s="171">
        <f t="shared" si="11"/>
        <v>0.19384397914063023</v>
      </c>
      <c r="J40" s="1171"/>
      <c r="K40" s="3"/>
      <c r="L40" s="3"/>
      <c r="M40" s="3"/>
      <c r="N40" s="3"/>
      <c r="O40" s="3"/>
      <c r="P40" s="3"/>
      <c r="Q40" s="3"/>
      <c r="R40" s="3"/>
      <c r="S40" s="3"/>
      <c r="T40" s="3"/>
      <c r="U40" s="3"/>
      <c r="V40" s="3"/>
      <c r="W40" s="3"/>
    </row>
    <row r="41" spans="1:23" ht="15.75" customHeight="1">
      <c r="A41" s="3"/>
      <c r="B41" s="165" t="s">
        <v>308</v>
      </c>
      <c r="C41" s="166">
        <f>+Print_Mois!$K$176/Print_Mois!$J$176</f>
        <v>278.73402714932126</v>
      </c>
      <c r="D41" s="166">
        <f>+IFERROR(Print_Mois!$E$176/Print_Mois!$D$176,"")</f>
        <v>300</v>
      </c>
      <c r="E41" s="166">
        <f>+Print_Mois!$P$176/Print_Mois!$O$176</f>
        <v>324.71142180094785</v>
      </c>
      <c r="F41" s="167">
        <f t="shared" si="8"/>
        <v>-21.265972850678736</v>
      </c>
      <c r="G41" s="168">
        <f t="shared" si="9"/>
        <v>-45.977394651626582</v>
      </c>
      <c r="H41" s="170">
        <f t="shared" si="10"/>
        <v>-7.0886576168929114E-2</v>
      </c>
      <c r="I41" s="171">
        <f t="shared" si="11"/>
        <v>-0.14159463315648718</v>
      </c>
      <c r="J41" s="1171"/>
      <c r="K41" s="3"/>
      <c r="L41" s="3"/>
      <c r="M41" s="3"/>
      <c r="N41" s="3"/>
      <c r="O41" s="3"/>
      <c r="P41" s="3"/>
      <c r="Q41" s="3"/>
      <c r="R41" s="3"/>
      <c r="S41" s="3"/>
      <c r="T41" s="3"/>
      <c r="U41" s="3"/>
      <c r="V41" s="3"/>
      <c r="W41" s="3"/>
    </row>
    <row r="42" spans="1:23" ht="15.75" customHeight="1">
      <c r="A42" s="3"/>
      <c r="B42" s="165" t="s">
        <v>309</v>
      </c>
      <c r="C42" s="166">
        <f>+Print_Mois!$L$185</f>
        <v>-1627.5</v>
      </c>
      <c r="D42" s="166">
        <f>+Print_Mois!$F$185</f>
        <v>-3533.3669654766359</v>
      </c>
      <c r="E42" s="166">
        <f>+Print_Mois!$Q$185</f>
        <v>-1154.1300000000001</v>
      </c>
      <c r="F42" s="167">
        <f t="shared" si="8"/>
        <v>1905.8669654766359</v>
      </c>
      <c r="G42" s="168">
        <f t="shared" si="9"/>
        <v>-473.36999999999989</v>
      </c>
      <c r="H42" s="170">
        <f t="shared" si="10"/>
        <v>0.53939117677224979</v>
      </c>
      <c r="I42" s="171">
        <f t="shared" si="11"/>
        <v>-0.410153102336825</v>
      </c>
      <c r="J42" s="1171"/>
      <c r="K42" s="3"/>
      <c r="L42" s="3"/>
      <c r="M42" s="3"/>
      <c r="N42" s="3"/>
      <c r="O42" s="3"/>
      <c r="P42" s="3"/>
      <c r="Q42" s="3"/>
      <c r="R42" s="3"/>
      <c r="S42" s="3"/>
      <c r="T42" s="3"/>
      <c r="U42" s="3"/>
      <c r="V42" s="3"/>
      <c r="W42" s="3"/>
    </row>
    <row r="43" spans="1:23" ht="15.75" customHeight="1">
      <c r="A43" s="3"/>
      <c r="B43" s="165" t="s">
        <v>310</v>
      </c>
      <c r="C43" s="166">
        <f>+Print_Mois!$L$211</f>
        <v>136827.85</v>
      </c>
      <c r="D43" s="166">
        <f>+Print_Mois!$F$211</f>
        <v>152413.5520091443</v>
      </c>
      <c r="E43" s="166">
        <f>+Print_Mois!$Q$211</f>
        <v>108311.01</v>
      </c>
      <c r="F43" s="167">
        <f t="shared" si="8"/>
        <v>-15585.702009144297</v>
      </c>
      <c r="G43" s="168">
        <f t="shared" si="9"/>
        <v>28516.840000000011</v>
      </c>
      <c r="H43" s="170">
        <f t="shared" si="10"/>
        <v>-0.1022592925871133</v>
      </c>
      <c r="I43" s="171">
        <f t="shared" si="11"/>
        <v>0.26328662247725337</v>
      </c>
      <c r="J43" s="1171"/>
      <c r="K43" s="3"/>
      <c r="L43" s="3"/>
      <c r="M43" s="3"/>
      <c r="N43" s="3"/>
      <c r="O43" s="3"/>
      <c r="P43" s="3"/>
      <c r="Q43" s="3"/>
      <c r="R43" s="3"/>
      <c r="S43" s="3"/>
      <c r="T43" s="3"/>
      <c r="U43" s="3"/>
      <c r="V43" s="3"/>
      <c r="W43" s="3"/>
    </row>
    <row r="44" spans="1:23" ht="15.75" customHeight="1">
      <c r="A44" s="3"/>
      <c r="B44" s="181" t="s">
        <v>311</v>
      </c>
      <c r="C44" s="166">
        <f>+SUM(Print_Mois!$L$199:$L$205)</f>
        <v>77900.89</v>
      </c>
      <c r="D44" s="166">
        <f>+SUM(Print_Mois!$F$199:$F$205)</f>
        <v>88705.833593036295</v>
      </c>
      <c r="E44" s="166">
        <f>+SUM(Print_Mois!$Q$199:$Q$205)</f>
        <v>59281.8</v>
      </c>
      <c r="F44" s="167">
        <f t="shared" si="8"/>
        <v>-10804.943593036296</v>
      </c>
      <c r="G44" s="168">
        <f t="shared" si="9"/>
        <v>18619.089999999997</v>
      </c>
      <c r="H44" s="170">
        <f t="shared" si="10"/>
        <v>-0.1218064602448482</v>
      </c>
      <c r="I44" s="171">
        <f t="shared" si="11"/>
        <v>0.31407767645381879</v>
      </c>
      <c r="J44" s="1171"/>
      <c r="K44" s="3"/>
      <c r="L44" s="3"/>
      <c r="M44" s="3"/>
      <c r="N44" s="3"/>
      <c r="O44" s="3"/>
      <c r="P44" s="3"/>
      <c r="Q44" s="3"/>
      <c r="R44" s="3"/>
      <c r="S44" s="3"/>
      <c r="T44" s="3"/>
      <c r="U44" s="3"/>
      <c r="V44" s="3"/>
      <c r="W44" s="3"/>
    </row>
    <row r="45" spans="1:23">
      <c r="A45" s="3"/>
      <c r="B45" s="181" t="s">
        <v>312</v>
      </c>
      <c r="C45" s="166">
        <f>+SUM(Print_Mois!$L$206:$L$210)</f>
        <v>58926.960000000006</v>
      </c>
      <c r="D45" s="166">
        <f>+SUM(Print_Mois!$F$206:$F$210)</f>
        <v>63707.718416108008</v>
      </c>
      <c r="E45" s="166">
        <f>+SUM(Print_Mois!$Q$206:$Q$210)</f>
        <v>49029.21</v>
      </c>
      <c r="F45" s="167">
        <f t="shared" si="8"/>
        <v>-4780.7584161080013</v>
      </c>
      <c r="G45" s="168">
        <f t="shared" si="9"/>
        <v>9897.7500000000073</v>
      </c>
      <c r="H45" s="170">
        <f t="shared" si="10"/>
        <v>-7.5042059815773013E-2</v>
      </c>
      <c r="I45" s="171">
        <f t="shared" si="11"/>
        <v>0.20187455600447177</v>
      </c>
      <c r="J45" s="1171"/>
      <c r="K45" s="3"/>
      <c r="L45" s="3"/>
      <c r="M45" s="3"/>
      <c r="N45" s="3"/>
      <c r="O45" s="3"/>
      <c r="P45" s="3"/>
      <c r="Q45" s="3"/>
      <c r="R45" s="3"/>
      <c r="S45" s="3"/>
      <c r="T45" s="3"/>
      <c r="U45" s="3"/>
      <c r="V45" s="3"/>
      <c r="W45" s="3"/>
    </row>
    <row r="46" spans="1:23">
      <c r="A46" s="3"/>
      <c r="B46" s="165" t="s">
        <v>313</v>
      </c>
      <c r="C46" s="169">
        <f>+C43/C38</f>
        <v>0.45502684195069548</v>
      </c>
      <c r="D46" s="169">
        <f>+D43/D38</f>
        <v>0.42110670295637898</v>
      </c>
      <c r="E46" s="169">
        <f>+E43/E38</f>
        <v>0.32078578308200273</v>
      </c>
      <c r="F46" s="172">
        <f t="shared" si="8"/>
        <v>3.3920138994316507E-2</v>
      </c>
      <c r="G46" s="173">
        <f t="shared" si="9"/>
        <v>0.13424105886869275</v>
      </c>
      <c r="H46" s="170">
        <f t="shared" si="10"/>
        <v>8.0549985920860961E-2</v>
      </c>
      <c r="I46" s="171">
        <f t="shared" si="11"/>
        <v>0.41847571166948072</v>
      </c>
      <c r="J46" s="1171"/>
      <c r="K46" s="3"/>
      <c r="L46" s="3"/>
      <c r="M46" s="3"/>
      <c r="N46" s="3"/>
      <c r="O46" s="3"/>
      <c r="P46" s="3"/>
      <c r="Q46" s="3"/>
      <c r="R46" s="3"/>
      <c r="S46" s="3"/>
      <c r="T46" s="3"/>
      <c r="U46" s="3"/>
      <c r="V46" s="3"/>
      <c r="W46" s="3"/>
    </row>
    <row r="47" spans="1:23">
      <c r="A47" s="3"/>
      <c r="B47" s="205" t="s">
        <v>131</v>
      </c>
      <c r="C47" s="184">
        <f>+Print_Mois!$L$214</f>
        <v>7458.21</v>
      </c>
      <c r="D47" s="184">
        <f>+Print_Mois!$F$214</f>
        <v>11083.739355555555</v>
      </c>
      <c r="E47" s="184">
        <f>+Print_Mois!$Q$214</f>
        <v>12916.71</v>
      </c>
      <c r="F47" s="185">
        <f t="shared" si="8"/>
        <v>-3625.5293555555554</v>
      </c>
      <c r="G47" s="186">
        <f t="shared" si="9"/>
        <v>-5458.4999999999991</v>
      </c>
      <c r="H47" s="187">
        <f t="shared" si="10"/>
        <v>-0.32710344760482968</v>
      </c>
      <c r="I47" s="188">
        <f t="shared" si="11"/>
        <v>-0.42259213065865842</v>
      </c>
      <c r="J47" s="117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+Print_Mois!$J$315</f>
        <v>591132.67999999993</v>
      </c>
      <c r="D50" s="200">
        <f>+Print_Mois!$D$315</f>
        <v>529082.27480054961</v>
      </c>
      <c r="E50" s="200">
        <f>+Print_Mois!$O$315</f>
        <v>535619.36</v>
      </c>
      <c r="F50" s="201">
        <f t="shared" ref="F50:F59" si="12">+IFERROR($C50-D50,"")</f>
        <v>62050.405199450324</v>
      </c>
      <c r="G50" s="202">
        <f t="shared" ref="G50:G59" si="13">+IFERROR($C50-E50,"")</f>
        <v>55513.319999999949</v>
      </c>
      <c r="H50" s="163">
        <f t="shared" ref="H50:H59" si="14">+IFERROR(F50/ABS($D50),"")</f>
        <v>0.11727931203675597</v>
      </c>
      <c r="I50" s="164">
        <f t="shared" ref="I50:I59" si="15">+IFERROR(G50/ABS($E50),"")</f>
        <v>0.10364322902741968</v>
      </c>
      <c r="J50" s="1170" t="s">
        <v>3830</v>
      </c>
      <c r="K50" s="3"/>
      <c r="L50" s="3"/>
      <c r="M50" s="3"/>
      <c r="N50" s="3"/>
      <c r="O50" s="3"/>
      <c r="P50" s="3"/>
      <c r="Q50" s="3"/>
      <c r="R50" s="3"/>
      <c r="S50" s="3"/>
      <c r="T50" s="3"/>
      <c r="U50" s="3"/>
      <c r="V50" s="3"/>
      <c r="W50" s="3"/>
    </row>
    <row r="51" spans="1:23" ht="15.75" customHeight="1">
      <c r="A51" s="3"/>
      <c r="B51" s="181" t="s">
        <v>315</v>
      </c>
      <c r="C51" s="166">
        <f>+Print_Mois!$J$296</f>
        <v>110185.62999999999</v>
      </c>
      <c r="D51" s="166">
        <f>+Print_Mois!$D$296</f>
        <v>96068.004417132979</v>
      </c>
      <c r="E51" s="166">
        <f>+Print_Mois!$O$296</f>
        <v>87058.76</v>
      </c>
      <c r="F51" s="167">
        <f t="shared" si="12"/>
        <v>14117.625582867011</v>
      </c>
      <c r="G51" s="168">
        <f t="shared" si="13"/>
        <v>23126.869999999995</v>
      </c>
      <c r="H51" s="170">
        <f t="shared" si="14"/>
        <v>0.14695450028885207</v>
      </c>
      <c r="I51" s="171">
        <f t="shared" si="15"/>
        <v>0.26564667358000499</v>
      </c>
      <c r="J51" s="1171"/>
      <c r="K51" s="3"/>
      <c r="L51" s="3"/>
      <c r="M51" s="3"/>
      <c r="N51" s="3"/>
      <c r="O51" s="3"/>
      <c r="P51" s="3"/>
      <c r="Q51" s="3"/>
      <c r="R51" s="3"/>
      <c r="S51" s="3"/>
      <c r="T51" s="3"/>
      <c r="U51" s="3"/>
      <c r="V51" s="3"/>
      <c r="W51" s="3"/>
    </row>
    <row r="52" spans="1:23" ht="15.75" customHeight="1">
      <c r="A52" s="3"/>
      <c r="B52" s="181" t="s">
        <v>316</v>
      </c>
      <c r="C52" s="166">
        <f>+Print_Mois!$J$298</f>
        <v>62954.92</v>
      </c>
      <c r="D52" s="166">
        <f>+Print_Mois!$D$298</f>
        <v>69585.891939010864</v>
      </c>
      <c r="E52" s="166">
        <f>+Print_Mois!$O$298</f>
        <v>95506.71</v>
      </c>
      <c r="F52" s="167">
        <f t="shared" si="12"/>
        <v>-6630.9719390108658</v>
      </c>
      <c r="G52" s="168">
        <f t="shared" si="13"/>
        <v>-32551.790000000008</v>
      </c>
      <c r="H52" s="170">
        <f t="shared" si="14"/>
        <v>-9.5291901192020884E-2</v>
      </c>
      <c r="I52" s="171">
        <f t="shared" si="15"/>
        <v>-0.34083249229294993</v>
      </c>
      <c r="J52" s="1171"/>
      <c r="K52" s="3"/>
      <c r="L52" s="3"/>
      <c r="M52" s="3"/>
      <c r="N52" s="3"/>
      <c r="O52" s="3"/>
      <c r="P52" s="3"/>
      <c r="Q52" s="3"/>
      <c r="R52" s="3"/>
      <c r="S52" s="3"/>
      <c r="T52" s="3"/>
      <c r="U52" s="3"/>
      <c r="V52" s="3"/>
      <c r="W52" s="3"/>
    </row>
    <row r="53" spans="1:23" ht="15.75" customHeight="1">
      <c r="A53" s="3"/>
      <c r="B53" s="181" t="s">
        <v>317</v>
      </c>
      <c r="C53" s="166">
        <f>+Print_Mois!$J$301</f>
        <v>257011.99</v>
      </c>
      <c r="D53" s="166">
        <f>+Print_Mois!$D$301</f>
        <v>158824.7935810585</v>
      </c>
      <c r="E53" s="166">
        <f>+Print_Mois!$O$301</f>
        <v>186492.61</v>
      </c>
      <c r="F53" s="167">
        <f t="shared" si="12"/>
        <v>98187.196418941487</v>
      </c>
      <c r="G53" s="168">
        <f t="shared" si="13"/>
        <v>70519.38</v>
      </c>
      <c r="H53" s="170">
        <f t="shared" si="14"/>
        <v>0.61821076045554724</v>
      </c>
      <c r="I53" s="171">
        <f t="shared" si="15"/>
        <v>0.37813498347199931</v>
      </c>
      <c r="J53" s="1171"/>
      <c r="K53" s="3"/>
      <c r="L53" s="3"/>
      <c r="M53" s="3"/>
      <c r="N53" s="3"/>
      <c r="O53" s="3"/>
      <c r="P53" s="3"/>
      <c r="Q53" s="3"/>
      <c r="R53" s="3"/>
      <c r="S53" s="3"/>
      <c r="T53" s="3"/>
      <c r="U53" s="3"/>
      <c r="V53" s="3"/>
      <c r="W53" s="3"/>
    </row>
    <row r="54" spans="1:23" ht="15.75" customHeight="1">
      <c r="A54" s="3"/>
      <c r="B54" s="181" t="s">
        <v>318</v>
      </c>
      <c r="C54" s="166">
        <f>+Print_Mois!$J$308</f>
        <v>23678.97</v>
      </c>
      <c r="D54" s="166">
        <f>+Print_Mois!$D$308</f>
        <v>33620.760948270363</v>
      </c>
      <c r="E54" s="166">
        <f>+Print_Mois!$O$308</f>
        <v>32612.16</v>
      </c>
      <c r="F54" s="167">
        <f t="shared" si="12"/>
        <v>-9941.7909482703617</v>
      </c>
      <c r="G54" s="168">
        <f t="shared" si="13"/>
        <v>-8933.1899999999987</v>
      </c>
      <c r="H54" s="170">
        <f t="shared" si="14"/>
        <v>-0.29570392423797365</v>
      </c>
      <c r="I54" s="171">
        <f t="shared" si="15"/>
        <v>-0.27392205852050272</v>
      </c>
      <c r="J54" s="1171"/>
      <c r="K54" s="3"/>
      <c r="L54" s="3"/>
      <c r="M54" s="3"/>
      <c r="N54" s="3"/>
      <c r="O54" s="3"/>
      <c r="P54" s="3"/>
      <c r="Q54" s="3"/>
      <c r="R54" s="3"/>
      <c r="S54" s="3"/>
      <c r="T54" s="3"/>
      <c r="U54" s="3"/>
      <c r="V54" s="3"/>
      <c r="W54" s="3"/>
    </row>
    <row r="55" spans="1:23" ht="15.75" customHeight="1">
      <c r="A55" s="3"/>
      <c r="B55" s="181" t="s">
        <v>319</v>
      </c>
      <c r="C55" s="166">
        <f>+C50-SUM(C51:C54)</f>
        <v>137301.16999999993</v>
      </c>
      <c r="D55" s="166">
        <f>+D50-SUM(D51:D54)</f>
        <v>170982.82391507685</v>
      </c>
      <c r="E55" s="166">
        <f>+E50-SUM(E51:E54)</f>
        <v>133949.12000000005</v>
      </c>
      <c r="F55" s="167">
        <f t="shared" si="12"/>
        <v>-33681.653915076924</v>
      </c>
      <c r="G55" s="168">
        <f t="shared" si="13"/>
        <v>3352.0499999998719</v>
      </c>
      <c r="H55" s="170">
        <f t="shared" si="14"/>
        <v>-0.19698852284604804</v>
      </c>
      <c r="I55" s="171">
        <f t="shared" si="15"/>
        <v>2.5024800461547418E-2</v>
      </c>
      <c r="J55" s="1171"/>
      <c r="K55" s="3"/>
      <c r="L55" s="3"/>
      <c r="M55" s="3"/>
      <c r="N55" s="3"/>
      <c r="O55" s="3"/>
      <c r="P55" s="3"/>
      <c r="Q55" s="3"/>
      <c r="R55" s="3"/>
      <c r="S55" s="3"/>
      <c r="T55" s="3"/>
      <c r="U55" s="3"/>
      <c r="V55" s="3"/>
      <c r="W55" s="3"/>
    </row>
    <row r="56" spans="1:23" ht="15.75" customHeight="1">
      <c r="A56" s="3"/>
      <c r="B56" s="159" t="s">
        <v>306</v>
      </c>
      <c r="C56" s="200">
        <f>+Print_Mois!$L$315</f>
        <v>133308.25999999995</v>
      </c>
      <c r="D56" s="200">
        <f>+Print_Mois!$F$315</f>
        <v>129549.68195195722</v>
      </c>
      <c r="E56" s="200">
        <f>+Print_Mois!$Q$315</f>
        <v>125086.83999999982</v>
      </c>
      <c r="F56" s="201">
        <f t="shared" si="12"/>
        <v>3758.5780480427347</v>
      </c>
      <c r="G56" s="202">
        <f t="shared" si="13"/>
        <v>8221.4200000001292</v>
      </c>
      <c r="H56" s="203">
        <f t="shared" si="14"/>
        <v>2.9012638174106691E-2</v>
      </c>
      <c r="I56" s="204">
        <f t="shared" si="15"/>
        <v>6.5725699042362418E-2</v>
      </c>
      <c r="J56" s="1171"/>
      <c r="K56" s="3"/>
      <c r="L56" s="3"/>
      <c r="M56" s="3"/>
      <c r="N56" s="3"/>
      <c r="O56" s="3"/>
      <c r="P56" s="3"/>
      <c r="Q56" s="3"/>
      <c r="R56" s="3"/>
      <c r="S56" s="3"/>
      <c r="T56" s="3"/>
      <c r="U56" s="3"/>
      <c r="V56" s="3"/>
      <c r="W56" s="3"/>
    </row>
    <row r="57" spans="1:23" ht="15.75" customHeight="1">
      <c r="A57" s="3"/>
      <c r="B57" s="165" t="s">
        <v>307</v>
      </c>
      <c r="C57" s="166">
        <f>+Print_Mois!$J$296/Print_Mois!$J$173</f>
        <v>281.08579081632649</v>
      </c>
      <c r="D57" s="166">
        <f>+IFERROR(Print_Mois!$D$296/Print_Mois!$D$173,"")</f>
        <v>233.44811295685011</v>
      </c>
      <c r="E57" s="166">
        <f>+Print_Mois!$O$296/Print_Mois!$O$173</f>
        <v>216.56407960199004</v>
      </c>
      <c r="F57" s="167">
        <f t="shared" si="12"/>
        <v>47.637677859476383</v>
      </c>
      <c r="G57" s="168">
        <f t="shared" si="13"/>
        <v>64.521711214336449</v>
      </c>
      <c r="H57" s="170">
        <f t="shared" si="14"/>
        <v>0.20406109630143635</v>
      </c>
      <c r="I57" s="171">
        <f t="shared" si="15"/>
        <v>0.29793357851827035</v>
      </c>
      <c r="J57" s="1171"/>
      <c r="K57" s="3"/>
      <c r="L57" s="3"/>
      <c r="M57" s="3"/>
      <c r="N57" s="3"/>
      <c r="O57" s="3"/>
      <c r="P57" s="3"/>
      <c r="Q57" s="3"/>
      <c r="R57" s="3"/>
      <c r="S57" s="3"/>
      <c r="T57" s="3"/>
      <c r="U57" s="3"/>
      <c r="V57" s="3"/>
      <c r="W57" s="3"/>
    </row>
    <row r="58" spans="1:23" ht="15.75" customHeight="1">
      <c r="A58" s="3"/>
      <c r="B58" s="165" t="s">
        <v>308</v>
      </c>
      <c r="C58" s="166">
        <f>+Print_Mois!$J$298/Print_Mois!$J$176</f>
        <v>284.8638914027149</v>
      </c>
      <c r="D58" s="166">
        <f>+IFERROR(Print_Mois!$D$298/Print_Mois!$D$176,"")</f>
        <v>290.42471110375345</v>
      </c>
      <c r="E58" s="166">
        <f>+Print_Mois!$O$298/Print_Mois!$O$176</f>
        <v>452.63843601895735</v>
      </c>
      <c r="F58" s="167">
        <f t="shared" si="12"/>
        <v>-5.5608197010385538</v>
      </c>
      <c r="G58" s="168">
        <f t="shared" si="13"/>
        <v>-167.77454461624245</v>
      </c>
      <c r="H58" s="170">
        <f t="shared" si="14"/>
        <v>-1.9147198872660549E-2</v>
      </c>
      <c r="I58" s="171">
        <f t="shared" si="15"/>
        <v>-0.3706590763520925</v>
      </c>
      <c r="J58" s="1171"/>
      <c r="K58" s="3"/>
      <c r="L58" s="3"/>
      <c r="M58" s="3"/>
      <c r="N58" s="3"/>
      <c r="O58" s="3"/>
      <c r="P58" s="3"/>
      <c r="Q58" s="3"/>
      <c r="R58" s="3"/>
      <c r="S58" s="3"/>
      <c r="T58" s="3"/>
      <c r="U58" s="3"/>
      <c r="V58" s="3"/>
      <c r="W58" s="3"/>
    </row>
    <row r="59" spans="1:23" ht="15.75" customHeight="1">
      <c r="A59" s="3"/>
      <c r="B59" s="205" t="s">
        <v>122</v>
      </c>
      <c r="C59" s="184">
        <f>+Print_Mois!$L$321</f>
        <v>6463.13</v>
      </c>
      <c r="D59" s="184">
        <f>+Print_Mois!$F$321</f>
        <v>0</v>
      </c>
      <c r="E59" s="184">
        <f>+Print_Mois!$Q$321</f>
        <v>113.92</v>
      </c>
      <c r="F59" s="185">
        <f t="shared" si="12"/>
        <v>6463.13</v>
      </c>
      <c r="G59" s="186">
        <f t="shared" si="13"/>
        <v>6349.21</v>
      </c>
      <c r="H59" s="187" t="str">
        <f t="shared" si="14"/>
        <v/>
      </c>
      <c r="I59" s="188">
        <f t="shared" si="15"/>
        <v>55.733936095505619</v>
      </c>
      <c r="J59" s="117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+Print_Mois!$AF$434/Print_Mois!$AF$408</f>
        <v>0.43655146087216984</v>
      </c>
      <c r="D62" s="169">
        <f>+Print_Mois!$Z$434/Print_Mois!$Z$408</f>
        <v>0.44503407747466273</v>
      </c>
      <c r="E62" s="169">
        <f>+Print_Mois!$AL$434/Print_Mois!$AL$408</f>
        <v>0.36057553464972208</v>
      </c>
      <c r="F62" s="172">
        <f t="shared" ref="F62:G67" si="16">+IFERROR($C62-D62,"")</f>
        <v>-8.4826166024928873E-3</v>
      </c>
      <c r="G62" s="173">
        <f t="shared" si="16"/>
        <v>7.5975926222447754E-2</v>
      </c>
      <c r="H62" s="170">
        <f t="shared" ref="H62:H67" si="17">+IFERROR(F62/ABS($D62),"")</f>
        <v>-1.9060600146908593E-2</v>
      </c>
      <c r="I62" s="171">
        <f t="shared" ref="I62:I67" si="18">+IFERROR(G62/ABS($E62),"")</f>
        <v>0.21070738006740777</v>
      </c>
      <c r="J62" s="1170"/>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16"/>
        <v>-2</v>
      </c>
      <c r="G63" s="219">
        <f t="shared" si="16"/>
        <v>1</v>
      </c>
      <c r="H63" s="170">
        <f t="shared" si="17"/>
        <v>-3.3898305084745763E-2</v>
      </c>
      <c r="I63" s="171">
        <f t="shared" si="18"/>
        <v>1.7857142857142856E-2</v>
      </c>
      <c r="J63" s="1171"/>
      <c r="K63" s="3"/>
      <c r="L63" s="3"/>
      <c r="M63" s="3"/>
      <c r="N63" s="3"/>
      <c r="O63" s="3"/>
      <c r="P63" s="3"/>
      <c r="Q63" s="3"/>
      <c r="R63" s="3"/>
      <c r="S63" s="3"/>
      <c r="T63" s="3"/>
      <c r="U63" s="3"/>
      <c r="V63" s="3"/>
      <c r="W63" s="3"/>
    </row>
    <row r="64" spans="1:23" ht="15.75" customHeight="1">
      <c r="A64" s="3"/>
      <c r="B64" s="181" t="s">
        <v>323</v>
      </c>
      <c r="C64" s="166">
        <f>N17+Print_Mois!$AF$415+Print_Mois!$AF$435</f>
        <v>26176.85</v>
      </c>
      <c r="D64" s="166">
        <f>+Print_Mois!$Z$415+Print_Mois!$Z$435</f>
        <v>23644.75</v>
      </c>
      <c r="E64" s="166">
        <f>+Print_Mois!$AL$415+Print_Mois!$AL$435</f>
        <v>26906.440000000002</v>
      </c>
      <c r="F64" s="167">
        <f t="shared" si="16"/>
        <v>2532.0999999999985</v>
      </c>
      <c r="G64" s="168">
        <f t="shared" si="16"/>
        <v>-729.59000000000378</v>
      </c>
      <c r="H64" s="170">
        <f t="shared" si="17"/>
        <v>0.10708931158079484</v>
      </c>
      <c r="I64" s="171">
        <f t="shared" si="18"/>
        <v>-2.7115813165918781E-2</v>
      </c>
      <c r="J64" s="1171"/>
      <c r="K64" s="3"/>
      <c r="L64" s="3"/>
      <c r="M64" s="3"/>
      <c r="N64" s="3"/>
      <c r="O64" s="3"/>
      <c r="P64" s="3"/>
      <c r="Q64" s="3"/>
      <c r="R64" s="3"/>
      <c r="S64" s="3"/>
      <c r="T64" s="3"/>
      <c r="U64" s="3"/>
      <c r="V64" s="3"/>
      <c r="W64" s="3"/>
    </row>
    <row r="65" spans="1:23" ht="15.75" customHeight="1">
      <c r="A65" s="3"/>
      <c r="B65" s="181" t="s">
        <v>324</v>
      </c>
      <c r="C65" s="166">
        <f>+Print_Mois!$AF$453-Print_Mois!$AF$435</f>
        <v>108113.02</v>
      </c>
      <c r="D65" s="166">
        <f>+Print_Mois!$Z$453-Print_Mois!$Z$435</f>
        <v>116821.03540519884</v>
      </c>
      <c r="E65" s="166">
        <f>+Print_Mois!$AL$453-Print_Mois!$AL$435</f>
        <v>120011.20999999999</v>
      </c>
      <c r="F65" s="167">
        <f t="shared" si="16"/>
        <v>-8708.0154051988357</v>
      </c>
      <c r="G65" s="168">
        <f t="shared" si="16"/>
        <v>-11898.189999999988</v>
      </c>
      <c r="H65" s="170">
        <f t="shared" si="17"/>
        <v>-7.4541501665301171E-2</v>
      </c>
      <c r="I65" s="171">
        <f t="shared" si="18"/>
        <v>-9.9142321788106197E-2</v>
      </c>
      <c r="J65" s="1171"/>
      <c r="K65" s="3"/>
      <c r="L65" s="3"/>
      <c r="M65" s="3"/>
      <c r="N65" s="3"/>
      <c r="O65" s="3"/>
      <c r="P65" s="3"/>
      <c r="Q65" s="3"/>
      <c r="R65" s="3"/>
      <c r="S65" s="3"/>
      <c r="T65" s="3"/>
      <c r="U65" s="3"/>
      <c r="V65" s="3"/>
      <c r="W65" s="3"/>
    </row>
    <row r="66" spans="1:23" ht="15.75" customHeight="1">
      <c r="A66" s="3"/>
      <c r="B66" s="181" t="s">
        <v>325</v>
      </c>
      <c r="C66" s="166">
        <f>+Print_Mois!$AF$416</f>
        <v>22739.339999999997</v>
      </c>
      <c r="D66" s="166">
        <f>+Print_Mois!$Z$416</f>
        <v>21434.455642644993</v>
      </c>
      <c r="E66" s="166">
        <f>+Print_Mois!$AL$416</f>
        <v>26209.15</v>
      </c>
      <c r="F66" s="167">
        <f t="shared" si="16"/>
        <v>1304.8843573550039</v>
      </c>
      <c r="G66" s="168">
        <f t="shared" si="16"/>
        <v>-3469.8100000000049</v>
      </c>
      <c r="H66" s="170">
        <f t="shared" si="17"/>
        <v>6.0877886479135342E-2</v>
      </c>
      <c r="I66" s="171">
        <f t="shared" si="18"/>
        <v>-0.13238926100236004</v>
      </c>
      <c r="J66" s="1171"/>
      <c r="K66" s="3"/>
      <c r="L66" s="3"/>
      <c r="M66" s="3"/>
      <c r="N66" s="3"/>
      <c r="O66" s="3"/>
      <c r="P66" s="3"/>
      <c r="Q66" s="3"/>
      <c r="R66" s="3"/>
      <c r="S66" s="3"/>
      <c r="T66" s="3"/>
      <c r="U66" s="3"/>
      <c r="V66" s="3"/>
      <c r="W66" s="3"/>
    </row>
    <row r="67" spans="1:23">
      <c r="A67" s="3"/>
      <c r="B67" s="183" t="s">
        <v>326</v>
      </c>
      <c r="C67" s="184">
        <f>+Print_Mois!$AF$482-C32-C15</f>
        <v>70.190000000002328</v>
      </c>
      <c r="D67" s="184">
        <f>+Print_Mois!$Z$482-D32-D15</f>
        <v>0</v>
      </c>
      <c r="E67" s="184">
        <f>+Print_Mois!$AL$482-E32-E15</f>
        <v>67.009999999980209</v>
      </c>
      <c r="F67" s="185">
        <f t="shared" si="16"/>
        <v>70.190000000002328</v>
      </c>
      <c r="G67" s="186">
        <f t="shared" si="16"/>
        <v>3.1800000000221189</v>
      </c>
      <c r="H67" s="187" t="str">
        <f t="shared" si="17"/>
        <v/>
      </c>
      <c r="I67" s="188">
        <f t="shared" si="18"/>
        <v>4.7455603641591675E-2</v>
      </c>
      <c r="J67" s="117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+Print_Mois!$AF$420-Print_Mois!$AF$416+Print_Mois!$AF$435+Print_Mois!$AF$436+Print_Mois!$AF$437</f>
        <v>161823.67999999999</v>
      </c>
      <c r="D70" s="166">
        <f>+Print_Mois!$Z$420-Print_Mois!$Z$416+Print_Mois!$Z$435+Print_Mois!$Z$436+Print_Mois!$Z$437</f>
        <v>187783.3373862087</v>
      </c>
      <c r="E70" s="166">
        <f>+Print_Mois!$AL$420-Print_Mois!$AL$416+Print_Mois!$AL$435+Print_Mois!$AL$436+Print_Mois!$AL$437</f>
        <v>176094.18</v>
      </c>
      <c r="F70" s="225">
        <f t="shared" ref="F70:G77" si="19">+IFERROR($C70-D70,"")</f>
        <v>-25959.65738620871</v>
      </c>
      <c r="G70" s="226">
        <f t="shared" si="19"/>
        <v>-14270.5</v>
      </c>
      <c r="H70" s="170">
        <f t="shared" ref="H70:H77" si="20">+IFERROR(F70/ABS($D70),"")</f>
        <v>-0.13824260313798883</v>
      </c>
      <c r="I70" s="171">
        <f t="shared" ref="I70:I77" si="21">+IFERROR(G70/ABS($E70),"")</f>
        <v>-8.1039021278272796E-2</v>
      </c>
      <c r="J70" s="1170" t="s">
        <v>3831</v>
      </c>
      <c r="K70" s="3"/>
      <c r="L70" s="3"/>
      <c r="M70" s="3"/>
      <c r="N70" s="3"/>
      <c r="O70" s="3"/>
      <c r="P70" s="3"/>
      <c r="Q70" s="3"/>
      <c r="R70" s="3"/>
      <c r="S70" s="3"/>
      <c r="T70" s="3"/>
      <c r="U70" s="3"/>
      <c r="V70" s="3"/>
      <c r="W70" s="3"/>
    </row>
    <row r="71" spans="1:23" ht="15.75" customHeight="1">
      <c r="A71" s="3"/>
      <c r="B71" s="181" t="s">
        <v>329</v>
      </c>
      <c r="C71" s="169">
        <f>+C70/Print_Mois!$AF$408</f>
        <v>0.23395629370189591</v>
      </c>
      <c r="D71" s="169">
        <f>+D70/Print_Mois!$Z$408</f>
        <v>0.22894843654428179</v>
      </c>
      <c r="E71" s="169">
        <f>+E70/Print_Mois!$AL$408</f>
        <v>0.22647402131727293</v>
      </c>
      <c r="F71" s="172">
        <f t="shared" si="19"/>
        <v>5.0078571576141206E-3</v>
      </c>
      <c r="G71" s="173">
        <f t="shared" si="19"/>
        <v>7.4822723846229844E-3</v>
      </c>
      <c r="H71" s="170">
        <f t="shared" si="20"/>
        <v>2.1873297032301557E-2</v>
      </c>
      <c r="I71" s="171">
        <f t="shared" si="21"/>
        <v>3.3038104507981905E-2</v>
      </c>
      <c r="J71" s="1171"/>
      <c r="K71" s="3"/>
      <c r="L71" s="3"/>
      <c r="M71" s="3"/>
      <c r="N71" s="3"/>
      <c r="O71" s="3"/>
      <c r="P71" s="3"/>
      <c r="Q71" s="3"/>
      <c r="R71" s="3"/>
      <c r="S71" s="3"/>
      <c r="T71" s="3"/>
      <c r="U71" s="3"/>
      <c r="V71" s="3"/>
      <c r="W71" s="3"/>
    </row>
    <row r="72" spans="1:23" ht="15.75" customHeight="1">
      <c r="A72" s="3"/>
      <c r="B72" s="181" t="s">
        <v>330</v>
      </c>
      <c r="C72" s="166">
        <f>+Print_Mois!$AF$467+Print_Mois!$AF$434+Print_Mois!$AF$438+Print_Mois!$AF$440+SUM(Print_Mois!$AF$441:$AF$449)+Print_Mois!$AF$439</f>
        <v>493804.54000000004</v>
      </c>
      <c r="D72" s="166">
        <f>+Print_Mois!$Z$467+Print_Mois!$Z$434+Print_Mois!$Z$438+Print_Mois!$Z$440+SUM(Print_Mois!$Z$441:$Z$449)+Print_Mois!$Z$439</f>
        <v>568842.15462569473</v>
      </c>
      <c r="E72" s="166">
        <f>+Print_Mois!$AL$467+Print_Mois!$AL$434+Print_Mois!$AL$438+Print_Mois!$AL$440+SUM(Print_Mois!$AL$441:$AL$449)+Print_Mois!$AL$439</f>
        <v>443067.68999999989</v>
      </c>
      <c r="F72" s="167">
        <f t="shared" si="19"/>
        <v>-75037.614625694696</v>
      </c>
      <c r="G72" s="168">
        <f t="shared" si="19"/>
        <v>50736.850000000151</v>
      </c>
      <c r="H72" s="170">
        <f t="shared" si="20"/>
        <v>-0.13191289361293976</v>
      </c>
      <c r="I72" s="171">
        <f t="shared" si="21"/>
        <v>0.11451263801249006</v>
      </c>
      <c r="J72" s="1171"/>
      <c r="K72" s="3"/>
      <c r="L72" s="3"/>
      <c r="M72" s="3"/>
      <c r="N72" s="3"/>
      <c r="O72" s="3"/>
      <c r="P72" s="3"/>
      <c r="Q72" s="3"/>
      <c r="R72" s="3"/>
      <c r="S72" s="3"/>
      <c r="T72" s="3"/>
      <c r="U72" s="3"/>
      <c r="V72" s="3"/>
      <c r="W72" s="3"/>
    </row>
    <row r="73" spans="1:23" ht="15.75" customHeight="1">
      <c r="A73" s="3"/>
      <c r="B73" s="181" t="s">
        <v>331</v>
      </c>
      <c r="C73" s="169">
        <f>+C72/Print_Mois!$AF$408</f>
        <v>0.71391702371105159</v>
      </c>
      <c r="D73" s="169">
        <f>+D72/Print_Mois!$Z$408</f>
        <v>0.69354141722479712</v>
      </c>
      <c r="E73" s="169">
        <f>+E72/Print_Mois!$AL$408</f>
        <v>0.56982758584102466</v>
      </c>
      <c r="F73" s="172">
        <f t="shared" si="19"/>
        <v>2.0375606486254472E-2</v>
      </c>
      <c r="G73" s="173">
        <f t="shared" si="19"/>
        <v>0.14408943787002693</v>
      </c>
      <c r="H73" s="170">
        <f t="shared" si="20"/>
        <v>2.9379076692762445E-2</v>
      </c>
      <c r="I73" s="171">
        <f t="shared" si="21"/>
        <v>0.25286497433668687</v>
      </c>
      <c r="J73" s="1171"/>
      <c r="K73" s="3"/>
      <c r="L73" s="3"/>
      <c r="M73" s="3"/>
      <c r="N73" s="3"/>
      <c r="O73" s="3"/>
      <c r="P73" s="3"/>
      <c r="Q73" s="3"/>
      <c r="R73" s="3"/>
      <c r="S73" s="3"/>
      <c r="T73" s="3"/>
      <c r="U73" s="3"/>
      <c r="V73" s="3"/>
      <c r="W73" s="3"/>
    </row>
    <row r="74" spans="1:23" ht="15.75" customHeight="1">
      <c r="A74" s="1"/>
      <c r="B74" s="211" t="s">
        <v>332</v>
      </c>
      <c r="C74" s="200">
        <f>+Print_Mois!$AF$484+Print_Mois!$AF$416</f>
        <v>209391.3499999996</v>
      </c>
      <c r="D74" s="200">
        <f>+Print_Mois!$Z$484+Print_Mois!$Z$416</f>
        <v>200485.6103014907</v>
      </c>
      <c r="E74" s="200">
        <f>+Print_Mois!$AL$484+Print_Mois!$AL$416</f>
        <v>305430.91999999969</v>
      </c>
      <c r="F74" s="201">
        <f t="shared" si="19"/>
        <v>8905.7396985088999</v>
      </c>
      <c r="G74" s="202">
        <f t="shared" si="19"/>
        <v>-96039.570000000094</v>
      </c>
      <c r="H74" s="203">
        <f t="shared" si="20"/>
        <v>4.4420842399194783E-2</v>
      </c>
      <c r="I74" s="204">
        <f t="shared" si="21"/>
        <v>-0.31443957933270211</v>
      </c>
      <c r="J74" s="1171"/>
      <c r="K74" s="1"/>
      <c r="L74" s="1"/>
      <c r="M74" s="1"/>
      <c r="N74" s="1"/>
      <c r="O74" s="1"/>
      <c r="P74" s="1"/>
      <c r="Q74" s="1"/>
      <c r="R74" s="1"/>
      <c r="S74" s="1"/>
      <c r="T74" s="1"/>
      <c r="U74" s="1"/>
      <c r="V74" s="1"/>
      <c r="W74" s="1"/>
    </row>
    <row r="75" spans="1:23" ht="15.75" customHeight="1">
      <c r="A75" s="3"/>
      <c r="B75" s="165" t="s">
        <v>333</v>
      </c>
      <c r="C75" s="227">
        <f>+C74/Print_Mois!$AF$407</f>
        <v>3.7581217168392779E-2</v>
      </c>
      <c r="D75" s="227">
        <f>+D74/Print_Mois!$Z$407</f>
        <v>3.3148643694067233E-2</v>
      </c>
      <c r="E75" s="227">
        <f>+E74/Print_Mois!$AL$407</f>
        <v>4.5254527800546965E-2</v>
      </c>
      <c r="F75" s="172">
        <f t="shared" si="19"/>
        <v>4.4325734743255463E-3</v>
      </c>
      <c r="G75" s="173">
        <f t="shared" si="19"/>
        <v>-7.6733106321541858E-3</v>
      </c>
      <c r="H75" s="170">
        <f t="shared" si="20"/>
        <v>0.13371809462958101</v>
      </c>
      <c r="I75" s="171">
        <f t="shared" si="21"/>
        <v>-0.16955895918245428</v>
      </c>
      <c r="J75" s="1171"/>
      <c r="K75" s="3"/>
      <c r="L75" s="3"/>
      <c r="M75" s="3"/>
      <c r="N75" s="3"/>
      <c r="O75" s="3"/>
      <c r="P75" s="3"/>
      <c r="Q75" s="3"/>
      <c r="R75" s="3"/>
      <c r="S75" s="3"/>
      <c r="T75" s="3"/>
      <c r="U75" s="3"/>
      <c r="V75" s="3"/>
      <c r="W75" s="3"/>
    </row>
    <row r="76" spans="1:23" ht="15.75" customHeight="1">
      <c r="A76" s="1"/>
      <c r="B76" s="211" t="s">
        <v>334</v>
      </c>
      <c r="C76" s="200">
        <f>N9+Print_Mois!$AF$499</f>
        <v>177135.0099999996</v>
      </c>
      <c r="D76" s="200">
        <f>+Print_Mois!$Z$499</f>
        <v>169534.48799217906</v>
      </c>
      <c r="E76" s="200">
        <f>+Print_Mois!$AL$499</f>
        <v>237652.76999999967</v>
      </c>
      <c r="F76" s="201">
        <f t="shared" si="19"/>
        <v>7600.5220078205457</v>
      </c>
      <c r="G76" s="202">
        <f t="shared" si="19"/>
        <v>-60517.760000000068</v>
      </c>
      <c r="H76" s="203">
        <f t="shared" si="20"/>
        <v>4.4831715940718636E-2</v>
      </c>
      <c r="I76" s="204">
        <f t="shared" si="21"/>
        <v>-0.25464782085224652</v>
      </c>
      <c r="J76" s="1171"/>
      <c r="K76" s="1"/>
      <c r="L76" s="1"/>
      <c r="M76" s="1"/>
      <c r="N76" s="1"/>
      <c r="O76" s="1"/>
      <c r="P76" s="1"/>
      <c r="Q76" s="1"/>
      <c r="R76" s="1"/>
      <c r="S76" s="1"/>
      <c r="T76" s="1"/>
      <c r="U76" s="1"/>
      <c r="V76" s="1"/>
      <c r="W76" s="1"/>
    </row>
    <row r="77" spans="1:23" ht="15.75" customHeight="1">
      <c r="A77" s="3"/>
      <c r="B77" s="183" t="s">
        <v>335</v>
      </c>
      <c r="C77" s="228">
        <f>+C76/Print_Mois!$AF$407</f>
        <v>3.1791902000418953E-2</v>
      </c>
      <c r="D77" s="228">
        <f>+D76/Print_Mois!$Z$407</f>
        <v>2.8031130652507869E-2</v>
      </c>
      <c r="E77" s="228">
        <f>+E76/Print_Mois!$AL$407</f>
        <v>3.5212099308223242E-2</v>
      </c>
      <c r="F77" s="229">
        <f t="shared" si="19"/>
        <v>3.7607713479110849E-3</v>
      </c>
      <c r="G77" s="230">
        <f t="shared" si="19"/>
        <v>-3.4201973078042888E-3</v>
      </c>
      <c r="H77" s="187">
        <f t="shared" si="20"/>
        <v>0.1341640975718052</v>
      </c>
      <c r="I77" s="188">
        <f t="shared" si="21"/>
        <v>-9.7131309265777135E-2</v>
      </c>
      <c r="J77" s="117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3367</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149866.3499999996</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200657.0099999996</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Juillet 2026</v>
      </c>
      <c r="D86" s="876" t="s">
        <v>3843</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Juillet 2026</v>
      </c>
      <c r="C87" s="873">
        <f>+C76</f>
        <v>177135.0099999996</v>
      </c>
      <c r="D87" s="864">
        <f>+Print_AAD!AF499</f>
        <v>763848.52999999898</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Juillet 2026</v>
      </c>
      <c r="C88" s="874">
        <f>+D76</f>
        <v>169534.48799217906</v>
      </c>
      <c r="D88" s="865">
        <f>+Print_AAD!Z499</f>
        <v>1301087.657651373</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Juillet 2025</v>
      </c>
      <c r="C89" s="877">
        <f>+E76</f>
        <v>237652.76999999967</v>
      </c>
      <c r="D89" s="867">
        <f>+Print_AAD!AL499</f>
        <v>671057.63999999687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C1" zoomScale="70" zoomScaleNormal="70" workbookViewId="0">
      <selection activeCell="P23" sqref="P23"/>
    </sheetView>
  </sheetViews>
  <sheetFormatPr baseColWidth="10" defaultColWidth="13.25" defaultRowHeight="15" customHeight="1"/>
  <cols>
    <col min="1" max="1" width="0" hidden="1" customWidth="1"/>
    <col min="2" max="2" width="21.875" hidden="1" customWidth="1"/>
    <col min="3" max="3" width="35.125" bestFit="1" customWidth="1"/>
    <col min="7" max="9" width="0" hidden="1" customWidth="1"/>
    <col min="21" max="21" width="14" bestFit="1" customWidth="1"/>
    <col min="22" max="22" width="42.375" bestFit="1" customWidth="1"/>
    <col min="23" max="23" width="0" hidden="1" customWidth="1"/>
    <col min="27" max="29" width="0" hidden="1" customWidth="1"/>
    <col min="32" max="32" width="14.125" bestFit="1"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Juillet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78" t="s">
        <v>343</v>
      </c>
      <c r="E3" s="1179"/>
      <c r="F3" s="1180"/>
      <c r="G3" s="1181"/>
      <c r="H3" s="1179"/>
      <c r="I3" s="1180"/>
      <c r="J3" s="1181" t="s">
        <v>344</v>
      </c>
      <c r="K3" s="1179"/>
      <c r="L3" s="1180"/>
      <c r="M3" s="1181" t="s">
        <v>3255</v>
      </c>
      <c r="N3" s="1180"/>
      <c r="O3" s="1178" t="s">
        <v>345</v>
      </c>
      <c r="P3" s="1179"/>
      <c r="Q3" s="1180"/>
      <c r="R3" s="1182" t="s">
        <v>3257</v>
      </c>
      <c r="S3" s="1183"/>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original'!$A$2:$AO$502,MATCH($A5,'Budget original'!$A$2:$A$502,0),MATCH(F$2,'Budget original'!$A$2:$AO$2,0))</f>
        <v>3172845.9332899912</v>
      </c>
      <c r="G5" s="246"/>
      <c r="H5" s="246"/>
      <c r="I5" s="248"/>
      <c r="J5" s="245"/>
      <c r="K5" s="249"/>
      <c r="L5" s="247">
        <f>-SUMIFS(BV_Data_An_Cour!$O:$O,BV_Data_An_Cour!$X:$X,"Oui",BV_Data_An_Cour!$U:$U,$B5)</f>
        <v>2896264.8299999996</v>
      </c>
      <c r="M5" s="250"/>
      <c r="N5" s="251"/>
      <c r="O5" s="245"/>
      <c r="P5" s="249"/>
      <c r="Q5" s="247">
        <f t="array" ref="Q5">+INDEX('Réel 2024'!$A$2:$AO$502,MATCH($A5,'Réel 2024'!$A$2:$A$502,0),MATCH(Q$2,'Réel 2024'!$A$2:$AO$2,0))</f>
        <v>4089468.26</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original'!$A$2:$AO$502,MATCH($A6,'Budget original'!$A$2:$A$502,0),MATCH(D$2,'Budget original'!$A$2:$AO$2,0))</f>
        <v>17</v>
      </c>
      <c r="E6" s="253">
        <f>IF(D6=0,0,F6/D6)</f>
        <v>1839.3978952721661</v>
      </c>
      <c r="F6" s="253">
        <f>+INDEX('Budget original'!$A$2:$AO$502,MATCH($A6,'Budget original'!$A$2:$A$502,0),MATCH(F$2,'Budget original'!$A$2:$AO$2,0))</f>
        <v>31269.764219626824</v>
      </c>
      <c r="G6" s="254"/>
      <c r="H6" s="253"/>
      <c r="I6" s="253"/>
      <c r="J6" s="254">
        <f>-SUMIFS(BV_Data_An_Cour!$O:$O,BV_Data_An_Cour!$U:$U,$B6,BV_Data_An_Cour!$V:$V,$C6,BV_Data_An_Cour!$W:$W,J$2)</f>
        <v>20</v>
      </c>
      <c r="K6" s="253">
        <f t="shared" ref="K6:K12" si="0">IF(J6=0,0,L6/J6)</f>
        <v>1199.6254999999976</v>
      </c>
      <c r="L6" s="255">
        <f>-SUMIFS(BV_Data_An_Cour!$O:$O,BV_Data_An_Cour!$U:$U,$B6,BV_Data_An_Cour!$V:$V,$C6,BV_Data_An_Cour!$W:$W,L$2)</f>
        <v>23992.509999999951</v>
      </c>
      <c r="M6" s="254">
        <f t="shared" ref="M6:M12" si="1">J6-D6</f>
        <v>3</v>
      </c>
      <c r="N6" s="255">
        <f t="shared" ref="N6:N12" si="2">L6-F6</f>
        <v>-7277.2542196268732</v>
      </c>
      <c r="O6" s="254">
        <f>+INDEX('Réel 2024'!$A$2:$AO$502,MATCH($A6,'Réel 2024'!$A$2:$A$502,0),MATCH(O$2,'Réel 2024'!$A$2:$AO$2,0))</f>
        <v>13</v>
      </c>
      <c r="P6" s="253">
        <f t="shared" ref="P6:P12" si="3">IF(O6=0,0,Q6/O6)</f>
        <v>1905.2107692307693</v>
      </c>
      <c r="Q6" s="255">
        <f t="array" ref="Q6">+INDEX('Réel 2024'!$A$2:$AO$502,MATCH($A6,'Réel 2024'!$A$2:$A$502,0),MATCH(Q$2,'Réel 2024'!$A$2:$AO$2,0))</f>
        <v>24767.74</v>
      </c>
      <c r="R6" s="254">
        <f t="shared" ref="R6:R12" si="4">J6-O6</f>
        <v>7</v>
      </c>
      <c r="S6" s="255">
        <f t="shared" ref="S6:S12" si="5">L6-Q6</f>
        <v>-775.2300000000505</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original'!$A$2:$AO$502,MATCH($A7,'Budget original'!$A$2:$A$502,0),MATCH(D$2,'Budget original'!$A$2:$AO$2,0))</f>
        <v>43</v>
      </c>
      <c r="E7" s="253">
        <f t="shared" ref="E7:E12" si="6">IF(D7=0,0,F7/D7)</f>
        <v>2490.391062883712</v>
      </c>
      <c r="F7" s="253">
        <f>+INDEX('Budget original'!$A$2:$AO$502,MATCH($A7,'Budget original'!$A$2:$A$502,0),MATCH(F$2,'Budget original'!$A$2:$AO$2,0))</f>
        <v>107086.81570399961</v>
      </c>
      <c r="G7" s="254"/>
      <c r="H7" s="253"/>
      <c r="I7" s="253"/>
      <c r="J7" s="254">
        <f>-SUMIFS(BV_Data_An_Cour!$O:$O,BV_Data_An_Cour!$U:$U,$B7,BV_Data_An_Cour!$V:$V,$C7,BV_Data_An_Cour!$W:$W,J$2)</f>
        <v>37</v>
      </c>
      <c r="K7" s="253">
        <f t="shared" si="0"/>
        <v>1696.5391891891848</v>
      </c>
      <c r="L7" s="255">
        <f>-SUMIFS(BV_Data_An_Cour!$O:$O,BV_Data_An_Cour!$U:$U,$B7,BV_Data_An_Cour!$V:$V,$C7,BV_Data_An_Cour!$W:$W,L$2)</f>
        <v>62771.949999999837</v>
      </c>
      <c r="M7" s="254">
        <f t="shared" si="1"/>
        <v>-6</v>
      </c>
      <c r="N7" s="255">
        <f t="shared" si="2"/>
        <v>-44314.865703999778</v>
      </c>
      <c r="O7" s="254">
        <f t="array" ref="O7">+INDEX('Réel 2024'!$A$2:$AO$502,MATCH($A7,'Réel 2024'!$A$2:$A$502,0),MATCH(O$2,'Réel 2024'!$A$2:$AO$2,0))</f>
        <v>63</v>
      </c>
      <c r="P7" s="253">
        <f t="shared" si="3"/>
        <v>2276.0850793650793</v>
      </c>
      <c r="Q7" s="255">
        <f t="array" ref="Q7">+INDEX('Réel 2024'!$A$2:$AO$502,MATCH($A7,'Réel 2024'!$A$2:$A$502,0),MATCH(Q$2,'Réel 2024'!$A$2:$AO$2,0))</f>
        <v>143393.35999999999</v>
      </c>
      <c r="R7" s="254">
        <f t="shared" si="4"/>
        <v>-26</v>
      </c>
      <c r="S7" s="255">
        <f t="shared" si="5"/>
        <v>-80621.410000000149</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original'!$A$2:$AO$502,MATCH($A8,'Budget original'!$A$2:$A$502,0),MATCH(D$2,'Budget original'!$A$2:$AO$2,0))</f>
        <v>0</v>
      </c>
      <c r="E8" s="253">
        <f t="shared" si="6"/>
        <v>0</v>
      </c>
      <c r="F8" s="253">
        <f>+INDEX('Budget original'!$A$2:$AO$502,MATCH($A8,'Budget original'!$A$2:$A$502,0),MATCH(F$2,'Budget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2024'!$A$2:$AO$502,MATCH($A8,'Réel 2024'!$A$2:$A$502,0),MATCH(O$2,'Réel 2024'!$A$2:$AO$2,0))</f>
        <v>0</v>
      </c>
      <c r="P8" s="253">
        <f t="shared" si="3"/>
        <v>0</v>
      </c>
      <c r="Q8" s="255">
        <f t="array" ref="Q8">+INDEX('Réel 2024'!$A$2:$AO$502,MATCH($A8,'Réel 2024'!$A$2:$A$502,0),MATCH(Q$2,'Réel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original'!$A$2:$AO$502,MATCH($A9,'Budget original'!$A$2:$A$502,0),MATCH(D$2,'Budget original'!$A$2:$AO$2,0))</f>
        <v>0</v>
      </c>
      <c r="E9" s="253">
        <f t="shared" si="6"/>
        <v>0</v>
      </c>
      <c r="F9" s="253">
        <f>+INDEX('Budget original'!$A$2:$AO$502,MATCH($A9,'Budget original'!$A$2:$A$502,0),MATCH(F$2,'Budget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2024'!$A$2:$AO$502,MATCH($A9,'Réel 2024'!$A$2:$A$502,0),MATCH(O$2,'Réel 2024'!$A$2:$AO$2,0))</f>
        <v>0</v>
      </c>
      <c r="P9" s="253">
        <f t="shared" si="3"/>
        <v>0</v>
      </c>
      <c r="Q9" s="255">
        <f t="array" ref="Q9">+INDEX('Réel 2024'!$A$2:$AO$502,MATCH($A9,'Réel 2024'!$A$2:$A$502,0),MATCH(Q$2,'Réel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original'!$A$2:$AO$502,MATCH($A10,'Budget original'!$A$2:$A$502,0),MATCH(D$2,'Budget original'!$A$2:$AO$2,0))</f>
        <v>0</v>
      </c>
      <c r="E10" s="253">
        <f t="shared" si="6"/>
        <v>0</v>
      </c>
      <c r="F10" s="253">
        <f>+INDEX('Budget original'!$A$2:$AO$502,MATCH($A10,'Budget original'!$A$2:$A$502,0),MATCH(F$2,'Budget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2024'!$A$2:$AO$502,MATCH($A10,'Réel 2024'!$A$2:$A$502,0),MATCH(O$2,'Réel 2024'!$A$2:$AO$2,0))</f>
        <v>0</v>
      </c>
      <c r="P10" s="253">
        <f t="shared" si="3"/>
        <v>0</v>
      </c>
      <c r="Q10" s="255">
        <f t="array" ref="Q10">+INDEX('Réel 2024'!$A$2:$AO$502,MATCH($A10,'Réel 2024'!$A$2:$A$502,0),MATCH(Q$2,'Réel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original'!$A$2:$AO$502,MATCH($A11,'Budget original'!$A$2:$A$502,0),MATCH(D$2,'Budget original'!$A$2:$AO$2,0))</f>
        <v>0</v>
      </c>
      <c r="E11" s="253">
        <f t="shared" si="6"/>
        <v>0</v>
      </c>
      <c r="F11" s="253">
        <f>+INDEX('Budget original'!$A$2:$AO$502,MATCH($A11,'Budget original'!$A$2:$A$502,0),MATCH(F$2,'Budget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2024'!$A$2:$AO$502,MATCH($A11,'Réel 2024'!$A$2:$A$502,0),MATCH(O$2,'Réel 2024'!$A$2:$AO$2,0))</f>
        <v>0</v>
      </c>
      <c r="P11" s="253">
        <f t="shared" si="3"/>
        <v>0</v>
      </c>
      <c r="Q11" s="255">
        <f t="array" ref="Q11">+INDEX('Réel 2024'!$A$2:$AO$502,MATCH($A11,'Réel 2024'!$A$2:$A$502,0),MATCH(Q$2,'Réel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original'!$A$2:$AO$502,MATCH($A12,'Budget original'!$A$2:$A$502,0),MATCH(D$2,'Budget original'!$A$2:$AO$2,0))</f>
        <v>0</v>
      </c>
      <c r="E12" s="253">
        <f t="shared" si="6"/>
        <v>0</v>
      </c>
      <c r="F12" s="253">
        <f>+INDEX('Budget original'!$A$2:$AO$502,MATCH($A12,'Budget original'!$A$2:$A$502,0),MATCH(F$2,'Budget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2024'!$A$2:$AO$502,MATCH($A12,'Réel 2024'!$A$2:$A$502,0),MATCH(O$2,'Réel 2024'!$A$2:$AO$2,0))</f>
        <v>0</v>
      </c>
      <c r="P12" s="253">
        <f t="shared" si="3"/>
        <v>0</v>
      </c>
      <c r="Q12" s="255">
        <f t="array" ref="Q12">+INDEX('Réel 2024'!$A$2:$AO$502,MATCH($A12,'Réel 2024'!$A$2:$A$502,0),MATCH(Q$2,'Réel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60</v>
      </c>
      <c r="E13" s="259">
        <f>IF(D13&lt;=0,0,F13/D13)</f>
        <v>2305.9429987271074</v>
      </c>
      <c r="F13" s="260">
        <f>+SUM(F6:F12)</f>
        <v>138356.57992362644</v>
      </c>
      <c r="G13" s="261"/>
      <c r="H13" s="259"/>
      <c r="I13" s="260"/>
      <c r="J13" s="261">
        <f>+SUM(J6:J12)</f>
        <v>57</v>
      </c>
      <c r="K13" s="259">
        <f>IF(J13&lt;=0,0,L13/J13)</f>
        <v>1522.1835087719262</v>
      </c>
      <c r="L13" s="260">
        <f>+SUM(L6:L12)</f>
        <v>86764.459999999788</v>
      </c>
      <c r="M13" s="261">
        <f>+SUM(M6:M12)</f>
        <v>-3</v>
      </c>
      <c r="N13" s="260">
        <f>+SUM(N6:N12)</f>
        <v>-51592.119923626655</v>
      </c>
      <c r="O13" s="261">
        <f>+SUM(O6:O12)</f>
        <v>76</v>
      </c>
      <c r="P13" s="259">
        <f>IF(O13&lt;=0,0,Q13/O13)</f>
        <v>2212.6460526315786</v>
      </c>
      <c r="Q13" s="260">
        <f>+SUM(Q6:Q12)</f>
        <v>168161.09999999998</v>
      </c>
      <c r="R13" s="261">
        <f>+SUM(R6:R12)</f>
        <v>-19</v>
      </c>
      <c r="S13" s="260">
        <f>+SUM(S6:S12)</f>
        <v>-81396.640000000203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-0.05</v>
      </c>
      <c r="N14" s="879">
        <f>IF(F13=0,0,N13/F13)</f>
        <v>-0.37289242009383128</v>
      </c>
      <c r="O14" s="252"/>
      <c r="P14" s="253"/>
      <c r="Q14" s="262"/>
      <c r="R14" s="878">
        <f>R13/O13</f>
        <v>-0.25</v>
      </c>
      <c r="S14" s="879">
        <f>IF(Q13=0,0,(S13/Q13))</f>
        <v>-0.48403965007365091</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original'!$A$2:$AO$502,MATCH($A15,'Budget original'!$A$2:$A$502,0),MATCH(D$2,'Budget original'!$A$2:$AO$2,0))</f>
        <v>4</v>
      </c>
      <c r="E15" s="249">
        <f>IF(D15=0,0,F15/D15)</f>
        <v>1524.8245365854227</v>
      </c>
      <c r="F15" s="247">
        <f>+INDEX('Budget original'!$A$2:$AO$502,MATCH($A15,'Budget original'!$A$2:$A$502,0),MATCH(F$2,'Budget original'!$A$2:$AO$2,0))</f>
        <v>6099.2981463416909</v>
      </c>
      <c r="G15" s="266"/>
      <c r="H15" s="249"/>
      <c r="I15" s="247"/>
      <c r="J15" s="267">
        <f>-SUMIFS(BV_Data_An_Cour!$O:$O,BV_Data_An_Cour!$U:$U,$B15,BV_Data_An_Cour!$V:$V,$C15,BV_Data_An_Cour!$W:$W,J$2)</f>
        <v>6</v>
      </c>
      <c r="K15" s="249">
        <f>IF(J15=0,0,L15/J15)</f>
        <v>334.85833333333238</v>
      </c>
      <c r="L15" s="268">
        <f>-SUMIFS(BV_Data_An_Cour!$O:$O,BV_Data_An_Cour!$U:$U,$B15,BV_Data_An_Cour!$V:$V,$C15,BV_Data_An_Cour!$W:$W,L$2)</f>
        <v>2009.1499999999942</v>
      </c>
      <c r="M15" s="266">
        <f>J15-D15</f>
        <v>2</v>
      </c>
      <c r="N15" s="247">
        <f>L15-F15</f>
        <v>-4090.1481463416967</v>
      </c>
      <c r="O15" s="267">
        <f t="array" ref="O15">+INDEX('Réel 2024'!$A$2:$AO$502,MATCH($A15,'Réel 2024'!$A$2:$A$502,0),MATCH(O$2,'Réel 2024'!$A$2:$AO$2,0))</f>
        <v>5</v>
      </c>
      <c r="P15" s="268">
        <f>IF(O15=0,0,Q15/O15)</f>
        <v>1374.508</v>
      </c>
      <c r="Q15" s="268">
        <f t="array" ref="Q15">+INDEX('Réel 2024'!$A$2:$AO$502,MATCH($A15,'Réel 2024'!$A$2:$A$502,0),MATCH(Q$2,'Réel 2024'!$A$2:$AO$2,0))</f>
        <v>6872.54</v>
      </c>
      <c r="R15" s="266">
        <f>J15-O15</f>
        <v>1</v>
      </c>
      <c r="S15" s="247">
        <f>L15-Q15</f>
        <v>-4863.3900000000058</v>
      </c>
      <c r="T15" s="41"/>
      <c r="U15" s="990"/>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original'!$A$2:$AO$502,MATCH($A17,'Budget original'!$A$2:$A$502,0),MATCH(D$2,'Budget original'!$A$2:$AO$2,0))</f>
        <v>4</v>
      </c>
      <c r="E17" s="253">
        <f>IF(D17=0,0,F17/D17)</f>
        <v>1300.6851300000001</v>
      </c>
      <c r="F17" s="253">
        <f>+INDEX('Budget original'!$A$2:$AO$502,MATCH($A17,'Budget original'!$A$2:$A$502,0),MATCH(F$2,'Budget original'!$A$2:$AO$2,0))</f>
        <v>5202.7405200000003</v>
      </c>
      <c r="G17" s="254"/>
      <c r="H17" s="253"/>
      <c r="I17" s="253"/>
      <c r="J17" s="266">
        <f>-SUMIFS(BV_Data_An_Cour!$O:$O,BV_Data_An_Cour!$U:$U,$B17,BV_Data_An_Cour!$V:$V,$C17,BV_Data_An_Cour!$W:$W,J$2)</f>
        <v>1</v>
      </c>
      <c r="K17" s="253">
        <f>IF(J17=0,0,L17/J17)</f>
        <v>-531.81999999999971</v>
      </c>
      <c r="L17" s="255">
        <f>-SUMIFS(BV_Data_An_Cour!$O:$O,BV_Data_An_Cour!$U:$U,$B17,BV_Data_An_Cour!$V:$V,$C17,BV_Data_An_Cour!$W:$W,L$2)</f>
        <v>-531.81999999999971</v>
      </c>
      <c r="M17" s="266">
        <f>J17-D17</f>
        <v>-3</v>
      </c>
      <c r="N17" s="255">
        <f>L17-F17</f>
        <v>-5734.56052</v>
      </c>
      <c r="O17" s="266">
        <f t="array" ref="O17">+INDEX('Réel 2024'!$A$2:$AO$502,MATCH($A17,'Réel 2024'!$A$2:$A$502,0),MATCH(O$2,'Réel 2024'!$A$2:$AO$2,0))</f>
        <v>0</v>
      </c>
      <c r="P17" s="253">
        <f>IF(O17=0,0,Q17/O17)</f>
        <v>0</v>
      </c>
      <c r="Q17" s="255">
        <f t="array" ref="Q17">+INDEX('Réel 2024'!$A$2:$AO$502,MATCH($A17,'Réel 2024'!$A$2:$A$502,0),MATCH(Q$2,'Réel 2024'!$A$2:$AO$2,0))</f>
        <v>0</v>
      </c>
      <c r="R17" s="254">
        <f>J17-O17</f>
        <v>1</v>
      </c>
      <c r="S17" s="255">
        <f>L17-Q17</f>
        <v>-531.81999999999971</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original'!$A$2:$AO$502,MATCH($A21,'Budget original'!$A$2:$A$502,0),MATCH(D$2,'Budget original'!$A$2:$AO$2,0))</f>
        <v>0</v>
      </c>
      <c r="E21" s="253">
        <f>IF(D21=0,0,F21/D21)</f>
        <v>0</v>
      </c>
      <c r="F21" s="253">
        <f>+INDEX('Budget original'!$A$2:$AO$502,MATCH($A21,'Budget original'!$A$2:$A$502,0),MATCH(F$2,'Budget original'!$A$2:$AO$2,0))</f>
        <v>3200</v>
      </c>
      <c r="G21" s="254"/>
      <c r="H21" s="253"/>
      <c r="I21" s="253"/>
      <c r="J21" s="254"/>
      <c r="K21" s="253">
        <f>IF(J13=0,0,L21/(J13+J15))</f>
        <v>30.64</v>
      </c>
      <c r="L21" s="255">
        <f>-SUMIFS(BV_Data_An_Cour!$O:$O,BV_Data_An_Cour!$U:$U,$B21,BV_Data_An_Cour!$V:$V,$C21,BV_Data_An_Cour!$W:$W,L$2)</f>
        <v>1930.32</v>
      </c>
      <c r="M21" s="254"/>
      <c r="N21" s="255">
        <f>L21-F21</f>
        <v>-1269.68</v>
      </c>
      <c r="O21" s="254"/>
      <c r="P21" s="253"/>
      <c r="Q21" s="255">
        <f t="array" ref="Q21">+INDEX('Réel 2024'!$A$2:$AO$502,MATCH($A21,'Réel 2024'!$A$2:$A$502,0),MATCH(Q$2,'Réel 2024'!$A$2:$AO$2,0))</f>
        <v>604.54999999999995</v>
      </c>
      <c r="R21" s="254">
        <f>O21-K21</f>
        <v>-30.64</v>
      </c>
      <c r="S21" s="255">
        <f>L21-Q21</f>
        <v>1325.77</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original'!$A$2:$AO$502,MATCH($A22,'Budget original'!$A$2:$A$502,0),MATCH(D$2,'Budget original'!$A$2:$AO$2,0))</f>
        <v>0</v>
      </c>
      <c r="E22" s="253">
        <f>IF(D22=0,0,F22/D22)</f>
        <v>0</v>
      </c>
      <c r="F22" s="253">
        <f>+INDEX('Budget original'!$A$2:$AO$502,MATCH($A22,'Budget original'!$A$2:$A$502,0),MATCH(F$2,'Budget original'!$A$2:$AO$2,0))</f>
        <v>72320</v>
      </c>
      <c r="G22" s="254"/>
      <c r="H22" s="253"/>
      <c r="I22" s="253"/>
      <c r="J22" s="254"/>
      <c r="K22" s="253">
        <f>IF(J13=0,0,L22/(J13+J15))</f>
        <v>1193.7277777777779</v>
      </c>
      <c r="L22" s="255">
        <f>-SUMIFS(BV_Data_An_Cour!$O:$O,BV_Data_An_Cour!$U:$U,$B22,BV_Data_An_Cour!$V:$V,$C22,BV_Data_An_Cour!$W:$W,L$2)</f>
        <v>75204.850000000006</v>
      </c>
      <c r="M22" s="254"/>
      <c r="N22" s="255">
        <f>L22-F22</f>
        <v>2884.8500000000058</v>
      </c>
      <c r="O22" s="254"/>
      <c r="P22" s="253"/>
      <c r="Q22" s="255">
        <f t="array" ref="Q22">+INDEX('Réel 2024'!$A$2:$AO$502,MATCH($A22,'Réel 2024'!$A$2:$A$502,0),MATCH(Q$2,'Réel 2024'!$A$2:$AO$2,0))</f>
        <v>79814.429999999993</v>
      </c>
      <c r="R22" s="254">
        <f>O22-K22</f>
        <v>-1193.7277777777779</v>
      </c>
      <c r="S22" s="255">
        <f>L22-Q22</f>
        <v>-4609.5799999999872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original'!$A$2:$AO$502,MATCH($A23,'Budget original'!$A$2:$A$502,0),MATCH(D$2,'Budget original'!$A$2:$AO$2,0))</f>
        <v>0</v>
      </c>
      <c r="E23" s="253">
        <f>IF(D23=0,0,F23/D23)</f>
        <v>0</v>
      </c>
      <c r="F23" s="253">
        <f>+INDEX('Budget original'!$A$2:$AO$502,MATCH($A23,'Budget original'!$A$2:$A$502,0),MATCH(F$2,'Budget original'!$A$2:$AO$2,0))</f>
        <v>1280</v>
      </c>
      <c r="G23" s="254"/>
      <c r="H23" s="253"/>
      <c r="I23" s="253"/>
      <c r="J23" s="254"/>
      <c r="K23" s="253">
        <f>IF(J13=0,0,L23/(J13+J15))</f>
        <v>0</v>
      </c>
      <c r="L23" s="255">
        <f>-SUMIFS(BV_Data_An_Cour!$O:$O,BV_Data_An_Cour!$U:$U,$B23,BV_Data_An_Cour!$V:$V,$C23,BV_Data_An_Cour!$W:$W,L$2)</f>
        <v>0</v>
      </c>
      <c r="M23" s="266"/>
      <c r="N23" s="255">
        <f>L23-F23</f>
        <v>-1280</v>
      </c>
      <c r="O23" s="254"/>
      <c r="P23" s="253"/>
      <c r="Q23" s="255">
        <f t="array" ref="Q23">+INDEX('Réel 2024'!$A$2:$AO$502,MATCH($A23,'Réel 2024'!$A$2:$A$502,0),MATCH(Q$2,'Réel 2024'!$A$2:$AO$2,0))</f>
        <v>186.54</v>
      </c>
      <c r="R23" s="254">
        <f>O23-K23</f>
        <v>0</v>
      </c>
      <c r="S23" s="255">
        <f>L23-Q23</f>
        <v>-186.54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64</v>
      </c>
      <c r="E24" s="259">
        <f>IF(D24&lt;=0,0,F24/D24)</f>
        <v>1200</v>
      </c>
      <c r="F24" s="260">
        <f>F21+F22+F23</f>
        <v>76800</v>
      </c>
      <c r="G24" s="261"/>
      <c r="H24" s="259"/>
      <c r="I24" s="260"/>
      <c r="J24" s="261">
        <f>+J15+J13</f>
        <v>63</v>
      </c>
      <c r="K24" s="259">
        <f>IF(J24&lt;=0,0,L24/J24)</f>
        <v>1224.367777777778</v>
      </c>
      <c r="L24" s="260">
        <f>L21+L22+L23</f>
        <v>77135.170000000013</v>
      </c>
      <c r="M24" s="274">
        <f>J24-D24</f>
        <v>-1</v>
      </c>
      <c r="N24" s="260">
        <f>L24-F24</f>
        <v>335.17000000001281</v>
      </c>
      <c r="O24" s="261">
        <f>+O15+O13</f>
        <v>81</v>
      </c>
      <c r="P24" s="259">
        <f>IF(O24&lt;=0,0,Q24/O24)</f>
        <v>995.12987654320978</v>
      </c>
      <c r="Q24" s="260">
        <f>Q21+Q22+Q23</f>
        <v>80605.51999999999</v>
      </c>
      <c r="R24" s="272"/>
      <c r="S24" s="260">
        <f>L24-Q24</f>
        <v>-3470.3499999999767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4.3641927083334997E-3</v>
      </c>
      <c r="O25" s="252"/>
      <c r="P25" s="41"/>
      <c r="Q25" s="275"/>
      <c r="R25" s="276"/>
      <c r="S25" s="264">
        <f>IF(Q24=0,0,(S24/Q24))</f>
        <v>-4.3053503035523834E-2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68</v>
      </c>
      <c r="E27" s="279">
        <f>IF(D27&lt;=0,0,F27/D27)</f>
        <v>3330.2738027936489</v>
      </c>
      <c r="F27" s="280">
        <f>F13+F17+F24+F19+F15</f>
        <v>226458.61858996813</v>
      </c>
      <c r="G27" s="281"/>
      <c r="H27" s="279"/>
      <c r="I27" s="280"/>
      <c r="J27" s="281">
        <f>+J13+J15+J17</f>
        <v>64</v>
      </c>
      <c r="K27" s="279">
        <f>IF(J27&lt;=0,0,L27/J27)</f>
        <v>2584.0149999999967</v>
      </c>
      <c r="L27" s="280">
        <f>L13+L17+L24+L19+L15</f>
        <v>165376.95999999979</v>
      </c>
      <c r="M27" s="281">
        <f>J27-D27</f>
        <v>-4</v>
      </c>
      <c r="N27" s="280">
        <f>L27-F27</f>
        <v>-61081.658589968341</v>
      </c>
      <c r="O27" s="281">
        <f>+O13+O15+O17</f>
        <v>81</v>
      </c>
      <c r="P27" s="279">
        <f>IF(O27&lt;=0,0,Q27/O27)</f>
        <v>3156.0390123456787</v>
      </c>
      <c r="Q27" s="280">
        <f>Q13+Q17+Q24+Q19+Q15</f>
        <v>255639.15999999997</v>
      </c>
      <c r="R27" s="281">
        <f>J27-O27</f>
        <v>-17</v>
      </c>
      <c r="S27" s="280">
        <f>L27-Q27</f>
        <v>-90262.200000000186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6"/>
      <c r="L28" s="849">
        <f>L27/F27</f>
        <v>0.73027452445709573</v>
      </c>
      <c r="M28" s="285">
        <f>M27/D27</f>
        <v>-5.8823529411764705E-2</v>
      </c>
      <c r="N28" s="286">
        <f>N27/F27</f>
        <v>-0.26972547554290432</v>
      </c>
      <c r="O28" s="282"/>
      <c r="P28" s="283"/>
      <c r="Q28" s="284"/>
      <c r="R28" s="285">
        <f>R27/O27</f>
        <v>-0.20987654320987653</v>
      </c>
      <c r="S28" s="286">
        <f>IF(Q27=0,0,S27/Q27)</f>
        <v>-0.35308440224885812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0.32645142343359818</v>
      </c>
      <c r="E31" s="290">
        <f t="shared" ref="E31:E36" si="7">F31/D$24</f>
        <v>736.84104717642811</v>
      </c>
      <c r="F31" s="253">
        <f>+INDEX('Budget original'!$A$2:$AO$502,MATCH($A31,'Budget original'!$A$2:$A$502,0),MATCH(F$2,'Budget original'!$A$2:$AO$2,0))</f>
        <v>47157.827019291399</v>
      </c>
      <c r="G31" s="291"/>
      <c r="H31" s="290"/>
      <c r="I31" s="253"/>
      <c r="J31" s="291">
        <f>L31/(L15+L13+L17)</f>
        <v>0.45042581298498252</v>
      </c>
      <c r="K31" s="290">
        <f t="shared" ref="K31:K40" si="8">IF(L31=0,0,L31/J$24)</f>
        <v>630.8949206349206</v>
      </c>
      <c r="L31" s="253">
        <f>SUMIFS(BV_Data_An_Cour!$O:$O,BV_Data_An_Cour!$U:$U,$B31,BV_Data_An_Cour!$V:$V,$C31,BV_Data_An_Cour!$W:$W,L$2)</f>
        <v>39746.379999999997</v>
      </c>
      <c r="M31" s="252"/>
      <c r="N31" s="275">
        <f t="shared" ref="N31:N53" si="9">L31-F31</f>
        <v>-7411.4470192914014</v>
      </c>
      <c r="O31" s="979">
        <f>Q31/(Q13+Q15+Q17)</f>
        <v>0.2987177779082924</v>
      </c>
      <c r="P31" s="290">
        <f t="shared" ref="P31:P40" si="10">Q31/O$24</f>
        <v>645.50197530864205</v>
      </c>
      <c r="Q31" s="255">
        <f t="array" ref="Q31">+INDEX('Réel 2024'!$A$2:$AO$502,MATCH($A31,'Réel 2024'!$A$2:$A$502,0),MATCH(Q$2,'Réel 2024'!$A$2:$AO$2,0))</f>
        <v>52285.66</v>
      </c>
      <c r="R31" s="252"/>
      <c r="S31" s="275">
        <f t="shared" ref="S31:S53" si="11">L31-Q31</f>
        <v>-12539.280000000006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7"/>
        <v>240</v>
      </c>
      <c r="F32" s="247">
        <f>+INDEX('Budget original'!$A$2:$AO$502,MATCH($A32,'Budget original'!$A$2:$A$502,0),MATCH(F$2,'Budget original'!$A$2:$AO$2,0))</f>
        <v>15360</v>
      </c>
      <c r="G32" s="294"/>
      <c r="H32" s="293"/>
      <c r="I32" s="247"/>
      <c r="J32" s="294">
        <f>L32/L24</f>
        <v>0.21550986404774886</v>
      </c>
      <c r="K32" s="293">
        <f t="shared" si="8"/>
        <v>263.86333333333334</v>
      </c>
      <c r="L32" s="247">
        <f>SUMIFS(BV_Data_An_Cour!$O:$O,BV_Data_An_Cour!$U:$U,$B32,BV_Data_An_Cour!$V:$V,$C32,BV_Data_An_Cour!$W:$W,L$2)</f>
        <v>16623.39</v>
      </c>
      <c r="M32" s="245"/>
      <c r="N32" s="295">
        <f t="shared" si="9"/>
        <v>1263.3899999999994</v>
      </c>
      <c r="O32" s="980">
        <f>Q32/Q24</f>
        <v>0.25000198497571885</v>
      </c>
      <c r="P32" s="293">
        <f t="shared" si="10"/>
        <v>248.78444444444446</v>
      </c>
      <c r="Q32" s="247">
        <f t="array" ref="Q32">+INDEX('Réel 2024'!$A$2:$AO$502,MATCH($A32,'Réel 2024'!$A$2:$A$502,0),MATCH(Q$2,'Réel 2024'!$A$2:$AO$2,0))</f>
        <v>20151.54</v>
      </c>
      <c r="R32" s="245"/>
      <c r="S32" s="295">
        <f t="shared" si="11"/>
        <v>-3528.1500000000015</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7"/>
        <v>115</v>
      </c>
      <c r="F33" s="253">
        <f>+INDEX('Budget original'!$A$2:$AO$502,MATCH($A33,'Budget original'!$A$2:$A$502,0),MATCH(F$2,'Budget original'!$A$2:$AO$2,0))</f>
        <v>7360</v>
      </c>
      <c r="G33" s="297"/>
      <c r="H33" s="290"/>
      <c r="I33" s="253"/>
      <c r="J33" s="252"/>
      <c r="K33" s="290">
        <f t="shared" si="8"/>
        <v>70.328253968253975</v>
      </c>
      <c r="L33" s="253">
        <f>SUMIFS(BV_Data_An_Cour!$O:$O,BV_Data_An_Cour!$U:$U,$B33,BV_Data_An_Cour!$V:$V,$C33,BV_Data_An_Cour!$W:$W,L$2)</f>
        <v>4430.68</v>
      </c>
      <c r="M33" s="252"/>
      <c r="N33" s="275">
        <f t="shared" si="9"/>
        <v>-2929.3199999999997</v>
      </c>
      <c r="O33" s="252"/>
      <c r="P33" s="290">
        <f t="shared" si="10"/>
        <v>112.60814814814815</v>
      </c>
      <c r="Q33" s="255">
        <f t="array" ref="Q33">+INDEX('Réel 2024'!$A$2:$AO$502,MATCH($A33,'Réel 2024'!$A$2:$A$502,0),MATCH(Q$2,'Réel 2024'!$A$2:$AO$2,0))</f>
        <v>9121.26</v>
      </c>
      <c r="R33" s="252"/>
      <c r="S33" s="275">
        <f t="shared" si="11"/>
        <v>-4690.58</v>
      </c>
      <c r="T33" s="41"/>
      <c r="U33" s="1009"/>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7"/>
        <v>10</v>
      </c>
      <c r="F34" s="253">
        <f>+INDEX('Budget original'!$A$2:$AO$502,MATCH($A34,'Budget original'!$A$2:$A$502,0),MATCH(F$2,'Budget original'!$A$2:$AO$2,0))</f>
        <v>640</v>
      </c>
      <c r="G34" s="297"/>
      <c r="H34" s="290"/>
      <c r="I34" s="253"/>
      <c r="J34" s="252"/>
      <c r="K34" s="290">
        <f t="shared" si="8"/>
        <v>0</v>
      </c>
      <c r="L34" s="253">
        <f>SUMIFS(BV_Data_An_Cour!$O:$O,BV_Data_An_Cour!$U:$U,$B34,BV_Data_An_Cour!$V:$V,$C34,BV_Data_An_Cour!$W:$W,L$2)</f>
        <v>0</v>
      </c>
      <c r="M34" s="252"/>
      <c r="N34" s="275">
        <f t="shared" si="9"/>
        <v>-640</v>
      </c>
      <c r="O34" s="252"/>
      <c r="P34" s="290">
        <f t="shared" si="10"/>
        <v>0</v>
      </c>
      <c r="Q34" s="255">
        <f t="array" ref="Q34">+INDEX('Réel 2024'!$A$2:$AO$502,MATCH($A34,'Réel 2024'!$A$2:$A$502,0),MATCH(Q$2,'Réel 2024'!$A$2:$AO$2,0))</f>
        <v>0</v>
      </c>
      <c r="R34" s="252"/>
      <c r="S34" s="275">
        <f t="shared" si="11"/>
        <v>0</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7"/>
        <v>120</v>
      </c>
      <c r="F35" s="247">
        <f>+INDEX('Budget original'!$A$2:$AO$502,MATCH($A35,'Budget original'!$A$2:$A$502,0),MATCH(F$2,'Budget original'!$A$2:$AO$2,0))</f>
        <v>7680</v>
      </c>
      <c r="G35" s="299"/>
      <c r="H35" s="293"/>
      <c r="I35" s="247"/>
      <c r="J35" s="245"/>
      <c r="K35" s="293">
        <f t="shared" si="8"/>
        <v>34.979365079365074</v>
      </c>
      <c r="L35" s="247">
        <f>SUMIFS(BV_Data_An_Cour!$O:$O,BV_Data_An_Cour!$U:$U,$B35,BV_Data_An_Cour!$V:$V,$C35,BV_Data_An_Cour!$W:$W,L$2)</f>
        <v>2203.6999999999998</v>
      </c>
      <c r="M35" s="245"/>
      <c r="N35" s="295">
        <f t="shared" si="9"/>
        <v>-5476.3</v>
      </c>
      <c r="O35" s="245"/>
      <c r="P35" s="293">
        <f t="shared" si="10"/>
        <v>43.995185185185186</v>
      </c>
      <c r="Q35" s="255">
        <f t="array" ref="Q35">+INDEX('Réel 2024'!$A$2:$AO$502,MATCH($A35,'Réel 2024'!$A$2:$A$502,0),MATCH(Q$2,'Réel 2024'!$A$2:$AO$2,0))</f>
        <v>3563.61</v>
      </c>
      <c r="R35" s="245"/>
      <c r="S35" s="295">
        <f t="shared" si="11"/>
        <v>-1359.9100000000003</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7"/>
        <v>18.4765625</v>
      </c>
      <c r="F36" s="253">
        <f>+INDEX('Budget original'!$A$2:$AO$502,MATCH($A36,'Budget original'!$A$2:$A$502,0),MATCH(F$2,'Budget original'!$A$2:$AO$2,0))</f>
        <v>1182.5</v>
      </c>
      <c r="G36" s="297"/>
      <c r="H36" s="290"/>
      <c r="I36" s="253"/>
      <c r="J36" s="252"/>
      <c r="K36" s="290">
        <f t="shared" si="8"/>
        <v>56.993492063492063</v>
      </c>
      <c r="L36" s="300">
        <f>SUMIFS(BV_Data_An_Cour!$O:$O,BV_Data_An_Cour!$U:$U,$B36,BV_Data_An_Cour!$V:$V,$C36,BV_Data_An_Cour!$W:$W,L$2)</f>
        <v>3590.59</v>
      </c>
      <c r="M36" s="41"/>
      <c r="N36" s="275">
        <f t="shared" si="9"/>
        <v>2408.09</v>
      </c>
      <c r="O36" s="252"/>
      <c r="P36" s="290">
        <f t="shared" si="10"/>
        <v>45.389259259259262</v>
      </c>
      <c r="Q36" s="271">
        <f t="array" ref="Q36">+INDEX('Réel 2024'!$A$2:$AO$502,MATCH($A36,'Réel 2024'!$A$2:$A$502,0),MATCH(Q$2,'Réel 2024'!$A$2:$AO$2,0))</f>
        <v>3676.53</v>
      </c>
      <c r="R36" s="252"/>
      <c r="S36" s="275">
        <f t="shared" si="11"/>
        <v>-85.940000000000055</v>
      </c>
      <c r="T36" s="41"/>
      <c r="U36" s="41"/>
      <c r="V36" s="41"/>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334.91336941632801</v>
      </c>
      <c r="F37" s="253">
        <f>+INDEX('Budget original'!$A$2:$AO$502,MATCH($A37,'Budget original'!$A$2:$A$502,0),MATCH(F$2,'Budget original'!$A$2:$AO$2,0))</f>
        <v>21434.455642644993</v>
      </c>
      <c r="G37" s="297"/>
      <c r="H37" s="290"/>
      <c r="I37" s="253"/>
      <c r="J37" s="252"/>
      <c r="K37" s="290">
        <f t="shared" si="8"/>
        <v>325.50952380952378</v>
      </c>
      <c r="L37" s="850">
        <f>SUMIFS(BV_Data_An_Cour!$O:$O,BV_Data_An_Cour!$U:$U,$B37,BV_Data_An_Cour!$V:$V,$C37,BV_Data_An_Cour!$W:$W,L$2)</f>
        <v>20507.099999999999</v>
      </c>
      <c r="M37" s="41"/>
      <c r="N37" s="860">
        <f t="shared" si="9"/>
        <v>-927.35564264499408</v>
      </c>
      <c r="O37" s="252"/>
      <c r="P37" s="290">
        <f t="shared" si="10"/>
        <v>273.39222222222224</v>
      </c>
      <c r="Q37" s="255">
        <f t="array" ref="Q37">+INDEX('Réel 2024'!$A$2:$AO$502,MATCH($A37,'Réel 2024'!$A$2:$A$502,0),MATCH(Q$2,'Réel 2024'!$A$2:$AO$2,0))</f>
        <v>22144.77</v>
      </c>
      <c r="R37" s="252"/>
      <c r="S37" s="275">
        <f t="shared" si="11"/>
        <v>-1637.6700000000019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original'!$A$2:$AO$502,MATCH($A38,'Budget original'!$A$2:$A$502,0),MATCH(F$2,'Budget original'!$A$2:$AO$2,0))</f>
        <v>0</v>
      </c>
      <c r="G38" s="297"/>
      <c r="H38" s="290"/>
      <c r="I38" s="253"/>
      <c r="J38" s="252"/>
      <c r="K38" s="290">
        <f t="shared" si="8"/>
        <v>0</v>
      </c>
      <c r="L38" s="301">
        <f>SUMIFS(BV_Data_An_Cour!$O:$O,BV_Data_An_Cour!$U:$U,$B38,BV_Data_An_Cour!$V:$V,$C38,BV_Data_An_Cour!$W:$W,L$2)</f>
        <v>0</v>
      </c>
      <c r="M38" s="41"/>
      <c r="N38" s="275">
        <f t="shared" si="9"/>
        <v>0</v>
      </c>
      <c r="O38" s="252"/>
      <c r="P38" s="290">
        <f t="shared" si="10"/>
        <v>0</v>
      </c>
      <c r="Q38" s="255">
        <f t="array" ref="Q38">+INDEX('Réel 2024'!$A$2:$AO$502,MATCH($A38,'Réel 2024'!$A$2:$A$502,0),MATCH(Q$2,'Réel 2024'!$A$2:$AO$2,0))</f>
        <v>0</v>
      </c>
      <c r="R38" s="252"/>
      <c r="S38" s="275">
        <f t="shared" si="11"/>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original'!$A$2:$AO$502,MATCH($A39,'Budget original'!$A$2:$A$502,0),MATCH(F$2,'Budget original'!$A$2:$AO$2,0))</f>
        <v>0</v>
      </c>
      <c r="G39" s="297"/>
      <c r="H39" s="290"/>
      <c r="I39" s="253"/>
      <c r="J39" s="252"/>
      <c r="K39" s="290">
        <f t="shared" si="8"/>
        <v>0</v>
      </c>
      <c r="L39" s="301">
        <f>SUMIFS(BV_Data_An_Cour!$O:$O,BV_Data_An_Cour!$U:$U,$B39,BV_Data_An_Cour!$V:$V,$C39,BV_Data_An_Cour!$W:$W,L$2)</f>
        <v>0</v>
      </c>
      <c r="M39" s="41"/>
      <c r="N39" s="275">
        <f t="shared" si="9"/>
        <v>0</v>
      </c>
      <c r="O39" s="252"/>
      <c r="P39" s="290">
        <f t="shared" si="10"/>
        <v>0</v>
      </c>
      <c r="Q39" s="255">
        <f t="array" ref="Q39">+INDEX('Réel 2024'!$A$2:$AO$502,MATCH($A39,'Réel 2024'!$A$2:$A$502,0),MATCH(Q$2,'Réel 2024'!$A$2:$AO$2,0))</f>
        <v>0</v>
      </c>
      <c r="R39" s="252"/>
      <c r="S39" s="275">
        <f t="shared" si="11"/>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original'!$A$2:$AO$502,MATCH($A40,'Budget original'!$A$2:$A$502,0),MATCH(F$2,'Budget original'!$A$2:$AO$2,0))</f>
        <v>0</v>
      </c>
      <c r="G40" s="297"/>
      <c r="H40" s="290"/>
      <c r="I40" s="253"/>
      <c r="J40" s="252"/>
      <c r="K40" s="290">
        <f t="shared" si="8"/>
        <v>0</v>
      </c>
      <c r="L40" s="302">
        <f>SUMIFS(BV_Data_An_Cour!$O:$O,BV_Data_An_Cour!$U:$U,$B40,BV_Data_An_Cour!$V:$V,$C40,BV_Data_An_Cour!$W:$W,L$2)</f>
        <v>0</v>
      </c>
      <c r="M40" s="41"/>
      <c r="N40" s="275">
        <f t="shared" si="9"/>
        <v>0</v>
      </c>
      <c r="O40" s="252"/>
      <c r="P40" s="290">
        <f t="shared" si="10"/>
        <v>0</v>
      </c>
      <c r="Q40" s="255">
        <f t="array" ref="Q40">+INDEX('Réel 2024'!$A$2:$AO$502,MATCH($A40,'Réel 2024'!$A$2:$A$502,0),MATCH(Q$2,'Réel 2024'!$A$2:$AO$2,0))</f>
        <v>0</v>
      </c>
      <c r="R40" s="252"/>
      <c r="S40" s="275">
        <f t="shared" si="11"/>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0.44517971225672032</v>
      </c>
      <c r="F41" s="306">
        <f>SUM(F31:F40)</f>
        <v>100814.78266193639</v>
      </c>
      <c r="G41" s="307"/>
      <c r="H41" s="305"/>
      <c r="I41" s="306"/>
      <c r="J41" s="307" t="s">
        <v>119</v>
      </c>
      <c r="K41" s="305">
        <f>L41/L$27</f>
        <v>0.52668666784055107</v>
      </c>
      <c r="L41" s="306">
        <f>SUM(L31:L40)</f>
        <v>87101.84</v>
      </c>
      <c r="M41" s="308"/>
      <c r="N41" s="306">
        <f t="shared" si="9"/>
        <v>-13712.942661936395</v>
      </c>
      <c r="O41" s="307" t="s">
        <v>119</v>
      </c>
      <c r="P41" s="305">
        <f>Q41/Q$27</f>
        <v>0.43398425342971719</v>
      </c>
      <c r="Q41" s="309">
        <f>SUM(Q31:Q40)</f>
        <v>110943.37000000001</v>
      </c>
      <c r="R41" s="310"/>
      <c r="S41" s="306">
        <f t="shared" si="11"/>
        <v>-23841.530000000013</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original'!$A$2:$AO$502,MATCH($A42,'Budget original'!$A$2:$A$502,0),MATCH(F$2,'Budget original'!$A$2:$AO$2,0))</f>
        <v>23102.564102564102</v>
      </c>
      <c r="G42" s="252"/>
      <c r="H42" s="41"/>
      <c r="I42" s="253"/>
      <c r="J42" s="252"/>
      <c r="K42" s="41"/>
      <c r="L42" s="255">
        <f>SUMIFS(BV_Data_An_Cour!$O:$O,BV_Data_An_Cour!$U:$U,$B42,BV_Data_An_Cour!$V:$V,$C42,BV_Data_An_Cour!$W:$W,L$2)</f>
        <v>9096.94</v>
      </c>
      <c r="M42" s="252"/>
      <c r="N42" s="275">
        <f t="shared" si="9"/>
        <v>-14005.624102564101</v>
      </c>
      <c r="O42" s="252"/>
      <c r="P42" s="978">
        <f>Q42/Q27</f>
        <v>8.2815833067203012E-2</v>
      </c>
      <c r="Q42" s="255">
        <f t="array" ref="Q42">+INDEX('Réel 2024'!$A$2:$AO$502,MATCH($A42,'Réel 2024'!$A$2:$A$502,0),MATCH(Q$2,'Réel 2024'!$A$2:$AO$2,0))</f>
        <v>21170.97</v>
      </c>
      <c r="R42" s="252"/>
      <c r="S42" s="275">
        <f t="shared" si="11"/>
        <v>-12074.03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original'!$A$2:$AO$502,MATCH($A43,'Budget original'!$A$2:$A$502,0),MATCH(F$2,'Budget original'!$A$2:$AO$2,0))</f>
        <v>22799.576773502566</v>
      </c>
      <c r="G43" s="297"/>
      <c r="H43" s="41"/>
      <c r="I43" s="247"/>
      <c r="J43" s="252"/>
      <c r="K43" s="41"/>
      <c r="L43" s="255">
        <f>SUMIFS(BV_Data_An_Cour!$O:$O,BV_Data_An_Cour!$U:$U,$B43,BV_Data_An_Cour!$V:$V,$C43,BV_Data_An_Cour!$W:$W,L$2)</f>
        <v>18985.36</v>
      </c>
      <c r="M43" s="252"/>
      <c r="N43" s="275">
        <f t="shared" si="9"/>
        <v>-3814.216773502565</v>
      </c>
      <c r="O43" s="252"/>
      <c r="P43" s="41"/>
      <c r="Q43" s="255">
        <f t="array" ref="Q43">+INDEX('Réel 2024'!$A$2:$AO$502,MATCH($A43,'Réel 2024'!$A$2:$A$502,0),MATCH(Q$2,'Réel 2024'!$A$2:$AO$2,0))</f>
        <v>11846.53</v>
      </c>
      <c r="R43" s="252"/>
      <c r="S43" s="275">
        <f t="shared" si="11"/>
        <v>7138.83</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original'!$A$2:$AO$502,MATCH($A44,'Budget original'!$A$2:$A$502,0),MATCH(F$2,'Budget original'!$A$2:$AO$2,0))</f>
        <v>0</v>
      </c>
      <c r="G44" s="315"/>
      <c r="H44" s="314"/>
      <c r="I44" s="253"/>
      <c r="J44" s="240"/>
      <c r="K44" s="314"/>
      <c r="L44" s="271">
        <f>SUMIFS(BV_Data_An_Cour!$O:$O,BV_Data_An_Cour!$U:$U,$B44,BV_Data_An_Cour!$V:$V,$C44,BV_Data_An_Cour!$W:$W,L$2)</f>
        <v>-3433.81</v>
      </c>
      <c r="M44" s="240"/>
      <c r="N44" s="316">
        <f t="shared" si="9"/>
        <v>-3433.81</v>
      </c>
      <c r="O44" s="240"/>
      <c r="P44" s="314"/>
      <c r="Q44" s="271">
        <f t="array" ref="Q44">+INDEX('Réel 2024'!$A$2:$AO$502,MATCH($A44,'Réel 2024'!$A$2:$A$502,0),MATCH(Q$2,'Réel 2024'!$A$2:$AO$2,0))</f>
        <v>1963.25</v>
      </c>
      <c r="R44" s="240"/>
      <c r="S44" s="316">
        <f t="shared" si="11"/>
        <v>-5397.0599999999995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original'!$A$2:$AO$502,MATCH($A45,'Budget original'!$A$2:$A$502,0),MATCH(F$2,'Budget original'!$A$2:$AO$2,0))</f>
        <v>0</v>
      </c>
      <c r="G45" s="297"/>
      <c r="H45" s="41"/>
      <c r="I45" s="253"/>
      <c r="J45" s="252"/>
      <c r="K45" s="41"/>
      <c r="L45" s="255">
        <f>SUMIFS(BV_Data_An_Cour!$O:$O,BV_Data_An_Cour!$U:$U,$B45,BV_Data_An_Cour!$V:$V,$C45,BV_Data_An_Cour!$W:$W,L$2)</f>
        <v>0</v>
      </c>
      <c r="M45" s="252"/>
      <c r="N45" s="275">
        <f t="shared" si="9"/>
        <v>0</v>
      </c>
      <c r="O45" s="252"/>
      <c r="P45" s="41"/>
      <c r="Q45" s="255">
        <f t="array" ref="Q45">+INDEX('Réel 2024'!$A$2:$AO$502,MATCH($A45,'Réel 2024'!$A$2:$A$502,0),MATCH(Q$2,'Réel 2024'!$A$2:$AO$2,0))</f>
        <v>0</v>
      </c>
      <c r="R45" s="252"/>
      <c r="S45" s="275">
        <f t="shared" si="1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original'!$A$2:$AO$502,MATCH($A46,'Budget original'!$A$2:$A$502,0),MATCH(F$2,'Budget original'!$A$2:$AO$2,0))</f>
        <v>0</v>
      </c>
      <c r="G46" s="297"/>
      <c r="H46" s="41"/>
      <c r="I46" s="253"/>
      <c r="J46" s="252"/>
      <c r="K46" s="41"/>
      <c r="L46" s="255">
        <f>SUMIFS(BV_Data_An_Cour!$O:$O,BV_Data_An_Cour!$U:$U,$B46,BV_Data_An_Cour!$V:$V,$C46,BV_Data_An_Cour!$W:$W,L$2)</f>
        <v>0</v>
      </c>
      <c r="M46" s="252"/>
      <c r="N46" s="275">
        <f t="shared" si="9"/>
        <v>0</v>
      </c>
      <c r="O46" s="252"/>
      <c r="P46" s="41"/>
      <c r="Q46" s="255">
        <f t="array" ref="Q46">+INDEX('Réel 2024'!$A$2:$AO$502,MATCH($A46,'Réel 2024'!$A$2:$A$502,0),MATCH(Q$2,'Réel 2024'!$A$2:$AO$2,0))</f>
        <v>0</v>
      </c>
      <c r="R46" s="252"/>
      <c r="S46" s="275">
        <f t="shared" si="1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original'!$A$2:$AO$502,MATCH($A47,'Budget original'!$A$2:$A$502,0),MATCH(F$2,'Budget original'!$A$2:$AO$2,0))</f>
        <v>0</v>
      </c>
      <c r="G47" s="297"/>
      <c r="H47" s="41"/>
      <c r="I47" s="253"/>
      <c r="J47" s="252"/>
      <c r="K47" s="41"/>
      <c r="L47" s="255">
        <f>SUMIFS(BV_Data_An_Cour!$O:$O,BV_Data_An_Cour!$U:$U,$B47,BV_Data_An_Cour!$V:$V,$C47,BV_Data_An_Cour!$W:$W,L$2)</f>
        <v>0</v>
      </c>
      <c r="M47" s="252"/>
      <c r="N47" s="275">
        <f t="shared" si="9"/>
        <v>0</v>
      </c>
      <c r="O47" s="252"/>
      <c r="P47" s="41"/>
      <c r="Q47" s="255">
        <f t="array" ref="Q47">+INDEX('Réel 2024'!$A$2:$AO$502,MATCH($A47,'Réel 2024'!$A$2:$A$502,0),MATCH(Q$2,'Réel 2024'!$A$2:$AO$2,0))</f>
        <v>0</v>
      </c>
      <c r="R47" s="252"/>
      <c r="S47" s="275">
        <f t="shared" si="1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original'!$A$2:$AO$502,MATCH($A48,'Budget original'!$A$2:$A$502,0),MATCH(F$2,'Budget original'!$A$2:$AO$2,0))</f>
        <v>0</v>
      </c>
      <c r="G48" s="297"/>
      <c r="H48" s="41"/>
      <c r="I48" s="253"/>
      <c r="J48" s="252"/>
      <c r="K48" s="41"/>
      <c r="L48" s="255">
        <f>SUMIFS(BV_Data_An_Cour!$O:$O,BV_Data_An_Cour!$U:$U,$B48,BV_Data_An_Cour!$V:$V,$C48,BV_Data_An_Cour!$W:$W,L$2)</f>
        <v>0</v>
      </c>
      <c r="M48" s="252"/>
      <c r="N48" s="275">
        <f t="shared" si="9"/>
        <v>0</v>
      </c>
      <c r="O48" s="252"/>
      <c r="P48" s="41"/>
      <c r="Q48" s="255">
        <f t="array" ref="Q48">+INDEX('Réel 2024'!$A$2:$AO$502,MATCH($A48,'Réel 2024'!$A$2:$A$502,0),MATCH(Q$2,'Réel 2024'!$A$2:$AO$2,0))</f>
        <v>0</v>
      </c>
      <c r="R48" s="252"/>
      <c r="S48" s="275">
        <f t="shared" si="1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original'!$A$2:$AO$502,MATCH($A49,'Budget original'!$A$2:$A$502,0),MATCH(F$2,'Budget original'!$A$2:$AO$2,0))</f>
        <v>12704.781325943057</v>
      </c>
      <c r="G49" s="297"/>
      <c r="H49" s="41"/>
      <c r="I49" s="247"/>
      <c r="J49" s="252"/>
      <c r="K49" s="41"/>
      <c r="L49" s="247">
        <f>SUMIFS(BV_Data_An_Cour!$O:$O,BV_Data_An_Cour!$U:$U,$B49,BV_Data_An_Cour!$V:$V,$C49,BV_Data_An_Cour!$W:$W,L$2)</f>
        <v>11054.71</v>
      </c>
      <c r="M49" s="252"/>
      <c r="N49" s="275">
        <f t="shared" si="9"/>
        <v>-1650.0713259430577</v>
      </c>
      <c r="O49" s="252"/>
      <c r="P49" s="41"/>
      <c r="Q49" s="247">
        <f t="array" ref="Q49">+INDEX('Réel 2024'!$A$2:$AO$502,MATCH($A49,'Réel 2024'!$A$2:$A$502,0),MATCH(Q$2,'Réel 2024'!$A$2:$AO$2,0))</f>
        <v>10866.84</v>
      </c>
      <c r="R49" s="252"/>
      <c r="S49" s="275">
        <f t="shared" si="11"/>
        <v>187.86999999999898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original'!$A$2:$AO$502,MATCH($A50,'Budget original'!$A$2:$A$502,0),MATCH(F$2,'Budget original'!$A$2:$AO$2,0))</f>
        <v>15447.223109957196</v>
      </c>
      <c r="G50" s="315"/>
      <c r="H50" s="314"/>
      <c r="I50" s="253"/>
      <c r="J50" s="240"/>
      <c r="K50" s="314"/>
      <c r="L50" s="255">
        <f>SUMIFS(BV_Data_An_Cour!$O:$O,BV_Data_An_Cour!$U:$U,$B50,BV_Data_An_Cour!$V:$V,$C50,BV_Data_An_Cour!$W:$W,L$2)</f>
        <v>14133.73</v>
      </c>
      <c r="M50" s="240"/>
      <c r="N50" s="316">
        <f t="shared" si="9"/>
        <v>-1313.4931099571968</v>
      </c>
      <c r="O50" s="240"/>
      <c r="P50" s="314"/>
      <c r="Q50" s="255">
        <f t="array" ref="Q50">+INDEX('Réel 2024'!$A$2:$AO$502,MATCH($A50,'Réel 2024'!$A$2:$A$502,0),MATCH(Q$2,'Réel 2024'!$A$2:$AO$2,0))</f>
        <v>13752.02</v>
      </c>
      <c r="R50" s="240"/>
      <c r="S50" s="316">
        <f t="shared" si="11"/>
        <v>381.70999999999913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original'!$A$2:$AO$502,MATCH($A51,'Budget original'!$A$2:$A$502,0),MATCH(F$2,'Budget original'!$A$2:$AO$2,0))</f>
        <v>7958.6779936083803</v>
      </c>
      <c r="G51" s="297"/>
      <c r="H51" s="41"/>
      <c r="I51" s="253"/>
      <c r="J51" s="252"/>
      <c r="K51" s="41"/>
      <c r="L51" s="255">
        <f>SUMIFS(BV_Data_An_Cour!$O:$O,BV_Data_An_Cour!$U:$U,$B51,BV_Data_An_Cour!$V:$V,$C51,BV_Data_An_Cour!$W:$W,L$2)</f>
        <v>6003.17</v>
      </c>
      <c r="M51" s="252"/>
      <c r="N51" s="275">
        <f t="shared" si="9"/>
        <v>-1955.5079936083803</v>
      </c>
      <c r="O51" s="252"/>
      <c r="P51" s="41"/>
      <c r="Q51" s="255">
        <f t="array" ref="Q51">+INDEX('Réel 2024'!$A$2:$AO$502,MATCH($A51,'Réel 2024'!$A$2:$A$502,0),MATCH(Q$2,'Réel 2024'!$A$2:$AO$2,0))</f>
        <v>7178.18</v>
      </c>
      <c r="R51" s="252"/>
      <c r="S51" s="275">
        <f t="shared" si="11"/>
        <v>-1175.0100000000002</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original'!$A$2:$AO$502,MATCH($A52,'Budget original'!$A$2:$A$502,0),MATCH(F$2,'Budget original'!$A$2:$AO$2,0))</f>
        <v>3470.028379772993</v>
      </c>
      <c r="G52" s="297"/>
      <c r="H52" s="41"/>
      <c r="I52" s="253"/>
      <c r="J52" s="252"/>
      <c r="K52" s="41"/>
      <c r="L52" s="255">
        <f>SUMIFS(BV_Data_An_Cour!$O:$O,BV_Data_An_Cour!$U:$U,$B52,BV_Data_An_Cour!$V:$V,$C52,BV_Data_An_Cour!$W:$W,L$2)</f>
        <v>2404.11</v>
      </c>
      <c r="M52" s="252"/>
      <c r="N52" s="275">
        <f t="shared" si="9"/>
        <v>-1065.9183797729929</v>
      </c>
      <c r="O52" s="252"/>
      <c r="P52" s="41"/>
      <c r="Q52" s="255">
        <f t="array" ref="Q52">+INDEX('Réel 2024'!$A$2:$AO$502,MATCH($A52,'Réel 2024'!$A$2:$A$502,0),MATCH(Q$2,'Réel 2024'!$A$2:$AO$2,0))</f>
        <v>3241.11</v>
      </c>
      <c r="R52" s="252"/>
      <c r="S52" s="275">
        <f t="shared" si="11"/>
        <v>-837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original'!$A$2:$AO$502,MATCH($A53,'Budget original'!$A$2:$A$502,0),MATCH(F$2,'Budget original'!$A$2:$AO$2,0))</f>
        <v>0</v>
      </c>
      <c r="G53" s="299"/>
      <c r="H53" s="317"/>
      <c r="I53" s="253"/>
      <c r="J53" s="245"/>
      <c r="K53" s="317"/>
      <c r="L53" s="255">
        <f>SUMIFS(BV_Data_An_Cour!$O:$O,BV_Data_An_Cour!$U:$U,$B53,BV_Data_An_Cour!$V:$V,$C53,BV_Data_An_Cour!$W:$W,L$2)</f>
        <v>0</v>
      </c>
      <c r="M53" s="245"/>
      <c r="N53" s="295">
        <f t="shared" si="9"/>
        <v>0</v>
      </c>
      <c r="O53" s="245"/>
      <c r="P53" s="317"/>
      <c r="Q53" s="255">
        <f t="array" ref="Q53">+INDEX('Réel 2024'!$A$2:$AO$502,MATCH($A53,'Réel 2024'!$A$2:$A$502,0),MATCH(Q$2,'Réel 2024'!$A$2:$AO$2,0))</f>
        <v>0</v>
      </c>
      <c r="R53" s="245"/>
      <c r="S53" s="295">
        <f t="shared" si="11"/>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0.37747669846969156</v>
      </c>
      <c r="F54" s="306">
        <f>+SUM(F42:F53)</f>
        <v>85482.851685348287</v>
      </c>
      <c r="G54" s="307"/>
      <c r="H54" s="305"/>
      <c r="I54" s="306"/>
      <c r="J54" s="307" t="s">
        <v>119</v>
      </c>
      <c r="K54" s="305">
        <f>L54/L$27</f>
        <v>0.35219059535258157</v>
      </c>
      <c r="L54" s="306">
        <f>+SUM(L42:L53)</f>
        <v>58244.209999999992</v>
      </c>
      <c r="M54" s="310"/>
      <c r="N54" s="306">
        <f>+SUM(N42:N53)</f>
        <v>-27238.641685348295</v>
      </c>
      <c r="O54" s="307" t="s">
        <v>119</v>
      </c>
      <c r="P54" s="305">
        <f>Q54/Q$27</f>
        <v>0.27389739506263444</v>
      </c>
      <c r="Q54" s="306">
        <f>+SUM(Q42:Q53)</f>
        <v>70018.900000000009</v>
      </c>
      <c r="R54" s="310"/>
      <c r="S54" s="306">
        <f>+SUM(S42:S53)</f>
        <v>-11774.690000000002</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original'!$A$2:$AO$502,MATCH($A55,'Budget original'!$A$2:$A$502,0),MATCH(F$2,'Budget original'!$A$2:$AO$2,0))</f>
        <v>0</v>
      </c>
      <c r="G55" s="297"/>
      <c r="H55" s="41"/>
      <c r="I55" s="253"/>
      <c r="J55" s="252"/>
      <c r="K55" s="41"/>
      <c r="L55" s="255">
        <f>SUMIFS(BV_Data_An_Cour!$O:$O,BV_Data_An_Cour!$U:$U,$B55,BV_Data_An_Cour!$V:$V,$C55,BV_Data_An_Cour!$W:$W,L$2)</f>
        <v>0</v>
      </c>
      <c r="M55" s="252"/>
      <c r="N55" s="275">
        <f t="shared" ref="N55:N71" si="12">L55-F55</f>
        <v>0</v>
      </c>
      <c r="O55" s="252"/>
      <c r="P55" s="41"/>
      <c r="Q55" s="255">
        <f t="array" ref="Q55">+INDEX('Réel 2024'!$A$2:$AO$502,MATCH($A55,'Réel 2024'!$A$2:$A$502,0),MATCH(Q$2,'Réel 2024'!$A$2:$AO$2,0))</f>
        <v>0</v>
      </c>
      <c r="R55" s="252"/>
      <c r="S55" s="275">
        <f t="shared" ref="S55:S71" si="13">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original'!$A$2:$AO$502,MATCH($A56,'Budget original'!$A$2:$A$502,0),MATCH(F$2,'Budget original'!$A$2:$AO$2,0))</f>
        <v>0</v>
      </c>
      <c r="G56" s="297"/>
      <c r="H56" s="41"/>
      <c r="I56" s="253"/>
      <c r="J56" s="252"/>
      <c r="K56" s="41"/>
      <c r="L56" s="255">
        <f>SUMIFS(BV_Data_An_Cour!$O:$O,BV_Data_An_Cour!$U:$U,$B56,BV_Data_An_Cour!$V:$V,$C56,BV_Data_An_Cour!$W:$W,L$2)</f>
        <v>0</v>
      </c>
      <c r="M56" s="252"/>
      <c r="N56" s="275">
        <f t="shared" si="12"/>
        <v>0</v>
      </c>
      <c r="O56" s="252"/>
      <c r="P56" s="41"/>
      <c r="Q56" s="255">
        <f t="array" ref="Q56">+INDEX('Réel 2024'!$A$2:$AO$502,MATCH($A56,'Réel 2024'!$A$2:$A$502,0),MATCH(Q$2,'Réel 2024'!$A$2:$AO$2,0))</f>
        <v>0</v>
      </c>
      <c r="R56" s="252"/>
      <c r="S56" s="275">
        <f t="shared" si="13"/>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original'!$A$2:$AO$502,MATCH($A57,'Budget original'!$A$2:$A$502,0),MATCH(F$2,'Budget original'!$A$2:$AO$2,0))</f>
        <v>8952.5479333333333</v>
      </c>
      <c r="G57" s="299"/>
      <c r="H57" s="317"/>
      <c r="I57" s="247"/>
      <c r="J57" s="245"/>
      <c r="K57" s="317"/>
      <c r="L57" s="247">
        <f>SUMIFS(BV_Data_An_Cour!$O:$O,BV_Data_An_Cour!$U:$U,$B57,BV_Data_An_Cour!$V:$V,$C57,BV_Data_An_Cour!$W:$W,L$2)</f>
        <v>7900.54</v>
      </c>
      <c r="M57" s="245"/>
      <c r="N57" s="295">
        <f t="shared" si="12"/>
        <v>-1052.0079333333333</v>
      </c>
      <c r="O57" s="245"/>
      <c r="P57" s="317"/>
      <c r="Q57" s="247">
        <f t="array" ref="Q57">+INDEX('Réel 2024'!$A$2:$AO$502,MATCH($A57,'Réel 2024'!$A$2:$A$502,0),MATCH(Q$2,'Réel 2024'!$A$2:$AO$2,0))</f>
        <v>7490.62</v>
      </c>
      <c r="R57" s="245"/>
      <c r="S57" s="295">
        <f t="shared" si="13"/>
        <v>409.92000000000007</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original'!$A$2:$AO$502,MATCH($A58,'Budget original'!$A$2:$A$502,0),MATCH(F$2,'Budget original'!$A$2:$AO$2,0))</f>
        <v>6690</v>
      </c>
      <c r="G58" s="297"/>
      <c r="H58" s="41"/>
      <c r="I58" s="253"/>
      <c r="J58" s="252"/>
      <c r="K58" s="41"/>
      <c r="L58" s="255">
        <f>SUMIFS(BV_Data_An_Cour!$O:$O,BV_Data_An_Cour!$U:$U,$B58,BV_Data_An_Cour!$V:$V,$C58,BV_Data_An_Cour!$W:$W,L$2)</f>
        <v>9319.94</v>
      </c>
      <c r="M58" s="252"/>
      <c r="N58" s="275">
        <f t="shared" si="12"/>
        <v>2629.9400000000005</v>
      </c>
      <c r="O58" s="252"/>
      <c r="P58" s="41"/>
      <c r="Q58" s="255">
        <f t="array" ref="Q58">+INDEX('Réel 2024'!$A$2:$AO$502,MATCH($A58,'Réel 2024'!$A$2:$A$502,0),MATCH(Q$2,'Réel 2024'!$A$2:$AO$2,0))</f>
        <v>7652.37</v>
      </c>
      <c r="R58" s="252"/>
      <c r="S58" s="275">
        <f t="shared" si="13"/>
        <v>1667.5700000000006</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original'!$A$2:$AO$502,MATCH($A59,'Budget original'!$A$2:$A$502,0),MATCH(F$2,'Budget original'!$A$2:$AO$2,0))</f>
        <v>1500</v>
      </c>
      <c r="G59" s="297"/>
      <c r="H59" s="41"/>
      <c r="I59" s="253"/>
      <c r="J59" s="252"/>
      <c r="K59" s="41"/>
      <c r="L59" s="255">
        <f>SUMIFS(BV_Data_An_Cour!$O:$O,BV_Data_An_Cour!$U:$U,$B59,BV_Data_An_Cour!$V:$V,$C59,BV_Data_An_Cour!$W:$W,L$2)</f>
        <v>462.42</v>
      </c>
      <c r="M59" s="252"/>
      <c r="N59" s="275">
        <f t="shared" si="12"/>
        <v>-1037.58</v>
      </c>
      <c r="O59" s="252"/>
      <c r="P59" s="41"/>
      <c r="Q59" s="255">
        <f t="array" ref="Q59">+INDEX('Réel 2024'!$A$2:$AO$502,MATCH($A59,'Réel 2024'!$A$2:$A$502,0),MATCH(Q$2,'Réel 2024'!$A$2:$AO$2,0))</f>
        <v>1293.58</v>
      </c>
      <c r="R59" s="252"/>
      <c r="S59" s="275">
        <f t="shared" si="13"/>
        <v>-831.15999999999985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original'!$A$2:$AO$502,MATCH($A60,'Budget original'!$A$2:$A$502,0),MATCH(F$2,'Budget original'!$A$2:$AO$2,0))</f>
        <v>3629.12</v>
      </c>
      <c r="G60" s="299"/>
      <c r="H60" s="317"/>
      <c r="I60" s="247"/>
      <c r="J60" s="245"/>
      <c r="K60" s="317"/>
      <c r="L60" s="255">
        <f>SUMIFS(BV_Data_An_Cour!$O:$O,BV_Data_An_Cour!$U:$U,$B60,BV_Data_An_Cour!$V:$V,$C60,BV_Data_An_Cour!$W:$W,L$2)</f>
        <v>3731.26</v>
      </c>
      <c r="M60" s="245"/>
      <c r="N60" s="295">
        <f t="shared" si="12"/>
        <v>102.14000000000033</v>
      </c>
      <c r="O60" s="245"/>
      <c r="P60" s="317"/>
      <c r="Q60" s="247">
        <f t="array" ref="Q60">+INDEX('Réel 2024'!$A$2:$AO$502,MATCH($A60,'Réel 2024'!$A$2:$A$502,0),MATCH(Q$2,'Réel 2024'!$A$2:$AO$2,0))</f>
        <v>8436.09</v>
      </c>
      <c r="R60" s="245"/>
      <c r="S60" s="295">
        <f t="shared" si="13"/>
        <v>-4704.83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original'!$A$2:$AO$502,MATCH($A61,'Budget original'!$A$2:$A$502,0),MATCH(F$2,'Budget original'!$A$2:$AO$2,0))</f>
        <v>70</v>
      </c>
      <c r="G61" s="297"/>
      <c r="H61" s="41"/>
      <c r="I61" s="253"/>
      <c r="J61" s="252"/>
      <c r="K61" s="41"/>
      <c r="L61" s="271">
        <f>SUMIFS(BV_Data_An_Cour!$O:$O,BV_Data_An_Cour!$U:$U,$B61,BV_Data_An_Cour!$V:$V,$C61,BV_Data_An_Cour!$W:$W,L$2)</f>
        <v>0</v>
      </c>
      <c r="M61" s="252"/>
      <c r="N61" s="275">
        <f t="shared" si="12"/>
        <v>-70</v>
      </c>
      <c r="O61" s="252"/>
      <c r="P61" s="41"/>
      <c r="Q61" s="255">
        <f t="array" ref="Q61">+INDEX('Réel 2024'!$A$2:$AO$502,MATCH($A61,'Réel 2024'!$A$2:$A$502,0),MATCH(Q$2,'Réel 2024'!$A$2:$AO$2,0))</f>
        <v>0</v>
      </c>
      <c r="R61" s="252"/>
      <c r="S61" s="275">
        <f t="shared" si="1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original'!$A$2:$AO$502,MATCH($A62,'Budget original'!$A$2:$A$502,0),MATCH(F$2,'Budget original'!$A$2:$AO$2,0))</f>
        <v>0</v>
      </c>
      <c r="G62" s="297"/>
      <c r="H62" s="41"/>
      <c r="I62" s="253"/>
      <c r="J62" s="252"/>
      <c r="K62" s="41"/>
      <c r="L62" s="255">
        <f>SUMIFS(BV_Data_An_Cour!$O:$O,BV_Data_An_Cour!$U:$U,$B62,BV_Data_An_Cour!$V:$V,$C62,BV_Data_An_Cour!$W:$W,L$2)</f>
        <v>0</v>
      </c>
      <c r="M62" s="252"/>
      <c r="N62" s="275">
        <f t="shared" si="12"/>
        <v>0</v>
      </c>
      <c r="O62" s="252"/>
      <c r="P62" s="41"/>
      <c r="Q62" s="255">
        <f t="array" ref="Q62">+INDEX('Réel 2024'!$A$2:$AO$502,MATCH($A62,'Réel 2024'!$A$2:$A$502,0),MATCH(Q$2,'Réel 2024'!$A$2:$AO$2,0))</f>
        <v>0</v>
      </c>
      <c r="R62" s="252"/>
      <c r="S62" s="275">
        <f t="shared" si="1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original'!$A$2:$AO$502,MATCH($A63,'Budget original'!$A$2:$A$502,0),MATCH(F$2,'Budget original'!$A$2:$AO$2,0))</f>
        <v>595</v>
      </c>
      <c r="G63" s="297"/>
      <c r="H63" s="41"/>
      <c r="I63" s="253"/>
      <c r="J63" s="252"/>
      <c r="K63" s="41"/>
      <c r="L63" s="255">
        <f>SUMIFS(BV_Data_An_Cour!$O:$O,BV_Data_An_Cour!$U:$U,$B63,BV_Data_An_Cour!$V:$V,$C63,BV_Data_An_Cour!$W:$W,L$2)</f>
        <v>491.25</v>
      </c>
      <c r="M63" s="252"/>
      <c r="N63" s="275">
        <f t="shared" si="12"/>
        <v>-103.75</v>
      </c>
      <c r="O63" s="252"/>
      <c r="P63" s="41"/>
      <c r="Q63" s="255">
        <f t="array" ref="Q63">+INDEX('Réel 2024'!$A$2:$AO$502,MATCH($A63,'Réel 2024'!$A$2:$A$502,0),MATCH(Q$2,'Réel 2024'!$A$2:$AO$2,0))</f>
        <v>218.53</v>
      </c>
      <c r="R63" s="252"/>
      <c r="S63" s="275">
        <f t="shared" si="13"/>
        <v>272.72000000000003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original'!$A$2:$AO$502,MATCH($A64,'Budget original'!$A$2:$A$502,0),MATCH(F$2,'Budget original'!$A$2:$AO$2,0))</f>
        <v>437.5</v>
      </c>
      <c r="G64" s="297"/>
      <c r="H64" s="41"/>
      <c r="I64" s="253"/>
      <c r="J64" s="252"/>
      <c r="K64" s="41"/>
      <c r="L64" s="255">
        <f>SUMIFS(BV_Data_An_Cour!$O:$O,BV_Data_An_Cour!$U:$U,$B64,BV_Data_An_Cour!$V:$V,$C64,BV_Data_An_Cour!$W:$W,L$2)</f>
        <v>273.23</v>
      </c>
      <c r="M64" s="252"/>
      <c r="N64" s="275">
        <f t="shared" si="12"/>
        <v>-164.26999999999998</v>
      </c>
      <c r="O64" s="252"/>
      <c r="P64" s="41"/>
      <c r="Q64" s="255">
        <f t="array" ref="Q64">+INDEX('Réel 2024'!$A$2:$AO$502,MATCH($A64,'Réel 2024'!$A$2:$A$502,0),MATCH(Q$2,'Réel 2024'!$A$2:$AO$2,0))</f>
        <v>355.13</v>
      </c>
      <c r="R64" s="252"/>
      <c r="S64" s="275">
        <f t="shared" si="13"/>
        <v>-81.899999999999977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original'!$A$2:$AO$502,MATCH($A65,'Budget original'!$A$2:$A$502,0),MATCH(F$2,'Budget original'!$A$2:$AO$2,0))</f>
        <v>227.92</v>
      </c>
      <c r="G65" s="297"/>
      <c r="H65" s="41"/>
      <c r="I65" s="253"/>
      <c r="J65" s="252"/>
      <c r="K65" s="41"/>
      <c r="L65" s="255">
        <f>SUMIFS(BV_Data_An_Cour!$O:$O,BV_Data_An_Cour!$U:$U,$B65,BV_Data_An_Cour!$V:$V,$C65,BV_Data_An_Cour!$W:$W,L$2)</f>
        <v>90.83</v>
      </c>
      <c r="M65" s="252"/>
      <c r="N65" s="275">
        <f t="shared" si="12"/>
        <v>-137.08999999999997</v>
      </c>
      <c r="O65" s="252"/>
      <c r="P65" s="41"/>
      <c r="Q65" s="255">
        <f t="array" ref="Q65">+INDEX('Réel 2024'!$A$2:$AO$502,MATCH($A65,'Réel 2024'!$A$2:$A$502,0),MATCH(Q$2,'Réel 2024'!$A$2:$AO$2,0))</f>
        <v>54.6</v>
      </c>
      <c r="R65" s="252"/>
      <c r="S65" s="275">
        <f t="shared" si="13"/>
        <v>36.229999999999997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original'!$A$2:$AO$502,MATCH($A66,'Budget original'!$A$2:$A$502,0),MATCH(F$2,'Budget original'!$A$2:$AO$2,0))</f>
        <v>120</v>
      </c>
      <c r="G66" s="297"/>
      <c r="H66" s="41"/>
      <c r="I66" s="253"/>
      <c r="J66" s="252"/>
      <c r="K66" s="41"/>
      <c r="L66" s="255">
        <f>SUMIFS(BV_Data_An_Cour!$O:$O,BV_Data_An_Cour!$U:$U,$B66,BV_Data_An_Cour!$V:$V,$C66,BV_Data_An_Cour!$W:$W,L$2)</f>
        <v>18.850000000000001</v>
      </c>
      <c r="M66" s="252"/>
      <c r="N66" s="275">
        <f t="shared" si="12"/>
        <v>-101.15</v>
      </c>
      <c r="O66" s="252"/>
      <c r="P66" s="41"/>
      <c r="Q66" s="255">
        <f t="array" ref="Q66">+INDEX('Réel 2024'!$A$2:$AO$502,MATCH($A66,'Réel 2024'!$A$2:$A$502,0),MATCH(Q$2,'Réel 2024'!$A$2:$AO$2,0))</f>
        <v>62.72</v>
      </c>
      <c r="R66" s="252"/>
      <c r="S66" s="275">
        <f t="shared" si="13"/>
        <v>-43.87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original'!$A$2:$AO$502,MATCH($A67,'Budget original'!$A$2:$A$502,0),MATCH(F$2,'Budget original'!$A$2:$AO$2,0))</f>
        <v>1916.6666666666667</v>
      </c>
      <c r="G67" s="297"/>
      <c r="H67" s="41"/>
      <c r="I67" s="253"/>
      <c r="J67" s="252"/>
      <c r="K67" s="41"/>
      <c r="L67" s="255">
        <f>SUMIFS(BV_Data_An_Cour!$O:$O,BV_Data_An_Cour!$U:$U,$B67,BV_Data_An_Cour!$V:$V,$C67,BV_Data_An_Cour!$W:$W,L$2)</f>
        <v>0</v>
      </c>
      <c r="M67" s="252"/>
      <c r="N67" s="275">
        <f t="shared" si="12"/>
        <v>-1916.6666666666667</v>
      </c>
      <c r="O67" s="252"/>
      <c r="P67" s="41"/>
      <c r="Q67" s="255">
        <f t="array" ref="Q67">+INDEX('Réel 2024'!$A$2:$AO$502,MATCH($A67,'Réel 2024'!$A$2:$A$502,0),MATCH(Q$2,'Réel 2024'!$A$2:$AO$2,0))</f>
        <v>2528.0700000000002</v>
      </c>
      <c r="R67" s="252"/>
      <c r="S67" s="275">
        <f t="shared" si="13"/>
        <v>-2528.0700000000002</v>
      </c>
      <c r="T67" s="41"/>
      <c r="U67" s="1148"/>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original'!$A$2:$AO$502,MATCH($A68,'Budget original'!$A$2:$A$502,0),MATCH(F$2,'Budget original'!$A$2:$AO$2,0))</f>
        <v>3764.2586023400909</v>
      </c>
      <c r="G68" s="297"/>
      <c r="H68" s="41"/>
      <c r="I68" s="253"/>
      <c r="J68" s="252"/>
      <c r="K68" s="41"/>
      <c r="L68" s="851">
        <f>SUMIFS(BV_Data_An_Cour!$O:$O,BV_Data_An_Cour!$U:$U,$B68,BV_Data_An_Cour!$V:$V,$C68,BV_Data_An_Cour!$W:$W,L$2)</f>
        <v>4203.97</v>
      </c>
      <c r="M68" s="252"/>
      <c r="N68" s="860">
        <f t="shared" si="12"/>
        <v>439.71139765990938</v>
      </c>
      <c r="O68" s="252"/>
      <c r="P68" s="41"/>
      <c r="Q68" s="255">
        <f t="array" ref="Q68">+INDEX('Réel 2024'!$A$2:$AO$502,MATCH($A68,'Réel 2024'!$A$2:$A$502,0),MATCH(Q$2,'Réel 2024'!$A$2:$AO$2,0))</f>
        <v>3902.37</v>
      </c>
      <c r="R68" s="252"/>
      <c r="S68" s="275">
        <f t="shared" si="13"/>
        <v>301.60000000000036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original'!$A$2:$AO$502,MATCH($A69,'Budget original'!$A$2:$A$502,0),MATCH(F$2,'Budget original'!$A$2:$AO$2,0))</f>
        <v>0</v>
      </c>
      <c r="G69" s="297"/>
      <c r="H69" s="41"/>
      <c r="I69" s="253"/>
      <c r="J69" s="252"/>
      <c r="K69" s="41"/>
      <c r="L69" s="255"/>
      <c r="M69" s="252"/>
      <c r="N69" s="275">
        <f t="shared" si="12"/>
        <v>0</v>
      </c>
      <c r="O69" s="252"/>
      <c r="P69" s="41"/>
      <c r="Q69" s="255">
        <f t="array" ref="Q69">+INDEX('Réel 2024'!$A$2:$AO$502,MATCH($A69,'Réel 2024'!$A$2:$A$502,0),MATCH(Q$2,'Réel 2024'!$A$2:$AO$2,0))</f>
        <v>0</v>
      </c>
      <c r="R69" s="252"/>
      <c r="S69" s="275">
        <f t="shared" si="13"/>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original'!$A$2:$AO$502,MATCH($A70,'Budget original'!$A$2:$A$502,0),MATCH(F$2,'Budget original'!$A$2:$AO$2,0))</f>
        <v>0</v>
      </c>
      <c r="G70" s="297"/>
      <c r="H70" s="41"/>
      <c r="I70" s="253"/>
      <c r="J70" s="252"/>
      <c r="K70" s="41"/>
      <c r="L70" s="255">
        <f>SUMIFS(BV_Data_An_Cour!$O:$O,BV_Data_An_Cour!$U:$U,$B70,BV_Data_An_Cour!$V:$V,$C70,BV_Data_An_Cour!$W:$W,L$2)</f>
        <v>0</v>
      </c>
      <c r="M70" s="252"/>
      <c r="N70" s="275">
        <f t="shared" si="12"/>
        <v>0</v>
      </c>
      <c r="O70" s="252"/>
      <c r="P70" s="41"/>
      <c r="Q70" s="255">
        <f t="array" ref="Q70">+INDEX('Réel 2024'!$A$2:$AO$502,MATCH($A70,'Réel 2024'!$A$2:$A$502,0),MATCH(Q$2,'Réel 2024'!$A$2:$AO$2,0))</f>
        <v>0</v>
      </c>
      <c r="R70" s="252"/>
      <c r="S70" s="275">
        <f t="shared" si="13"/>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original'!$A$2:$AO$502,MATCH($A71,'Budget original'!$A$2:$A$502,0),MATCH(F$2,'Budget original'!$A$2:$AO$2,0))</f>
        <v>0</v>
      </c>
      <c r="G71" s="297"/>
      <c r="H71" s="41"/>
      <c r="I71" s="253"/>
      <c r="J71" s="252"/>
      <c r="K71" s="41"/>
      <c r="L71" s="255">
        <f>SUMIFS(BV_Data_An_Cour!$O:$O,BV_Data_An_Cour!$U:$U,$B71,BV_Data_An_Cour!$V:$V,$C71,BV_Data_An_Cour!$W:$W,L$2)*0.32</f>
        <v>0</v>
      </c>
      <c r="M71" s="252"/>
      <c r="N71" s="275">
        <f t="shared" si="12"/>
        <v>0</v>
      </c>
      <c r="O71" s="252"/>
      <c r="P71" s="41"/>
      <c r="Q71" s="255">
        <f t="array" ref="Q71">+INDEX('Réel 2024'!$A$2:$AO$502,MATCH($A71,'Réel 2024'!$A$2:$A$502,0),MATCH(Q$2,'Réel 2024'!$A$2:$AO$2,0))</f>
        <v>0</v>
      </c>
      <c r="R71" s="252"/>
      <c r="S71" s="275">
        <f t="shared" si="13"/>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0.12321462250399934</v>
      </c>
      <c r="F72" s="306">
        <f>+SUM(F55:F71)</f>
        <v>27903.013202340091</v>
      </c>
      <c r="G72" s="307"/>
      <c r="H72" s="305"/>
      <c r="I72" s="306"/>
      <c r="J72" s="307" t="s">
        <v>119</v>
      </c>
      <c r="K72" s="305">
        <f>L72/L$27</f>
        <v>0.16019335462448961</v>
      </c>
      <c r="L72" s="306">
        <f>+SUM(L55:L71)</f>
        <v>26492.289999999997</v>
      </c>
      <c r="M72" s="310"/>
      <c r="N72" s="306">
        <f>+SUM(N55:N71)</f>
        <v>-1410.7232023400898</v>
      </c>
      <c r="O72" s="307" t="s">
        <v>119</v>
      </c>
      <c r="P72" s="305">
        <f>Q72/Q$27</f>
        <v>0.12515328246267121</v>
      </c>
      <c r="Q72" s="306">
        <f>+SUM(Q55:Q71)</f>
        <v>31994.079999999998</v>
      </c>
      <c r="R72" s="310"/>
      <c r="S72" s="306">
        <f>+SUM(S55:S71)</f>
        <v>-5501.7899999999991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0.94587103323041122</v>
      </c>
      <c r="F74" s="306">
        <f>F41+F54+F72</f>
        <v>214200.64754962476</v>
      </c>
      <c r="G74" s="307"/>
      <c r="H74" s="305"/>
      <c r="I74" s="306"/>
      <c r="J74" s="307" t="s">
        <v>119</v>
      </c>
      <c r="K74" s="305">
        <f>L74/L$27</f>
        <v>1.0390706178176223</v>
      </c>
      <c r="L74" s="306">
        <f>L41+L54+L72</f>
        <v>171838.34</v>
      </c>
      <c r="M74" s="310"/>
      <c r="N74" s="319">
        <f t="shared" ref="N74:N82" si="14">L74-F74</f>
        <v>-42362.307549624762</v>
      </c>
      <c r="O74" s="307" t="s">
        <v>119</v>
      </c>
      <c r="P74" s="305">
        <f>Q74/Q$27</f>
        <v>0.83303493095502279</v>
      </c>
      <c r="Q74" s="306">
        <f>Q41+Q54+Q72</f>
        <v>212956.35</v>
      </c>
      <c r="R74" s="310"/>
      <c r="S74" s="319">
        <f>L74-Q74</f>
        <v>-41118.010000000009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original'!$A$2:$AO$502,MATCH($A75,'Budget original'!$A$2:$A$502,0),MATCH(F$2,'Budget original'!$A$2:$AO$2,0))</f>
        <v>0</v>
      </c>
      <c r="G75" s="297"/>
      <c r="H75" s="41"/>
      <c r="I75" s="253"/>
      <c r="J75" s="252"/>
      <c r="K75" s="41"/>
      <c r="L75" s="255">
        <f>-SUMIFS(BV_Data_An_Cour!$O:$O,BV_Data_An_Cour!$U:$U,$B75,BV_Data_An_Cour!$V:$V,$C75,BV_Data_An_Cour!$W:$W,L$2)-L157</f>
        <v>21700</v>
      </c>
      <c r="M75" s="252"/>
      <c r="N75" s="275">
        <f t="shared" si="14"/>
        <v>21700</v>
      </c>
      <c r="O75" s="252"/>
      <c r="P75" s="41"/>
      <c r="Q75" s="255">
        <f>+INDEX('Réel 2024'!$A$2:$AO$502,MATCH($A75,'Réel 2024'!$A$2:$A$502,0),MATCH(Q$2,'Réel 2024'!$A$2:$AO$2,0))</f>
        <v>0</v>
      </c>
      <c r="R75" s="252"/>
      <c r="S75" s="275">
        <f t="shared" ref="S75:S82" si="15">L75-Q75</f>
        <v>21700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original'!$A$2:$AO$502,MATCH($A76,'Budget original'!$A$2:$A$502,0),MATCH(F$2,'Budget original'!$A$2:$AO$2,0))</f>
        <v>0</v>
      </c>
      <c r="G76" s="297"/>
      <c r="H76" s="41"/>
      <c r="I76" s="253"/>
      <c r="J76" s="252"/>
      <c r="K76" s="41"/>
      <c r="L76" s="255">
        <f>-SUMIFS(BV_Data_An_Cour!$O:$O,BV_Data_An_Cour!$U:$U,$B76,BV_Data_An_Cour!$V:$V,$C76,BV_Data_An_Cour!$W:$W,L$2)</f>
        <v>0</v>
      </c>
      <c r="M76" s="252"/>
      <c r="N76" s="275">
        <f t="shared" si="14"/>
        <v>0</v>
      </c>
      <c r="O76" s="252"/>
      <c r="P76" s="41"/>
      <c r="Q76" s="255">
        <f t="array" ref="Q76">+INDEX('Réel 2024'!$A$2:$AO$502,MATCH($A76,'Réel 2024'!$A$2:$A$502,0),MATCH(Q$2,'Réel 2024'!$A$2:$AO$2,0))</f>
        <v>0</v>
      </c>
      <c r="R76" s="252"/>
      <c r="S76" s="275">
        <f t="shared" si="15"/>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original'!$A$2:$AO$502,MATCH($A77,'Budget original'!$A$2:$A$502,0),MATCH(F$2,'Budget original'!$A$2:$AO$2,0))</f>
        <v>0</v>
      </c>
      <c r="G77" s="297"/>
      <c r="H77" s="41"/>
      <c r="I77" s="253"/>
      <c r="J77" s="252"/>
      <c r="K77" s="41"/>
      <c r="L77" s="255">
        <f>-SUMIFS(BV_Data_An_Cour!$O:$O,BV_Data_An_Cour!$U:$U,$B77,BV_Data_An_Cour!$V:$V,$C77,BV_Data_An_Cour!$W:$W,L$2)</f>
        <v>0</v>
      </c>
      <c r="M77" s="252"/>
      <c r="N77" s="275">
        <f t="shared" si="14"/>
        <v>0</v>
      </c>
      <c r="O77" s="252"/>
      <c r="P77" s="41"/>
      <c r="Q77" s="255">
        <f t="array" ref="Q77">+INDEX('Réel 2024'!$A$2:$AO$502,MATCH($A77,'Réel 2024'!$A$2:$A$502,0),MATCH(Q$2,'Réel 2024'!$A$2:$AO$2,0))</f>
        <v>0</v>
      </c>
      <c r="R77" s="252"/>
      <c r="S77" s="275">
        <f t="shared" si="1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1263.9153824509285</v>
      </c>
      <c r="F78" s="253">
        <f>+INDEX('Budget original'!$A$2:$AO$502,MATCH($A78,'Budget original'!$A$2:$A$502,0),MATCH(F$2,'Budget original'!$A$2:$AO$2,0))</f>
        <v>85946.246006663147</v>
      </c>
      <c r="G78" s="297"/>
      <c r="H78" s="41"/>
      <c r="I78" s="253"/>
      <c r="J78" s="971"/>
      <c r="K78" s="916">
        <f>+L78/J27</f>
        <v>1319.078125</v>
      </c>
      <c r="L78" s="255">
        <f>-SUMIFS(BV_Data_An_Cour!$O:$O,BV_Data_An_Cour!$U:$U,$B78,BV_Data_An_Cour!$V:$V,$C78,BV_Data_An_Cour!$W:$W,L$2)</f>
        <v>84421</v>
      </c>
      <c r="M78" s="252"/>
      <c r="N78" s="275">
        <f t="shared" si="14"/>
        <v>-1525.2460066631465</v>
      </c>
      <c r="O78" s="252"/>
      <c r="P78" s="41"/>
      <c r="Q78" s="255">
        <f t="array" ref="Q78">+INDEX('Réel 2024'!$A$2:$AO$502,MATCH($A78,'Réel 2024'!$A$2:$A$502,0),MATCH(Q$2,'Réel 2024'!$A$2:$AO$2,0))</f>
        <v>94826.85</v>
      </c>
      <c r="R78" s="252"/>
      <c r="S78" s="275">
        <f t="shared" si="15"/>
        <v>-10405.850000000006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original'!$A$2:$AO$502,MATCH($A79,'Budget original'!$A$2:$A$502,0),MATCH(F$2,'Budget original'!$A$2:$AO$2,0))</f>
        <v>0</v>
      </c>
      <c r="G79" s="297"/>
      <c r="H79" s="41"/>
      <c r="I79" s="253"/>
      <c r="J79" s="252"/>
      <c r="K79" s="41"/>
      <c r="L79" s="255">
        <f>-SUMIFS(BV_Data_An_Cour!$O:$O,BV_Data_An_Cour!$U:$U,$B79,BV_Data_An_Cour!$V:$V,$C79,BV_Data_An_Cour!$W:$W,L$2)</f>
        <v>0</v>
      </c>
      <c r="M79" s="252"/>
      <c r="N79" s="275">
        <f t="shared" si="14"/>
        <v>0</v>
      </c>
      <c r="O79" s="252"/>
      <c r="P79" s="41"/>
      <c r="Q79" s="255">
        <f t="array" ref="Q79">+INDEX('Réel 2024'!$A$2:$AO$502,MATCH($A79,'Réel 2024'!$A$2:$A$502,0),MATCH(Q$2,'Réel 2024'!$A$2:$AO$2,0))</f>
        <v>0</v>
      </c>
      <c r="R79" s="252"/>
      <c r="S79" s="275">
        <f t="shared" si="1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original'!$A$2:$AO$502,MATCH($A80,'Budget original'!$A$2:$A$502,0),MATCH(F$2,'Budget original'!$A$2:$AO$2,0))</f>
        <v>0</v>
      </c>
      <c r="G80" s="297"/>
      <c r="H80" s="41"/>
      <c r="I80" s="253"/>
      <c r="J80" s="252"/>
      <c r="K80" s="41"/>
      <c r="L80" s="255">
        <f>-SUMIFS(BV_Data_An_Cour!$O:$O,BV_Data_An_Cour!$U:$U,$B80,BV_Data_An_Cour!$V:$V,$C80,BV_Data_An_Cour!$W:$W,L$2)</f>
        <v>0</v>
      </c>
      <c r="M80" s="252"/>
      <c r="N80" s="275">
        <f t="shared" si="14"/>
        <v>0</v>
      </c>
      <c r="O80" s="252"/>
      <c r="P80" s="41"/>
      <c r="Q80" s="255">
        <f t="array" ref="Q80">+INDEX('Réel 2024'!$A$2:$AO$502,MATCH($A80,'Réel 2024'!$A$2:$A$502,0),MATCH(Q$2,'Réel 2024'!$A$2:$AO$2,0))</f>
        <v>0</v>
      </c>
      <c r="R80" s="252"/>
      <c r="S80" s="275">
        <f t="shared" si="1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original'!$A$2:$AO$502,MATCH($A81,'Budget original'!$A$2:$A$502,0),MATCH(F$2,'Budget original'!$A$2:$AO$2,0))</f>
        <v>0</v>
      </c>
      <c r="G81" s="297"/>
      <c r="H81" s="41"/>
      <c r="I81" s="253"/>
      <c r="J81" s="252"/>
      <c r="K81" s="41"/>
      <c r="L81" s="255">
        <f>-SUMIFS(BV_Data_An_Cour!$O:$O,BV_Data_An_Cour!$U:$U,$B81,BV_Data_An_Cour!$V:$V,$C81,BV_Data_An_Cour!$W:$W,L$2)</f>
        <v>0</v>
      </c>
      <c r="M81" s="252"/>
      <c r="N81" s="275">
        <f t="shared" si="14"/>
        <v>0</v>
      </c>
      <c r="O81" s="252"/>
      <c r="P81" s="41"/>
      <c r="Q81" s="255">
        <f t="array" ref="Q81">+INDEX('Réel 2024'!$A$2:$AO$502,MATCH($A81,'Réel 2024'!$A$2:$A$502,0),MATCH(Q$2,'Réel 2024'!$A$2:$AO$2,0))</f>
        <v>0</v>
      </c>
      <c r="R81" s="252"/>
      <c r="S81" s="275">
        <f t="shared" si="1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1">
        <f>E82/499</f>
        <v>0.9119238476953907</v>
      </c>
      <c r="E82" s="322">
        <f>+F82/D24</f>
        <v>455.04999999999995</v>
      </c>
      <c r="F82" s="253">
        <f>+INDEX('Budget original'!$A$2:$AO$502,MATCH($A82,'Budget original'!$A$2:$A$502,0),MATCH(F$2,'Budget original'!$A$2:$AO$2,0))</f>
        <v>29123.199999999997</v>
      </c>
      <c r="G82" s="297"/>
      <c r="H82" s="41"/>
      <c r="I82" s="253"/>
      <c r="J82" s="993">
        <f>K82/749.99</f>
        <v>0.92371601991730268</v>
      </c>
      <c r="K82" s="322">
        <f>+L82/J24</f>
        <v>692.77777777777783</v>
      </c>
      <c r="L82" s="255">
        <f>-SUMIFS(BV_Data_An_Cour!$O:$O,BV_Data_An_Cour!$U:$U,$B82,BV_Data_An_Cour!$V:$V,$C82,BV_Data_An_Cour!$W:$W,L$2)</f>
        <v>43645</v>
      </c>
      <c r="M82" s="252"/>
      <c r="N82" s="275">
        <f t="shared" si="14"/>
        <v>14521.800000000003</v>
      </c>
      <c r="O82" s="252"/>
      <c r="P82" s="41"/>
      <c r="Q82" s="255">
        <f t="array" ref="Q82">+INDEX('Réel 2024'!$A$2:$AO$502,MATCH($A82,'Réel 2024'!$A$2:$A$502,0),MATCH(Q$2,'Réel 2024'!$A$2:$AO$2,0))</f>
        <v>39648</v>
      </c>
      <c r="R82" s="252"/>
      <c r="S82" s="275">
        <f t="shared" si="15"/>
        <v>3997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115069.44600666314</v>
      </c>
      <c r="G83" s="307"/>
      <c r="H83" s="305"/>
      <c r="I83" s="306"/>
      <c r="J83" s="307"/>
      <c r="K83" s="305"/>
      <c r="L83" s="306">
        <f>+SUM(L75:L82)</f>
        <v>149766</v>
      </c>
      <c r="M83" s="310"/>
      <c r="N83" s="306">
        <f>+SUM(N75:N82)</f>
        <v>34696.553993336856</v>
      </c>
      <c r="O83" s="307"/>
      <c r="P83" s="305"/>
      <c r="Q83" s="306">
        <f>+SUM(Q75:Q82)</f>
        <v>134474.85</v>
      </c>
      <c r="R83" s="310"/>
      <c r="S83" s="306">
        <f>+SUM(S75:S82)</f>
        <v>15291.149999999994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333"/>
      <c r="F85" s="334">
        <f>F27-F74+F83</f>
        <v>127327.41704700651</v>
      </c>
      <c r="G85" s="335"/>
      <c r="H85" s="333"/>
      <c r="I85" s="334"/>
      <c r="J85" s="335"/>
      <c r="K85" s="332"/>
      <c r="L85" s="334">
        <f>L27-L74+L83</f>
        <v>143304.61999999979</v>
      </c>
      <c r="M85" s="335"/>
      <c r="N85" s="334">
        <f>N27-N41-N54-N72+N83</f>
        <v>15977.202952993295</v>
      </c>
      <c r="O85" s="335"/>
      <c r="P85" s="981">
        <f>Q85/Q5</f>
        <v>4.3320463379754898E-2</v>
      </c>
      <c r="Q85" s="334">
        <f>Q27-Q74+Q83</f>
        <v>177157.65999999997</v>
      </c>
      <c r="R85" s="335"/>
      <c r="S85" s="334">
        <f>S27-S41-S54-S72+S83</f>
        <v>-33853.040000000175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Juillet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8" t="s">
        <v>343</v>
      </c>
      <c r="E91" s="1179"/>
      <c r="F91" s="1180"/>
      <c r="G91" s="1181"/>
      <c r="H91" s="1179"/>
      <c r="I91" s="1180"/>
      <c r="J91" s="1181" t="s">
        <v>344</v>
      </c>
      <c r="K91" s="1179"/>
      <c r="L91" s="1180"/>
      <c r="M91" s="1181" t="s">
        <v>3255</v>
      </c>
      <c r="N91" s="1180"/>
      <c r="O91" s="1178" t="s">
        <v>345</v>
      </c>
      <c r="P91" s="1179"/>
      <c r="Q91" s="1180"/>
      <c r="R91" s="1182" t="s">
        <v>3257</v>
      </c>
      <c r="S91" s="118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original'!$A$2:$AO$502,MATCH($A93,'Budget original'!$A$2:$A$502,0),MATCH(F$2,'Budget original'!$A$2:$AO$2,0))</f>
        <v>1897814.9194857227</v>
      </c>
      <c r="G93" s="266"/>
      <c r="H93" s="249"/>
      <c r="I93" s="247"/>
      <c r="J93" s="245"/>
      <c r="K93" s="249"/>
      <c r="L93" s="247">
        <f>-SUMIFS(BV_Data_An_Cour!$O:$O,BV_Data_An_Cour!$X:$X,"Oui",BV_Data_An_Cour!$U:$U,$B93)</f>
        <v>1678799.82</v>
      </c>
      <c r="M93" s="341"/>
      <c r="N93" s="342"/>
      <c r="O93" s="245"/>
      <c r="P93" s="249"/>
      <c r="Q93" s="247">
        <f t="array" ref="Q93">+INDEX('Réel 2024'!$A$2:$AO$502,MATCH($A93,'Réel 2024'!$A$2:$A$502,0),MATCH(Q$2,'Réel 2024'!$A$2:$AO$2,0))</f>
        <v>1735831.76</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original'!$A$2:$AO$502,MATCH($A94,'Budget original'!$A$2:$A$502,0),MATCH(D$2,'Budget original'!$A$2:$AO$2,0))</f>
        <v>30</v>
      </c>
      <c r="E94" s="253">
        <f>IF(D94=0,0,F94/D94)</f>
        <v>1500</v>
      </c>
      <c r="F94" s="253">
        <f>+INDEX('Budget original'!$A$2:$AO$502,MATCH($A94,'Budget original'!$A$2:$A$502,0),MATCH(F$2,'Budget original'!$A$2:$AO$2,0))</f>
        <v>45000</v>
      </c>
      <c r="G94" s="254"/>
      <c r="H94" s="253"/>
      <c r="I94" s="253"/>
      <c r="J94" s="254">
        <f>-SUMIFS(BV_Data_An_Cour!$O:$O,BV_Data_An_Cour!$U:$U,$B94,BV_Data_An_Cour!$V:$V,$C94,BV_Data_An_Cour!$W:$W,J$2)</f>
        <v>19</v>
      </c>
      <c r="K94" s="253">
        <f>IF(J94=0,0,L94/J94)</f>
        <v>2232.2468421052631</v>
      </c>
      <c r="L94" s="255">
        <f>-SUMIFS(BV_Data_An_Cour!$O:$O,BV_Data_An_Cour!$U:$U,$B94,BV_Data_An_Cour!$V:$V,$C94,BV_Data_An_Cour!$W:$W,$L2)</f>
        <v>42412.69</v>
      </c>
      <c r="M94" s="254">
        <f>J94-D94</f>
        <v>-11</v>
      </c>
      <c r="N94" s="255">
        <f>L94-F94</f>
        <v>-2587.3099999999977</v>
      </c>
      <c r="O94" s="254">
        <f t="array" ref="O94">+INDEX('Réel 2024'!$A$2:$AO$502,MATCH($A94,'Réel 2024'!$A$2:$A$502,0),MATCH(O$2,'Réel 2024'!$A$2:$AO$2,0))</f>
        <v>28</v>
      </c>
      <c r="P94" s="253">
        <f>IF(O94=0,0,Q94/O94)</f>
        <v>1004.9228571428536</v>
      </c>
      <c r="Q94" s="255">
        <f t="array" ref="Q94">+INDEX('Réel 2024'!$A$2:$AO$502,MATCH($A94,'Réel 2024'!$A$2:$A$502,0),MATCH(Q$2,'Réel 2024'!$A$2:$AO$2,0))</f>
        <v>28137.839999999898</v>
      </c>
      <c r="R94" s="254">
        <f>J94-O94</f>
        <v>-9</v>
      </c>
      <c r="S94" s="255">
        <f>L94-Q94</f>
        <v>14274.850000000104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original'!$A$2:$AO$502,MATCH($A95,'Budget original'!$A$2:$A$502,0),MATCH(D$2,'Budget original'!$A$2:$AO$2,0))</f>
        <v>9</v>
      </c>
      <c r="E95" s="975">
        <f t="shared" ref="E95:E106" si="16">IF(D95=0,0,F95/D95)</f>
        <v>1500</v>
      </c>
      <c r="F95" s="253">
        <f>+INDEX('Budget original'!$A$2:$AO$502,MATCH($A95,'Budget original'!$A$2:$A$502,0),MATCH(F$2,'Budget original'!$A$2:$AO$2,0))</f>
        <v>13500</v>
      </c>
      <c r="G95" s="254"/>
      <c r="H95" s="253"/>
      <c r="I95" s="253"/>
      <c r="J95" s="254">
        <f>-SUMIFS(BV_Data_An_Cour!$O:$O,BV_Data_An_Cour!$U:$U,$B95,BV_Data_An_Cour!$V:$V,$C95,BV_Data_An_Cour!$W:$W,J$2)</f>
        <v>11</v>
      </c>
      <c r="K95" s="253">
        <f>IF(J95=0,0,L95/J95)</f>
        <v>1742.462727272725</v>
      </c>
      <c r="L95" s="255">
        <f>-SUMIFS(BV_Data_An_Cour!$O:$O,BV_Data_An_Cour!$U:$U,$B95,BV_Data_An_Cour!$V:$V,$C95,BV_Data_An_Cour!$W:$W,$L2)</f>
        <v>19167.089999999975</v>
      </c>
      <c r="M95" s="254">
        <f>J95-D95</f>
        <v>2</v>
      </c>
      <c r="N95" s="255">
        <f>L95-F95</f>
        <v>5667.0899999999747</v>
      </c>
      <c r="O95" s="254">
        <f t="array" ref="O95">+INDEX('Réel 2024'!$A$2:$AO$502,MATCH($A95,'Réel 2024'!$A$2:$A$502,0),MATCH(O$2,'Réel 2024'!$A$2:$AO$2,0))</f>
        <v>0</v>
      </c>
      <c r="P95" s="253">
        <f>IF(O95=0,0,Q95/O95)</f>
        <v>0</v>
      </c>
      <c r="Q95" s="255">
        <f t="array" ref="Q95">+INDEX('Réel 2024'!$A$2:$AO$502,MATCH($A95,'Réel 2024'!$A$2:$A$502,0),MATCH(Q$2,'Réel 2024'!$A$2:$AO$2,0))</f>
        <v>0</v>
      </c>
      <c r="R95" s="254">
        <f>J95-O95</f>
        <v>11</v>
      </c>
      <c r="S95" s="255">
        <f>L95-Q95</f>
        <v>19167.089999999975</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3803</v>
      </c>
      <c r="D96" s="253">
        <f>+INDEX('Budget original'!$A$2:$AO$502,MATCH($A96,'Budget original'!$A$2:$A$502,0),MATCH(D$2,'Budget original'!$A$2:$AO$2,0))</f>
        <v>9</v>
      </c>
      <c r="E96" s="977">
        <f t="shared" si="16"/>
        <v>1500</v>
      </c>
      <c r="F96" s="253">
        <f>+INDEX('Budget original'!$A$2:$AO$502,MATCH($A96,'Budget original'!$A$2:$A$502,0),MATCH(F$2,'Budget original'!$A$2:$AO$2,0))</f>
        <v>13500</v>
      </c>
      <c r="G96" s="976"/>
      <c r="H96" s="253"/>
      <c r="I96" s="253"/>
      <c r="J96" s="976">
        <f>-SUMIFS(BV_Data_An_Cour!$O:$O,BV_Data_An_Cour!$U:$U,$B96,BV_Data_An_Cour!$V:$V,$C96,BV_Data_An_Cour!$W:$W,J$2)</f>
        <v>3</v>
      </c>
      <c r="K96" s="977">
        <f>IF(J96=0,0,L96/J96)</f>
        <v>2464.6666666666665</v>
      </c>
      <c r="L96" s="851">
        <f>-SUMIFS(BV_Data_An_Cour!$O:$O,BV_Data_An_Cour!$U:$U,$B96,BV_Data_An_Cour!$V:$V,$C96,BV_Data_An_Cour!$W:$W,$L2)</f>
        <v>7394</v>
      </c>
      <c r="M96" s="976">
        <f>J96-D96</f>
        <v>-6</v>
      </c>
      <c r="N96" s="851">
        <f>L96-F96</f>
        <v>-6106</v>
      </c>
      <c r="O96" s="976">
        <f>+INDEX('Réel 2024'!$A$2:$AO$502,MATCH($A96,'Réel 2024'!$A$2:$A$502,0),MATCH(O$2,'Réel 2024'!$A$2:$AO$2,0))</f>
        <v>0</v>
      </c>
      <c r="P96" s="253">
        <f>IF(O96=0,0,Q96/O96)</f>
        <v>0</v>
      </c>
      <c r="Q96" s="851">
        <f>+INDEX('Réel 2024'!$A$2:$AO$502,MATCH($A96,'Réel 2024'!$A$2:$A$502,0),MATCH(Q$2,'Réel 2024'!$A$2:$AO$2,0))</f>
        <v>0</v>
      </c>
      <c r="R96" s="976">
        <f>J96-O96</f>
        <v>3</v>
      </c>
      <c r="S96" s="851">
        <f>L96-Q96</f>
        <v>7394</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B97&amp;C97</f>
        <v>Véhicules usagésTotal Usagés</v>
      </c>
      <c r="B97" s="41" t="s">
        <v>152</v>
      </c>
      <c r="C97" s="258" t="s">
        <v>155</v>
      </c>
      <c r="D97" s="259">
        <f>+D95+D94+D96</f>
        <v>48</v>
      </c>
      <c r="E97" s="253">
        <f t="shared" si="16"/>
        <v>1500</v>
      </c>
      <c r="F97" s="260">
        <f>+F94+F95+F96</f>
        <v>72000</v>
      </c>
      <c r="G97" s="261"/>
      <c r="H97" s="259"/>
      <c r="I97" s="260"/>
      <c r="J97" s="259">
        <f>+J94+J95+J96</f>
        <v>33</v>
      </c>
      <c r="K97" s="253">
        <f>IF(J97&lt;=0,0,L97/J97)</f>
        <v>2090.1145454545444</v>
      </c>
      <c r="L97" s="260">
        <f>+L94+L95+L96</f>
        <v>68973.77999999997</v>
      </c>
      <c r="M97" s="261">
        <f>J97-D97</f>
        <v>-15</v>
      </c>
      <c r="N97" s="260">
        <f>L97-F97</f>
        <v>-3026.2200000000303</v>
      </c>
      <c r="O97" s="261">
        <f>+O95+O94+O96</f>
        <v>28</v>
      </c>
      <c r="P97" s="259">
        <f>IF(O97=0,0,Q97/O97)</f>
        <v>1004.9228571428536</v>
      </c>
      <c r="Q97" s="260">
        <f>+Q94+Q95+Q96</f>
        <v>28137.839999999898</v>
      </c>
      <c r="R97" s="261">
        <f>R94+R95</f>
        <v>2</v>
      </c>
      <c r="S97" s="260">
        <f>S94+S95</f>
        <v>33441.940000000075</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B98&amp;C98</f>
        <v>Véhicules usagés</v>
      </c>
      <c r="B98" s="41" t="s">
        <v>152</v>
      </c>
      <c r="C98" s="252"/>
      <c r="D98" s="41"/>
      <c r="E98" s="253">
        <f t="shared" si="16"/>
        <v>0</v>
      </c>
      <c r="F98" s="262"/>
      <c r="G98" s="252"/>
      <c r="H98" s="41"/>
      <c r="I98" s="262"/>
      <c r="J98" s="252"/>
      <c r="K98" s="41"/>
      <c r="L98" s="262"/>
      <c r="M98" s="344"/>
      <c r="N98" s="345"/>
      <c r="O98" s="252"/>
      <c r="P98" s="41">
        <f>IF(O98=0,0,Q98/O98)</f>
        <v>0</v>
      </c>
      <c r="Q98" s="262"/>
      <c r="R98" s="344"/>
      <c r="S98" s="345"/>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B99&amp;C99</f>
        <v>Véhicules usagésRachat bail</v>
      </c>
      <c r="B99" s="41" t="s">
        <v>152</v>
      </c>
      <c r="C99" s="1158" t="s">
        <v>104</v>
      </c>
      <c r="D99" s="253">
        <f>+INDEX('Budget original'!$A$2:$AO$502,MATCH($A99,'Budget original'!$A$2:$A$502,0),MATCH(D$2,'Budget original'!$A$2:$AO$2,0))</f>
        <v>0</v>
      </c>
      <c r="E99" s="253">
        <f>IF(D99=0,0,F99/D99)</f>
        <v>0</v>
      </c>
      <c r="F99" s="253">
        <f>+INDEX('Budget original'!$A$2:$AO$502,MATCH($A99,'Budget original'!$A$2:$A$502,0),MATCH(F$2,'Budget original'!$A$2:$AO$2,0))</f>
        <v>8810.5726872246705</v>
      </c>
      <c r="G99" s="254"/>
      <c r="H99" s="253"/>
      <c r="I99" s="253"/>
      <c r="J99" s="254"/>
      <c r="K99" s="253"/>
      <c r="L99" s="255">
        <f>-SUMIFS(BV_Data_An_Cour!$O:$O,BV_Data_An_Cour!$U:$U,$B99,BV_Data_An_Cour!$V:$V,$C99,BV_Data_An_Cour!$W:$W,L$2)</f>
        <v>9153.109999999986</v>
      </c>
      <c r="M99" s="254"/>
      <c r="N99" s="255">
        <f>L99-F99</f>
        <v>342.53731277531551</v>
      </c>
      <c r="O99" s="254"/>
      <c r="P99" s="253"/>
      <c r="Q99" s="255">
        <f t="array" ref="Q99">+INDEX('Réel 2024'!$A$2:$AO$502,MATCH($A99,'Réel 2024'!$A$2:$A$502,0),MATCH(Q$2,'Réel 2024'!$A$2:$AO$2,0))</f>
        <v>12602.3499999999</v>
      </c>
      <c r="R99" s="254"/>
      <c r="S99" s="255">
        <f>L99-Q99</f>
        <v>-3449.2399999999143</v>
      </c>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tr">
        <f>B100&amp;C100</f>
        <v>Véhicules usagés</v>
      </c>
      <c r="B100" s="41" t="s">
        <v>152</v>
      </c>
      <c r="C100" s="886"/>
      <c r="D100" s="253"/>
      <c r="E100" s="253"/>
      <c r="F100" s="253"/>
      <c r="G100" s="976"/>
      <c r="H100" s="253"/>
      <c r="I100" s="253"/>
      <c r="J100" s="976"/>
      <c r="K100" s="253"/>
      <c r="L100" s="851"/>
      <c r="M100" s="976"/>
      <c r="N100" s="851"/>
      <c r="O100" s="976"/>
      <c r="P100" s="253"/>
      <c r="Q100" s="851"/>
      <c r="R100" s="976"/>
      <c r="S100" s="851"/>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412</v>
      </c>
      <c r="B101" s="41" t="s">
        <v>152</v>
      </c>
      <c r="C101" s="252" t="s">
        <v>156</v>
      </c>
      <c r="D101" s="253">
        <f>+INDEX('Budget original'!$A$2:$AO$502,MATCH($A101,'Budget original'!$A$2:$A$502,0),MATCH(D$2,'Budget original'!$A$2:$AO$2,0))</f>
        <v>44</v>
      </c>
      <c r="E101" s="253">
        <f t="shared" si="16"/>
        <v>500</v>
      </c>
      <c r="F101" s="253">
        <f>+INDEX('Budget original'!$A$2:$AO$502,MATCH($A101,'Budget original'!$A$2:$A$502,0),MATCH(F$2,'Budget original'!$A$2:$AO$2,0))</f>
        <v>22000</v>
      </c>
      <c r="G101" s="254"/>
      <c r="H101" s="253"/>
      <c r="I101" s="253"/>
      <c r="J101" s="254">
        <f>-SUMIFS(BV_Data_An_Cour!$O:$O,BV_Data_An_Cour!$U:$U,$B101,BV_Data_An_Cour!$V:$V,$C101,BV_Data_An_Cour!$W:$W,J$2)</f>
        <v>23</v>
      </c>
      <c r="K101" s="253">
        <f>IF(J101=0,0,L101/J101)</f>
        <v>525.57347826086971</v>
      </c>
      <c r="L101" s="255">
        <f>-SUMIFS(BV_Data_An_Cour!$O:$O,BV_Data_An_Cour!$U:$U,$B101,BV_Data_An_Cour!$V:$V,$C101,BV_Data_An_Cour!$W:$W,L$2)</f>
        <v>12088.190000000002</v>
      </c>
      <c r="M101" s="254">
        <f>J101-D101</f>
        <v>-21</v>
      </c>
      <c r="N101" s="255">
        <f>L101-F101</f>
        <v>-9911.8099999999977</v>
      </c>
      <c r="O101" s="254">
        <f t="array" ref="O101">+INDEX('Réel 2024'!$A$2:$AO$502,MATCH($A101,'Réel 2024'!$A$2:$A$502,0),MATCH(O$2,'Réel 2024'!$A$2:$AO$2,0))</f>
        <v>51</v>
      </c>
      <c r="P101" s="253">
        <f>IF(O101=0,0,Q101/O101)</f>
        <v>737.09647058823521</v>
      </c>
      <c r="Q101" s="255">
        <f t="array" ref="Q101">+INDEX('Réel 2024'!$A$2:$AO$502,MATCH($A101,'Réel 2024'!$A$2:$A$502,0),MATCH(Q$2,'Réel 2024'!$A$2:$AO$2,0))</f>
        <v>37591.919999999998</v>
      </c>
      <c r="R101" s="254">
        <f>J101-O101</f>
        <v>-28</v>
      </c>
      <c r="S101" s="255">
        <f>L101-Q101</f>
        <v>-25503.729999999996</v>
      </c>
      <c r="T101" s="41"/>
      <c r="U101" s="253"/>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
        <v>152</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253"/>
      <c r="X102" s="41"/>
      <c r="Y102" s="41"/>
      <c r="Z102" s="41"/>
      <c r="AA102" s="41"/>
      <c r="AB102" s="41"/>
      <c r="AC102" s="41"/>
      <c r="AD102" s="41"/>
      <c r="AE102" s="41"/>
      <c r="AF102" s="346"/>
      <c r="AG102" s="41"/>
      <c r="AH102" s="41"/>
      <c r="AI102" s="41"/>
      <c r="AJ102" s="41"/>
      <c r="AK102" s="41"/>
      <c r="AL102" s="41"/>
      <c r="AM102" s="41"/>
      <c r="AN102" s="41"/>
    </row>
    <row r="103" spans="1:40" ht="15.75" customHeight="1">
      <c r="A103" s="5" t="s">
        <v>413</v>
      </c>
      <c r="B103" s="41" t="s">
        <v>152</v>
      </c>
      <c r="C103" s="252" t="s">
        <v>105</v>
      </c>
      <c r="D103" s="253">
        <f>+INDEX('Budget original'!$A$2:$AO$502,MATCH($A103,'Budget original'!$A$2:$A$502,0),MATCH(D$2,'Budget original'!$A$2:$AO$2,0))</f>
        <v>0</v>
      </c>
      <c r="E103" s="253">
        <f t="shared" si="16"/>
        <v>0</v>
      </c>
      <c r="F103" s="255">
        <f>+INDEX('Budget original'!$A$2:$AO$502,MATCH($A103,'Budget original'!$A$2:$A$502,0),MATCH(F$2,'Budget original'!$A$2:$AO$2,0))</f>
        <v>16800</v>
      </c>
      <c r="G103" s="254"/>
      <c r="H103" s="253"/>
      <c r="I103" s="253"/>
      <c r="J103" s="254"/>
      <c r="K103" s="253">
        <f>IF(J97=0,0,L103/J97)</f>
        <v>458.04757575757577</v>
      </c>
      <c r="L103" s="255">
        <f>-SUMIFS(BV_Data_An_Cour!$O:$O,BV_Data_An_Cour!$U:$U,$B103,BV_Data_An_Cour!$V:$V,$C103,BV_Data_An_Cour!$W:$W,$L2)</f>
        <v>15115.57</v>
      </c>
      <c r="M103" s="254"/>
      <c r="N103" s="255">
        <f>L103-F103</f>
        <v>-1684.4300000000003</v>
      </c>
      <c r="O103" s="254"/>
      <c r="P103" s="253"/>
      <c r="Q103" s="255">
        <f t="array" ref="Q103">+INDEX('Réel 2024'!$A$2:$AO$502,MATCH($A103,'Réel 2024'!$A$2:$A$502,0),MATCH(Q$2,'Réel 2024'!$A$2:$AO$2,0))</f>
        <v>12604.88</v>
      </c>
      <c r="R103" s="254">
        <f>O103-K103</f>
        <v>-458.04757575757577</v>
      </c>
      <c r="S103" s="255">
        <f>L103-Q103</f>
        <v>2510.6900000000005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414</v>
      </c>
      <c r="B104" s="41" t="s">
        <v>152</v>
      </c>
      <c r="C104" s="252" t="s">
        <v>106</v>
      </c>
      <c r="D104" s="253">
        <f>+INDEX('Budget original'!$A$2:$AO$502,MATCH($A104,'Budget original'!$A$2:$A$502,0),MATCH(D$2,'Budget original'!$A$2:$AO$2,0))</f>
        <v>0</v>
      </c>
      <c r="E104" s="253">
        <f t="shared" si="16"/>
        <v>0</v>
      </c>
      <c r="F104" s="255">
        <f>+INDEX('Budget original'!$A$2:$AO$502,MATCH($A104,'Budget original'!$A$2:$A$502,0),MATCH(F$2,'Budget original'!$A$2:$AO$2,0))</f>
        <v>76800</v>
      </c>
      <c r="G104" s="254"/>
      <c r="H104" s="253"/>
      <c r="I104" s="253"/>
      <c r="J104" s="254"/>
      <c r="K104" s="253">
        <f>IF(J97=0,0,L104/J97)</f>
        <v>1518.0957575757577</v>
      </c>
      <c r="L104" s="255">
        <f>-SUMIFS(BV_Data_An_Cour!$O:$O,BV_Data_An_Cour!$U:$U,$B104,BV_Data_An_Cour!$V:$V,$C104,BV_Data_An_Cour!$W:$W,$L2)</f>
        <v>50097.16</v>
      </c>
      <c r="M104" s="254"/>
      <c r="N104" s="255">
        <f>L104-F104</f>
        <v>-26702.839999999997</v>
      </c>
      <c r="O104" s="254"/>
      <c r="P104" s="253"/>
      <c r="Q104" s="255">
        <f t="array" ref="Q104">+INDEX('Réel 2024'!$A$2:$AO$502,MATCH($A104,'Réel 2024'!$A$2:$A$502,0),MATCH(Q$2,'Réel 2024'!$A$2:$AO$2,0))</f>
        <v>54129.35</v>
      </c>
      <c r="R104" s="254">
        <f>O104-K104</f>
        <v>-1518.0957575757577</v>
      </c>
      <c r="S104" s="255">
        <f>L104-Q104</f>
        <v>-4032.1899999999951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415</v>
      </c>
      <c r="B105" s="41" t="s">
        <v>152</v>
      </c>
      <c r="C105" s="252" t="s">
        <v>107</v>
      </c>
      <c r="D105" s="253">
        <f>+INDEX('Budget original'!$A$2:$AO$502,MATCH($A105,'Budget original'!$A$2:$A$502,0),MATCH(D$2,'Budget original'!$A$2:$AO$2,0))</f>
        <v>0</v>
      </c>
      <c r="E105" s="249">
        <f t="shared" si="16"/>
        <v>0</v>
      </c>
      <c r="F105" s="255">
        <f>+INDEX('Budget original'!$A$2:$AO$502,MATCH($A105,'Budget original'!$A$2:$A$502,0),MATCH(F$2,'Budget original'!$A$2:$AO$2,0))</f>
        <v>2400</v>
      </c>
      <c r="G105" s="254"/>
      <c r="H105" s="249"/>
      <c r="I105" s="253"/>
      <c r="J105" s="254"/>
      <c r="K105" s="249">
        <f>IF(J97=0,0,L105/J97)</f>
        <v>0</v>
      </c>
      <c r="L105" s="255">
        <f>-SUMIFS(BV_Data_An_Cour!$O:$O,BV_Data_An_Cour!$U:$U,$B105,BV_Data_An_Cour!$V:$V,$C105,BV_Data_An_Cour!$W:$W,$L$2)</f>
        <v>0</v>
      </c>
      <c r="M105" s="266"/>
      <c r="N105" s="255">
        <f>L105-F105</f>
        <v>-2400</v>
      </c>
      <c r="O105" s="254"/>
      <c r="P105" s="249"/>
      <c r="Q105" s="255">
        <f t="array" ref="Q105">+INDEX('Réel 2024'!$A$2:$AO$502,MATCH($A105,'Réel 2024'!$A$2:$A$502,0),MATCH(Q$2,'Réel 2024'!$A$2:$AO$2,0))</f>
        <v>802.82</v>
      </c>
      <c r="R105" s="254">
        <f>O105-K105</f>
        <v>0</v>
      </c>
      <c r="S105" s="255">
        <f>L105-Q105</f>
        <v>-802.82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416</v>
      </c>
      <c r="B106" s="41" t="s">
        <v>152</v>
      </c>
      <c r="C106" s="258" t="s">
        <v>108</v>
      </c>
      <c r="D106" s="259">
        <f>D97</f>
        <v>48</v>
      </c>
      <c r="E106" s="253">
        <f t="shared" si="16"/>
        <v>2000</v>
      </c>
      <c r="F106" s="260">
        <f>F103+F104+F105</f>
        <v>96000</v>
      </c>
      <c r="G106" s="261"/>
      <c r="H106" s="259"/>
      <c r="I106" s="260"/>
      <c r="J106" s="261">
        <f>J97</f>
        <v>33</v>
      </c>
      <c r="K106" s="259">
        <f>IF(J106&lt;=0,0,L106/J106)</f>
        <v>1976.1433333333334</v>
      </c>
      <c r="L106" s="260">
        <f>L103+L104+L105</f>
        <v>65212.73</v>
      </c>
      <c r="M106" s="254">
        <f>J106-D106</f>
        <v>-15</v>
      </c>
      <c r="N106" s="260">
        <f>L106-F106</f>
        <v>-30787.269999999997</v>
      </c>
      <c r="O106" s="261">
        <f>O97</f>
        <v>28</v>
      </c>
      <c r="P106" s="259">
        <f>IF(O106=0,0,Q106/O106)</f>
        <v>2412.0374999999999</v>
      </c>
      <c r="Q106" s="260">
        <f>Q103+Q104+Q105</f>
        <v>67537.05</v>
      </c>
      <c r="R106" s="272"/>
      <c r="S106" s="260">
        <f>L106-Q106</f>
        <v>-2324.3199999999997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f>N106/F106</f>
        <v>-0.32070072916666664</v>
      </c>
      <c r="O107" s="252"/>
      <c r="P107" s="41"/>
      <c r="Q107" s="275"/>
      <c r="R107" s="276"/>
      <c r="S107" s="264">
        <f>IF(Q106=0,0,(S106/Q106))</f>
        <v>-3.4415480095740039E-2</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152</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417</v>
      </c>
      <c r="B109" s="41" t="s">
        <v>152</v>
      </c>
      <c r="C109" s="277" t="s">
        <v>157</v>
      </c>
      <c r="D109" s="278">
        <f>D97+D101</f>
        <v>92</v>
      </c>
      <c r="E109" s="279">
        <f>IF(D109&lt;=0,0,F109/D109)</f>
        <v>2160.984485730703</v>
      </c>
      <c r="F109" s="280">
        <f>F97+F106+F101+F99</f>
        <v>198810.57268722466</v>
      </c>
      <c r="G109" s="281"/>
      <c r="H109" s="349"/>
      <c r="I109" s="280"/>
      <c r="J109" s="281">
        <f>J97+J101</f>
        <v>56</v>
      </c>
      <c r="K109" s="279">
        <f>IF(J109&lt;=0,0,L109/J109)</f>
        <v>2775.4966071428566</v>
      </c>
      <c r="L109" s="280">
        <f>L97+L106+L101+L99</f>
        <v>155427.80999999997</v>
      </c>
      <c r="M109" s="281">
        <f>J109-D109</f>
        <v>-36</v>
      </c>
      <c r="N109" s="280">
        <f>L109-F109</f>
        <v>-43382.762687224691</v>
      </c>
      <c r="O109" s="281">
        <f>O97+O101</f>
        <v>79</v>
      </c>
      <c r="P109" s="279">
        <f>IF(O109&lt;=0,0,Q109/O109)</f>
        <v>1846.4450632911364</v>
      </c>
      <c r="Q109" s="280">
        <f>Q97+Q106+Q101+Q99</f>
        <v>145869.15999999977</v>
      </c>
      <c r="R109" s="281">
        <f>J109-O109</f>
        <v>-23</v>
      </c>
      <c r="S109" s="280">
        <f>L109-Q109</f>
        <v>9558.6500000001979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152</v>
      </c>
      <c r="B110" s="41" t="s">
        <v>152</v>
      </c>
      <c r="C110" s="282"/>
      <c r="D110" s="283"/>
      <c r="E110" s="283"/>
      <c r="F110" s="284"/>
      <c r="G110" s="282"/>
      <c r="H110" s="283"/>
      <c r="I110" s="284"/>
      <c r="J110" s="282"/>
      <c r="K110" s="283"/>
      <c r="L110" s="849">
        <f>L109/F109</f>
        <v>0.7817884526922223</v>
      </c>
      <c r="M110" s="285">
        <f>M109/D109</f>
        <v>-0.39130434782608697</v>
      </c>
      <c r="N110" s="286">
        <f>N109/F109</f>
        <v>-0.21821154730777764</v>
      </c>
      <c r="O110" s="282"/>
      <c r="P110" s="283"/>
      <c r="Q110" s="284"/>
      <c r="R110" s="350">
        <f>O109/R109</f>
        <v>-3.4347826086956523</v>
      </c>
      <c r="S110" s="351">
        <f>IF(Q109=0,0,(S109/Q109))</f>
        <v>6.5528930172767244E-2</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152</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418</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419</v>
      </c>
      <c r="B113" s="41" t="s">
        <v>152</v>
      </c>
      <c r="C113" s="252" t="s">
        <v>111</v>
      </c>
      <c r="D113" s="1010">
        <f>F113/F97</f>
        <v>0.31861111111111112</v>
      </c>
      <c r="E113" s="290">
        <f t="shared" ref="E113:E122" si="17">F113/D$97</f>
        <v>477.91666666666669</v>
      </c>
      <c r="F113" s="253">
        <f>+INDEX('Budget original'!$A$2:$AO$502,MATCH($A113,'Budget original'!$A$2:$A$502,0),MATCH(F$2,'Budget original'!$A$2:$AO$2,0))</f>
        <v>22940</v>
      </c>
      <c r="G113" s="291"/>
      <c r="H113" s="290"/>
      <c r="I113" s="253"/>
      <c r="J113" s="291">
        <f>L113/L97</f>
        <v>0.3664576597077906</v>
      </c>
      <c r="K113" s="290">
        <f>IF($J$97=0,0,L113/(J$94+J$95+J96))</f>
        <v>765.9384848484849</v>
      </c>
      <c r="L113" s="255">
        <f>SUMIFS(BV_Data_An_Cour!$O:$O,BV_Data_An_Cour!$U:$U,$B113,BV_Data_An_Cour!$V:$V,$C113,BV_Data_An_Cour!$W:$W,$L$2)</f>
        <v>25275.97</v>
      </c>
      <c r="M113" s="252"/>
      <c r="N113" s="275">
        <f t="shared" ref="N113:N154" si="18">L113-F113</f>
        <v>2335.9700000000012</v>
      </c>
      <c r="O113" s="979">
        <f>Q113/Q97</f>
        <v>0.42676694444207669</v>
      </c>
      <c r="P113" s="290">
        <f t="shared" ref="P113:P122" si="19">Q113/O$97</f>
        <v>428.86785714285713</v>
      </c>
      <c r="Q113" s="255">
        <f t="array" ref="Q113">+INDEX('Réel 2024'!$A$2:$AO$502,MATCH($A113,'Réel 2024'!$A$2:$A$502,0),MATCH(Q$2,'Réel 2024'!$A$2:$AO$2,0))</f>
        <v>12008.3</v>
      </c>
      <c r="R113" s="252"/>
      <c r="S113" s="275">
        <f t="shared" ref="S113:S154" si="20">L113-Q113</f>
        <v>13267.670000000002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420</v>
      </c>
      <c r="B114" s="41" t="s">
        <v>152</v>
      </c>
      <c r="C114" s="245" t="s">
        <v>112</v>
      </c>
      <c r="D114" s="1007">
        <f>F114/(F106)</f>
        <v>0.25835535976505136</v>
      </c>
      <c r="E114" s="293">
        <f t="shared" si="17"/>
        <v>516.71071953010278</v>
      </c>
      <c r="F114" s="247">
        <f>+INDEX('Budget original'!$A$2:$AO$502,MATCH($A114,'Budget original'!$A$2:$A$502,0),MATCH(F$2,'Budget original'!$A$2:$AO$2,0))</f>
        <v>24802.114537444933</v>
      </c>
      <c r="G114" s="294"/>
      <c r="H114" s="293"/>
      <c r="I114" s="247"/>
      <c r="J114" s="294">
        <f>L114/(L106)</f>
        <v>0.27813526592123961</v>
      </c>
      <c r="K114" s="293">
        <f>IF($J$97=0,0,L114/(J$94+J$95+J96))</f>
        <v>549.63515151515151</v>
      </c>
      <c r="L114" s="255">
        <f>SUMIFS(BV_Data_An_Cour!$O:$O,BV_Data_An_Cour!$U:$U,$B114,BV_Data_An_Cour!$V:$V,$C114,BV_Data_An_Cour!$W:$W,$L$2)</f>
        <v>18137.96</v>
      </c>
      <c r="M114" s="245"/>
      <c r="N114" s="295">
        <f t="shared" si="18"/>
        <v>-6664.1545374449342</v>
      </c>
      <c r="O114" s="980">
        <f>Q114/(Q106+Q19)</f>
        <v>0.29856708280862132</v>
      </c>
      <c r="P114" s="293">
        <f t="shared" si="19"/>
        <v>720.15499999999997</v>
      </c>
      <c r="Q114" s="255">
        <f t="array" ref="Q114">+INDEX('Réel 2024'!$A$2:$AO$502,MATCH($A114,'Réel 2024'!$A$2:$A$502,0),MATCH(Q$2,'Réel 2024'!$A$2:$AO$2,0))</f>
        <v>20164.34</v>
      </c>
      <c r="R114" s="245"/>
      <c r="S114" s="295">
        <f t="shared" si="20"/>
        <v>-2026.380000000001</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421</v>
      </c>
      <c r="B115" s="41" t="s">
        <v>152</v>
      </c>
      <c r="C115" s="252" t="s">
        <v>113</v>
      </c>
      <c r="D115" s="296"/>
      <c r="E115" s="290">
        <f t="shared" si="17"/>
        <v>8</v>
      </c>
      <c r="F115" s="253">
        <f>+INDEX('Budget original'!$A$2:$AO$502,MATCH($A115,'Budget original'!$A$2:$A$502,0),MATCH(F$2,'Budget original'!$A$2:$AO$2,0))</f>
        <v>384</v>
      </c>
      <c r="G115" s="297"/>
      <c r="H115" s="290"/>
      <c r="I115" s="253"/>
      <c r="J115" s="252"/>
      <c r="K115" s="290">
        <f>IF($J$97=0,0,L115/(J$94+J$95+J96))</f>
        <v>-43.713636363636361</v>
      </c>
      <c r="L115" s="271">
        <f>SUMIFS(BV_Data_An_Cour!$O:$O,BV_Data_An_Cour!$U:$U,$B115,BV_Data_An_Cour!$V:$V,$C115,BV_Data_An_Cour!$W:$W,$L$2)</f>
        <v>-1442.55</v>
      </c>
      <c r="M115" s="252"/>
      <c r="N115" s="275">
        <f t="shared" si="18"/>
        <v>-1826.55</v>
      </c>
      <c r="O115" s="252"/>
      <c r="P115" s="290">
        <f t="shared" si="19"/>
        <v>-62.661071428571425</v>
      </c>
      <c r="Q115" s="271">
        <f t="array" ref="Q115">+INDEX('Réel 2024'!$A$2:$AO$502,MATCH($A115,'Réel 2024'!$A$2:$A$502,0),MATCH(Q$2,'Réel 2024'!$A$2:$AO$2,0))</f>
        <v>-1754.51</v>
      </c>
      <c r="R115" s="252"/>
      <c r="S115" s="275">
        <f t="shared" si="20"/>
        <v>311.96000000000004</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422</v>
      </c>
      <c r="B116" s="41" t="s">
        <v>152</v>
      </c>
      <c r="C116" s="252" t="s">
        <v>114</v>
      </c>
      <c r="D116" s="296"/>
      <c r="E116" s="290">
        <f t="shared" si="17"/>
        <v>50</v>
      </c>
      <c r="F116" s="253">
        <f>+INDEX('Budget original'!$A$2:$AO$502,MATCH($A116,'Budget original'!$A$2:$A$502,0),MATCH(F$2,'Budget original'!$A$2:$AO$2,0))</f>
        <v>2400</v>
      </c>
      <c r="G116" s="297"/>
      <c r="H116" s="290"/>
      <c r="I116" s="253"/>
      <c r="J116" s="252"/>
      <c r="K116" s="290">
        <f>IF($J$97=0,0,L116/(J$94+J$95+J96))</f>
        <v>57.902727272727269</v>
      </c>
      <c r="L116" s="255">
        <f>SUMIFS(BV_Data_An_Cour!$O:$O,BV_Data_An_Cour!$U:$U,$B116,BV_Data_An_Cour!$V:$V,$C116,BV_Data_An_Cour!$W:$W,$L$2)</f>
        <v>1910.79</v>
      </c>
      <c r="M116" s="252"/>
      <c r="N116" s="275">
        <f t="shared" si="18"/>
        <v>-489.21000000000004</v>
      </c>
      <c r="O116" s="252"/>
      <c r="P116" s="290">
        <f t="shared" si="19"/>
        <v>177.98464285714286</v>
      </c>
      <c r="Q116" s="255">
        <f t="array" ref="Q116">+INDEX('Réel 2024'!$A$2:$AO$502,MATCH($A116,'Réel 2024'!$A$2:$A$502,0),MATCH(Q$2,'Réel 2024'!$A$2:$AO$2,0))</f>
        <v>4983.57</v>
      </c>
      <c r="R116" s="252"/>
      <c r="S116" s="275">
        <f t="shared" si="20"/>
        <v>-3072.7799999999997</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423</v>
      </c>
      <c r="B117" s="41" t="s">
        <v>152</v>
      </c>
      <c r="C117" s="245" t="s">
        <v>115</v>
      </c>
      <c r="D117" s="298"/>
      <c r="E117" s="293">
        <f t="shared" si="17"/>
        <v>170</v>
      </c>
      <c r="F117" s="247">
        <f>+INDEX('Budget original'!$A$2:$AO$502,MATCH($A117,'Budget original'!$A$2:$A$502,0),MATCH(F$2,'Budget original'!$A$2:$AO$2,0))</f>
        <v>8160</v>
      </c>
      <c r="G117" s="299"/>
      <c r="H117" s="293"/>
      <c r="I117" s="247"/>
      <c r="J117" s="245"/>
      <c r="K117" s="293">
        <f>IF($J$97=0,0,L117/(J$94+J$95+J96))</f>
        <v>109.50393939393939</v>
      </c>
      <c r="L117" s="247">
        <f>SUMIFS(BV_Data_An_Cour!$O:$O,BV_Data_An_Cour!$U:$U,$B117,BV_Data_An_Cour!$V:$V,$C117,BV_Data_An_Cour!$W:$W,$L$2)</f>
        <v>3613.63</v>
      </c>
      <c r="M117" s="245"/>
      <c r="N117" s="295">
        <f t="shared" si="18"/>
        <v>-4546.37</v>
      </c>
      <c r="O117" s="245"/>
      <c r="P117" s="293">
        <f t="shared" si="19"/>
        <v>134.48499999999999</v>
      </c>
      <c r="Q117" s="247">
        <f t="array" ref="Q117">+INDEX('Réel 2024'!$A$2:$AO$502,MATCH($A117,'Réel 2024'!$A$2:$A$502,0),MATCH(Q$2,'Réel 2024'!$A$2:$AO$2,0))</f>
        <v>3765.58</v>
      </c>
      <c r="R117" s="245"/>
      <c r="S117" s="295">
        <f t="shared" si="20"/>
        <v>-151.94999999999982</v>
      </c>
      <c r="T117" s="41"/>
      <c r="U117" s="1153"/>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424</v>
      </c>
      <c r="B118" s="41" t="s">
        <v>152</v>
      </c>
      <c r="C118" s="252" t="s">
        <v>116</v>
      </c>
      <c r="D118" s="296"/>
      <c r="E118" s="290">
        <f t="shared" si="17"/>
        <v>193.796875</v>
      </c>
      <c r="F118" s="253">
        <f>+INDEX('Budget original'!$A$2:$AO$502,MATCH($A118,'Budget original'!$A$2:$A$502,0),MATCH(F$2,'Budget original'!$A$2:$AO$2,0))</f>
        <v>9302.25</v>
      </c>
      <c r="G118" s="297"/>
      <c r="H118" s="290"/>
      <c r="I118" s="253"/>
      <c r="J118" s="252"/>
      <c r="K118" s="290">
        <f>IF($J$97=0,0,L118/(J$94+J$95+J96))</f>
        <v>234.23181818181817</v>
      </c>
      <c r="L118" s="255">
        <f>SUMIFS(BV_Data_An_Cour!$O:$O,BV_Data_An_Cour!$U:$U,$B118,BV_Data_An_Cour!$V:$V,$C118,BV_Data_An_Cour!$W:$W,$L$2)</f>
        <v>7729.65</v>
      </c>
      <c r="M118" s="252"/>
      <c r="N118" s="275">
        <f t="shared" si="18"/>
        <v>-1572.6000000000004</v>
      </c>
      <c r="O118" s="252"/>
      <c r="P118" s="290">
        <f t="shared" si="19"/>
        <v>328.2689285714286</v>
      </c>
      <c r="Q118" s="255">
        <f t="array" ref="Q118">+INDEX('Réel 2024'!$A$2:$AO$502,MATCH($A118,'Réel 2024'!$A$2:$A$502,0),MATCH(Q$2,'Réel 2024'!$A$2:$AO$2,0))</f>
        <v>9191.5300000000007</v>
      </c>
      <c r="R118" s="252"/>
      <c r="S118" s="275">
        <f t="shared" si="20"/>
        <v>-1461.880000000001</v>
      </c>
      <c r="T118" s="41"/>
      <c r="U118" s="41"/>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425</v>
      </c>
      <c r="B119" s="41" t="s">
        <v>152</v>
      </c>
      <c r="C119" s="252" t="s">
        <v>117</v>
      </c>
      <c r="D119" s="296"/>
      <c r="E119" s="290">
        <f t="shared" si="17"/>
        <v>0</v>
      </c>
      <c r="F119" s="253">
        <f>+INDEX('Budget original'!$A$2:$AO$502,MATCH($A119,'Budget original'!$A$2:$A$502,0),MATCH(F$2,'Budget original'!$A$2:$AO$2,0))</f>
        <v>0</v>
      </c>
      <c r="G119" s="297"/>
      <c r="H119" s="290"/>
      <c r="I119" s="253"/>
      <c r="J119" s="252"/>
      <c r="K119" s="290">
        <f>IF($J$97=0,0,L119/(J$94+J$95+J96))</f>
        <v>67.643636363636361</v>
      </c>
      <c r="L119" s="851">
        <f>SUMIFS(BV_Data_An_Cour!$O:$O,BV_Data_An_Cour!$U:$U,$B119,BV_Data_An_Cour!$V:$V,$C119,BV_Data_An_Cour!$W:$W,$L$2)</f>
        <v>2232.2399999999998</v>
      </c>
      <c r="M119" s="252"/>
      <c r="N119" s="860">
        <f t="shared" si="18"/>
        <v>2232.2399999999998</v>
      </c>
      <c r="O119" s="252"/>
      <c r="P119" s="290">
        <f t="shared" si="19"/>
        <v>145.15642857142856</v>
      </c>
      <c r="Q119" s="255">
        <f t="array" ref="Q119">+INDEX('Réel 2024'!$A$2:$AO$502,MATCH($A119,'Réel 2024'!$A$2:$A$502,0),MATCH(Q$2,'Réel 2024'!$A$2:$AO$2,0))</f>
        <v>4064.38</v>
      </c>
      <c r="R119" s="252"/>
      <c r="S119" s="275">
        <f t="shared" si="20"/>
        <v>-1832.1400000000003</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426</v>
      </c>
      <c r="B120" s="41" t="s">
        <v>152</v>
      </c>
      <c r="C120" s="252" t="s">
        <v>59</v>
      </c>
      <c r="D120" s="296"/>
      <c r="E120" s="290">
        <f t="shared" si="17"/>
        <v>0</v>
      </c>
      <c r="F120" s="253">
        <f>+INDEX('Budget original'!$A$2:$AO$502,MATCH($A120,'Budget original'!$A$2:$A$502,0),MATCH(F$2,'Budget original'!$A$2:$AO$2,0))</f>
        <v>0</v>
      </c>
      <c r="G120" s="297"/>
      <c r="H120" s="290"/>
      <c r="I120" s="253"/>
      <c r="J120" s="252"/>
      <c r="K120" s="290">
        <f>IF($J$97=0,0,L120/(J$94+J$95))</f>
        <v>0</v>
      </c>
      <c r="L120" s="255">
        <f>SUMIFS(BV_Data_An_Cour!$O:$O,BV_Data_An_Cour!$U:$U,$B120,BV_Data_An_Cour!$V:$V,$C120,BV_Data_An_Cour!$W:$W,$L$2)</f>
        <v>0</v>
      </c>
      <c r="M120" s="252"/>
      <c r="N120" s="275">
        <f t="shared" si="18"/>
        <v>0</v>
      </c>
      <c r="O120" s="252"/>
      <c r="P120" s="290">
        <f t="shared" si="19"/>
        <v>0</v>
      </c>
      <c r="Q120" s="255">
        <f t="array" ref="Q120">+INDEX('Réel 2024'!$A$2:$AO$502,MATCH($A120,'Réel 2024'!$A$2:$A$502,0),MATCH(Q$2,'Réel 2024'!$A$2:$AO$2,0))</f>
        <v>0</v>
      </c>
      <c r="R120" s="252"/>
      <c r="S120" s="275">
        <f t="shared" si="20"/>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426</v>
      </c>
      <c r="B121" s="41" t="s">
        <v>152</v>
      </c>
      <c r="C121" s="252" t="s">
        <v>59</v>
      </c>
      <c r="D121" s="296"/>
      <c r="E121" s="290">
        <f t="shared" si="17"/>
        <v>0</v>
      </c>
      <c r="F121" s="253">
        <f>+INDEX('Budget original'!$A$2:$AO$502,MATCH($A121,'Budget original'!$A$2:$A$502,0),MATCH(F$2,'Budget original'!$A$2:$AO$2,0))</f>
        <v>0</v>
      </c>
      <c r="G121" s="297"/>
      <c r="H121" s="290"/>
      <c r="I121" s="253"/>
      <c r="J121" s="252"/>
      <c r="K121" s="290">
        <f>IF($J$97=0,0,L121/(J$94+J$95))</f>
        <v>0</v>
      </c>
      <c r="L121" s="255">
        <f>SUMIFS(BV_Data_An_Cour!$O:$O,BV_Data_An_Cour!$U:$U,$B121,BV_Data_An_Cour!$V:$V,$C121,BV_Data_An_Cour!$W:$W,$L$2)</f>
        <v>0</v>
      </c>
      <c r="M121" s="252"/>
      <c r="N121" s="275">
        <f t="shared" si="18"/>
        <v>0</v>
      </c>
      <c r="O121" s="252"/>
      <c r="P121" s="290">
        <f t="shared" si="19"/>
        <v>0</v>
      </c>
      <c r="Q121" s="255">
        <f t="array" ref="Q121">+INDEX('Réel 2024'!$A$2:$AO$502,MATCH($A121,'Réel 2024'!$A$2:$A$502,0),MATCH(Q$2,'Réel 2024'!$A$2:$AO$2,0))</f>
        <v>0</v>
      </c>
      <c r="R121" s="252"/>
      <c r="S121" s="275">
        <f t="shared" si="20"/>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426</v>
      </c>
      <c r="B122" s="41" t="s">
        <v>152</v>
      </c>
      <c r="C122" s="252" t="s">
        <v>59</v>
      </c>
      <c r="D122" s="296"/>
      <c r="E122" s="290">
        <f t="shared" si="17"/>
        <v>0</v>
      </c>
      <c r="F122" s="253">
        <f>+INDEX('Budget original'!$A$2:$AO$502,MATCH($A122,'Budget original'!$A$2:$A$502,0),MATCH(F$2,'Budget original'!$A$2:$AO$2,0))</f>
        <v>0</v>
      </c>
      <c r="G122" s="297"/>
      <c r="H122" s="290"/>
      <c r="I122" s="253"/>
      <c r="J122" s="252"/>
      <c r="K122" s="290">
        <f>IF($J$97=0,0,L122/(J$94+J$95))</f>
        <v>0</v>
      </c>
      <c r="L122" s="255">
        <f>SUMIFS(BV_Data_An_Cour!$O:$O,BV_Data_An_Cour!$U:$U,$B122,BV_Data_An_Cour!$V:$V,$C122,BV_Data_An_Cour!$W:$W,$L$2)</f>
        <v>0</v>
      </c>
      <c r="M122" s="252"/>
      <c r="N122" s="275">
        <f t="shared" si="18"/>
        <v>0</v>
      </c>
      <c r="O122" s="252"/>
      <c r="P122" s="290">
        <f t="shared" si="19"/>
        <v>0</v>
      </c>
      <c r="Q122" s="255">
        <f t="array" ref="Q122">+INDEX('Réel 2024'!$A$2:$AO$502,MATCH($A122,'Réel 2024'!$A$2:$A$502,0),MATCH(Q$2,'Réel 2024'!$A$2:$AO$2,0))</f>
        <v>0</v>
      </c>
      <c r="R122" s="252"/>
      <c r="S122" s="275">
        <f t="shared" si="20"/>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427</v>
      </c>
      <c r="B123" s="41" t="s">
        <v>152</v>
      </c>
      <c r="C123" s="303" t="s">
        <v>118</v>
      </c>
      <c r="D123" s="304" t="s">
        <v>119</v>
      </c>
      <c r="E123" s="305">
        <f>F123/F$109</f>
        <v>0.34197559827165963</v>
      </c>
      <c r="F123" s="306">
        <f>SUM(F113:F122)</f>
        <v>67988.364537444926</v>
      </c>
      <c r="G123" s="307"/>
      <c r="H123" s="305"/>
      <c r="I123" s="306"/>
      <c r="J123" s="307" t="s">
        <v>119</v>
      </c>
      <c r="K123" s="305">
        <f>L123/L$109</f>
        <v>0.36967444886471734</v>
      </c>
      <c r="L123" s="306">
        <f>SUM(L113:L122)</f>
        <v>57457.689999999995</v>
      </c>
      <c r="M123" s="310"/>
      <c r="N123" s="306">
        <f t="shared" si="18"/>
        <v>-10530.674537444931</v>
      </c>
      <c r="O123" s="307" t="s">
        <v>119</v>
      </c>
      <c r="P123" s="305">
        <f>Q123/Q$109</f>
        <v>0.35938501325434435</v>
      </c>
      <c r="Q123" s="306">
        <f>SUM(Q113:Q122)</f>
        <v>52423.189999999995</v>
      </c>
      <c r="R123" s="310"/>
      <c r="S123" s="306">
        <f t="shared" si="20"/>
        <v>5034.5</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428</v>
      </c>
      <c r="B124" s="41" t="s">
        <v>152</v>
      </c>
      <c r="C124" s="311" t="s">
        <v>120</v>
      </c>
      <c r="D124" s="41"/>
      <c r="E124" s="41"/>
      <c r="F124" s="253">
        <f>+INDEX('Budget original'!$A$2:$AO$502,MATCH($A124,'Budget original'!$A$2:$A$502,0),MATCH(F$2,'Budget original'!$A$2:$AO$2,0))</f>
        <v>12669.871794871795</v>
      </c>
      <c r="G124" s="252"/>
      <c r="H124" s="41"/>
      <c r="I124" s="253"/>
      <c r="J124" s="252"/>
      <c r="K124" s="41"/>
      <c r="L124" s="255">
        <f>SUMIFS(BV_Data_An_Cour!$O:$O,BV_Data_An_Cour!$U:$U,$B124,BV_Data_An_Cour!$V:$V,$C124,BV_Data_An_Cour!$W:$W,$L$2)</f>
        <v>8896.93</v>
      </c>
      <c r="M124" s="252"/>
      <c r="N124" s="275">
        <f t="shared" si="18"/>
        <v>-3772.9417948717946</v>
      </c>
      <c r="O124" s="252"/>
      <c r="P124" s="41"/>
      <c r="Q124" s="255">
        <f t="array" ref="Q124">+INDEX('Réel 2024'!$A$2:$AO$502,MATCH($A124,'Réel 2024'!$A$2:$A$502,0),MATCH(Q$2,'Réel 2024'!$A$2:$AO$2,0))</f>
        <v>12692.24</v>
      </c>
      <c r="R124" s="252"/>
      <c r="S124" s="275">
        <f t="shared" si="20"/>
        <v>-3795.3099999999995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429</v>
      </c>
      <c r="B125" s="41" t="s">
        <v>152</v>
      </c>
      <c r="C125" s="312" t="s">
        <v>121</v>
      </c>
      <c r="D125" s="296"/>
      <c r="E125" s="41"/>
      <c r="F125" s="247">
        <f>+INDEX('Budget original'!$A$2:$AO$502,MATCH($A125,'Budget original'!$A$2:$A$502,0),MATCH(F$2,'Budget original'!$A$2:$AO$2,0))</f>
        <v>7104.1997838256402</v>
      </c>
      <c r="G125" s="297"/>
      <c r="H125" s="41"/>
      <c r="I125" s="247"/>
      <c r="J125" s="252"/>
      <c r="K125" s="41"/>
      <c r="L125" s="247">
        <f>SUMIFS(BV_Data_An_Cour!$O:$O,BV_Data_An_Cour!$U:$U,$B125,BV_Data_An_Cour!$V:$V,$C125,BV_Data_An_Cour!$W:$W,$L$2)</f>
        <v>11741.63</v>
      </c>
      <c r="M125" s="252"/>
      <c r="N125" s="275">
        <f t="shared" si="18"/>
        <v>4637.430216174359</v>
      </c>
      <c r="O125" s="252"/>
      <c r="P125" s="41"/>
      <c r="Q125" s="247">
        <f t="array" ref="Q125">+INDEX('Réel 2024'!$A$2:$AO$502,MATCH($A125,'Réel 2024'!$A$2:$A$502,0),MATCH(Q$2,'Réel 2024'!$A$2:$AO$2,0))</f>
        <v>1911.65</v>
      </c>
      <c r="R125" s="252"/>
      <c r="S125" s="275">
        <f t="shared" si="20"/>
        <v>9829.98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430</v>
      </c>
      <c r="B126" s="41" t="s">
        <v>152</v>
      </c>
      <c r="C126" s="311" t="s">
        <v>122</v>
      </c>
      <c r="D126" s="313"/>
      <c r="E126" s="314"/>
      <c r="F126" s="253">
        <f>+INDEX('Budget original'!$A$2:$AO$502,MATCH($A126,'Budget original'!$A$2:$A$502,0),MATCH(F$2,'Budget original'!$A$2:$AO$2,0))</f>
        <v>0</v>
      </c>
      <c r="G126" s="315"/>
      <c r="H126" s="314"/>
      <c r="I126" s="253"/>
      <c r="J126" s="240"/>
      <c r="K126" s="314"/>
      <c r="L126" s="255">
        <f>SUMIFS(BV_Data_An_Cour!$O:$O,BV_Data_An_Cour!$U:$U,$B126,BV_Data_An_Cour!$V:$V,$C126,BV_Data_An_Cour!$W:$W,$L$2)</f>
        <v>-3433.81</v>
      </c>
      <c r="M126" s="240"/>
      <c r="N126" s="316">
        <f t="shared" si="18"/>
        <v>-3433.81</v>
      </c>
      <c r="O126" s="240"/>
      <c r="P126" s="314"/>
      <c r="Q126" s="255">
        <f t="array" ref="Q126">+INDEX('Réel 2024'!$A$2:$AO$502,MATCH($A126,'Réel 2024'!$A$2:$A$502,0),MATCH(Q$2,'Réel 2024'!$A$2:$AO$2,0))</f>
        <v>5511.25</v>
      </c>
      <c r="R126" s="240"/>
      <c r="S126" s="316">
        <f t="shared" si="20"/>
        <v>-8945.06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431</v>
      </c>
      <c r="B127" s="41" t="s">
        <v>152</v>
      </c>
      <c r="C127" s="311" t="s">
        <v>123</v>
      </c>
      <c r="D127" s="296"/>
      <c r="E127" s="41"/>
      <c r="F127" s="253">
        <f>+INDEX('Budget original'!$A$2:$AO$502,MATCH($A127,'Budget original'!$A$2:$A$502,0),MATCH(F$2,'Budget original'!$A$2:$AO$2,0))</f>
        <v>0</v>
      </c>
      <c r="G127" s="297"/>
      <c r="H127" s="41"/>
      <c r="I127" s="253"/>
      <c r="J127" s="252"/>
      <c r="K127" s="41"/>
      <c r="L127" s="255">
        <f>SUMIFS(BV_Data_An_Cour!$O:$O,BV_Data_An_Cour!$U:$U,$B127,BV_Data_An_Cour!$V:$V,$C127,BV_Data_An_Cour!$W:$W,$L$2)</f>
        <v>0</v>
      </c>
      <c r="M127" s="252"/>
      <c r="N127" s="275">
        <f t="shared" si="18"/>
        <v>0</v>
      </c>
      <c r="O127" s="252"/>
      <c r="P127" s="41"/>
      <c r="Q127" s="255">
        <f t="array" ref="Q127">+INDEX('Réel 2024'!$A$2:$AO$502,MATCH($A127,'Réel 2024'!$A$2:$A$502,0),MATCH(Q$2,'Réel 2024'!$A$2:$AO$2,0))</f>
        <v>0</v>
      </c>
      <c r="R127" s="252"/>
      <c r="S127" s="275">
        <f t="shared" si="20"/>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426</v>
      </c>
      <c r="B128" s="41" t="s">
        <v>152</v>
      </c>
      <c r="C128" s="311" t="s">
        <v>59</v>
      </c>
      <c r="D128" s="296"/>
      <c r="E128" s="41"/>
      <c r="F128" s="253">
        <f>+INDEX('Budget original'!$A$2:$AO$502,MATCH($A128,'Budget original'!$A$2:$A$502,0),MATCH(F$2,'Budget original'!$A$2:$AO$2,0))</f>
        <v>0</v>
      </c>
      <c r="G128" s="297"/>
      <c r="H128" s="41"/>
      <c r="I128" s="253"/>
      <c r="J128" s="252"/>
      <c r="K128" s="41"/>
      <c r="L128" s="255">
        <f>SUMIFS(BV_Data_An_Cour!$O:$O,BV_Data_An_Cour!$U:$U,$B128,BV_Data_An_Cour!$V:$V,$C128,BV_Data_An_Cour!$W:$W,$L$2)</f>
        <v>0</v>
      </c>
      <c r="M128" s="252"/>
      <c r="N128" s="275">
        <f t="shared" si="18"/>
        <v>0</v>
      </c>
      <c r="O128" s="252"/>
      <c r="P128" s="41"/>
      <c r="Q128" s="255">
        <f t="array" ref="Q128">+INDEX('Réel 2024'!$A$2:$AO$502,MATCH($A128,'Réel 2024'!$A$2:$A$502,0),MATCH(Q$2,'Réel 2024'!$A$2:$AO$2,0))</f>
        <v>0</v>
      </c>
      <c r="R128" s="252"/>
      <c r="S128" s="275">
        <f t="shared" si="20"/>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426</v>
      </c>
      <c r="B129" s="41" t="s">
        <v>152</v>
      </c>
      <c r="C129" s="311" t="s">
        <v>59</v>
      </c>
      <c r="D129" s="296"/>
      <c r="E129" s="41"/>
      <c r="F129" s="253">
        <f>+INDEX('Budget original'!$A$2:$AO$502,MATCH($A129,'Budget original'!$A$2:$A$502,0),MATCH(F$2,'Budget original'!$A$2:$AO$2,0))</f>
        <v>0</v>
      </c>
      <c r="G129" s="297"/>
      <c r="H129" s="41"/>
      <c r="I129" s="253"/>
      <c r="J129" s="252"/>
      <c r="K129" s="41"/>
      <c r="L129" s="255">
        <f>SUMIFS(BV_Data_An_Cour!$O:$O,BV_Data_An_Cour!$U:$U,$B129,BV_Data_An_Cour!$V:$V,$C129,BV_Data_An_Cour!$W:$W,$L$2)</f>
        <v>0</v>
      </c>
      <c r="M129" s="252"/>
      <c r="N129" s="275">
        <f t="shared" si="18"/>
        <v>0</v>
      </c>
      <c r="O129" s="252"/>
      <c r="P129" s="41"/>
      <c r="Q129" s="255">
        <f t="array" ref="Q129">+INDEX('Réel 2024'!$A$2:$AO$502,MATCH($A129,'Réel 2024'!$A$2:$A$502,0),MATCH(Q$2,'Réel 2024'!$A$2:$AO$2,0))</f>
        <v>0</v>
      </c>
      <c r="R129" s="252"/>
      <c r="S129" s="275">
        <f t="shared" si="20"/>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426</v>
      </c>
      <c r="B130" s="41" t="s">
        <v>152</v>
      </c>
      <c r="C130" s="311" t="s">
        <v>59</v>
      </c>
      <c r="D130" s="296"/>
      <c r="E130" s="41"/>
      <c r="F130" s="253">
        <f>+INDEX('Budget original'!$A$2:$AO$502,MATCH($A130,'Budget original'!$A$2:$A$502,0),MATCH(F$2,'Budget original'!$A$2:$AO$2,0))</f>
        <v>0</v>
      </c>
      <c r="G130" s="297"/>
      <c r="H130" s="41"/>
      <c r="I130" s="253"/>
      <c r="J130" s="252"/>
      <c r="K130" s="41"/>
      <c r="L130" s="255">
        <f>SUMIFS(BV_Data_An_Cour!$O:$O,BV_Data_An_Cour!$U:$U,$B130,BV_Data_An_Cour!$V:$V,$C130,BV_Data_An_Cour!$W:$W,$L$2)</f>
        <v>0</v>
      </c>
      <c r="M130" s="252"/>
      <c r="N130" s="275">
        <f t="shared" si="18"/>
        <v>0</v>
      </c>
      <c r="O130" s="252"/>
      <c r="P130" s="41"/>
      <c r="Q130" s="255">
        <f t="array" ref="Q130">+INDEX('Réel 2024'!$A$2:$AO$502,MATCH($A130,'Réel 2024'!$A$2:$A$502,0),MATCH(Q$2,'Réel 2024'!$A$2:$AO$2,0))</f>
        <v>0</v>
      </c>
      <c r="R130" s="252"/>
      <c r="S130" s="275">
        <f t="shared" si="20"/>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432</v>
      </c>
      <c r="B131" s="41" t="s">
        <v>152</v>
      </c>
      <c r="C131" s="312" t="s">
        <v>124</v>
      </c>
      <c r="D131" s="296"/>
      <c r="E131" s="41"/>
      <c r="F131" s="253">
        <f>+INDEX('Budget original'!$A$2:$AO$502,MATCH($A131,'Budget original'!$A$2:$A$502,0),MATCH(F$2,'Budget original'!$A$2:$AO$2,0))</f>
        <v>7446.9311522110047</v>
      </c>
      <c r="G131" s="297"/>
      <c r="H131" s="41"/>
      <c r="I131" s="253"/>
      <c r="J131" s="252"/>
      <c r="K131" s="41"/>
      <c r="L131" s="255">
        <f>SUMIFS(BV_Data_An_Cour!$O:$O,BV_Data_An_Cour!$U:$U,$B131,BV_Data_An_Cour!$V:$V,$C131,BV_Data_An_Cour!$W:$W,$L$2)</f>
        <v>6443.73</v>
      </c>
      <c r="M131" s="252"/>
      <c r="N131" s="275">
        <f t="shared" si="18"/>
        <v>-1003.2011522110051</v>
      </c>
      <c r="O131" s="252"/>
      <c r="P131" s="41"/>
      <c r="Q131" s="255">
        <f t="array" ref="Q131">+INDEX('Réel 2024'!$A$2:$AO$502,MATCH($A131,'Réel 2024'!$A$2:$A$502,0),MATCH(Q$2,'Réel 2024'!$A$2:$AO$2,0))</f>
        <v>7271.51</v>
      </c>
      <c r="R131" s="252"/>
      <c r="S131" s="275">
        <f t="shared" si="20"/>
        <v>-827.78000000000065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433</v>
      </c>
      <c r="B132" s="41" t="s">
        <v>152</v>
      </c>
      <c r="C132" s="311" t="s">
        <v>125</v>
      </c>
      <c r="D132" s="313"/>
      <c r="E132" s="314"/>
      <c r="F132" s="270">
        <f>+INDEX('Budget original'!$A$2:$AO$502,MATCH($A132,'Budget original'!$A$2:$A$502,0),MATCH(F$2,'Budget original'!$A$2:$AO$2,0))</f>
        <v>9054.4184934371697</v>
      </c>
      <c r="G132" s="315"/>
      <c r="H132" s="314"/>
      <c r="I132" s="270"/>
      <c r="J132" s="240"/>
      <c r="K132" s="314"/>
      <c r="L132" s="271">
        <f>SUMIFS(BV_Data_An_Cour!$O:$O,BV_Data_An_Cour!$U:$U,$B132,BV_Data_An_Cour!$V:$V,$C132,BV_Data_An_Cour!$W:$W,$L$2)</f>
        <v>7664.05</v>
      </c>
      <c r="M132" s="240"/>
      <c r="N132" s="316">
        <f t="shared" si="18"/>
        <v>-1390.3684934371695</v>
      </c>
      <c r="O132" s="240"/>
      <c r="P132" s="314"/>
      <c r="Q132" s="271">
        <f t="array" ref="Q132">+INDEX('Réel 2024'!$A$2:$AO$502,MATCH($A132,'Réel 2024'!$A$2:$A$502,0),MATCH(Q$2,'Réel 2024'!$A$2:$AO$2,0))</f>
        <v>8415.69</v>
      </c>
      <c r="R132" s="240"/>
      <c r="S132" s="316">
        <f t="shared" si="20"/>
        <v>-751.64000000000033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434</v>
      </c>
      <c r="B133" s="41" t="s">
        <v>152</v>
      </c>
      <c r="C133" s="311" t="s">
        <v>126</v>
      </c>
      <c r="D133" s="296"/>
      <c r="E133" s="41"/>
      <c r="F133" s="253">
        <f>+INDEX('Budget original'!$A$2:$AO$502,MATCH($A133,'Budget original'!$A$2:$A$502,0),MATCH(F$2,'Budget original'!$A$2:$AO$2,0))</f>
        <v>4664.9938759665411</v>
      </c>
      <c r="G133" s="297"/>
      <c r="H133" s="41"/>
      <c r="I133" s="253"/>
      <c r="J133" s="252"/>
      <c r="K133" s="41"/>
      <c r="L133" s="255">
        <f>SUMIFS(BV_Data_An_Cour!$O:$O,BV_Data_An_Cour!$U:$U,$B133,BV_Data_An_Cour!$V:$V,$C133,BV_Data_An_Cour!$W:$W,$L$2)</f>
        <v>3802.71</v>
      </c>
      <c r="M133" s="252"/>
      <c r="N133" s="275">
        <f t="shared" si="18"/>
        <v>-862.28387596654102</v>
      </c>
      <c r="O133" s="252"/>
      <c r="P133" s="41"/>
      <c r="Q133" s="255">
        <f t="array" ref="Q133">+INDEX('Réel 2024'!$A$2:$AO$502,MATCH($A133,'Réel 2024'!$A$2:$A$502,0),MATCH(Q$2,'Réel 2024'!$A$2:$AO$2,0))</f>
        <v>3747.7599999999902</v>
      </c>
      <c r="R133" s="252"/>
      <c r="S133" s="275">
        <f t="shared" si="20"/>
        <v>54.950000000009823</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435</v>
      </c>
      <c r="B134" s="41" t="s">
        <v>152</v>
      </c>
      <c r="C134" s="311" t="s">
        <v>127</v>
      </c>
      <c r="D134" s="296"/>
      <c r="E134" s="41"/>
      <c r="F134" s="253">
        <f>+INDEX('Budget original'!$A$2:$AO$502,MATCH($A134,'Budget original'!$A$2:$A$502,0),MATCH(F$2,'Budget original'!$A$2:$AO$2,0))</f>
        <v>2033.9635746126974</v>
      </c>
      <c r="G134" s="297"/>
      <c r="H134" s="41"/>
      <c r="I134" s="253"/>
      <c r="J134" s="252"/>
      <c r="K134" s="41"/>
      <c r="L134" s="255">
        <f>SUMIFS(BV_Data_An_Cour!$O:$O,BV_Data_An_Cour!$U:$U,$B134,BV_Data_An_Cour!$V:$V,$C134,BV_Data_An_Cour!$W:$W,$L$2)</f>
        <v>1650.61</v>
      </c>
      <c r="M134" s="252"/>
      <c r="N134" s="275">
        <f t="shared" si="18"/>
        <v>-383.35357461269746</v>
      </c>
      <c r="O134" s="252"/>
      <c r="P134" s="41"/>
      <c r="Q134" s="255">
        <f t="array" ref="Q134">+INDEX('Réel 2024'!$A$2:$AO$502,MATCH($A134,'Réel 2024'!$A$2:$A$502,0),MATCH(Q$2,'Réel 2024'!$A$2:$AO$2,0))</f>
        <v>805.56</v>
      </c>
      <c r="R134" s="252"/>
      <c r="S134" s="275">
        <f t="shared" si="20"/>
        <v>845.05</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426</v>
      </c>
      <c r="B135" s="41" t="s">
        <v>152</v>
      </c>
      <c r="C135" s="252" t="s">
        <v>59</v>
      </c>
      <c r="D135" s="298"/>
      <c r="E135" s="317"/>
      <c r="F135" s="253">
        <f>+INDEX('Budget original'!$A$2:$AO$502,MATCH($A135,'Budget original'!$A$2:$A$502,0),MATCH(F$2,'Budget original'!$A$2:$AO$2,0))</f>
        <v>0</v>
      </c>
      <c r="G135" s="299"/>
      <c r="H135" s="317"/>
      <c r="I135" s="253"/>
      <c r="J135" s="245"/>
      <c r="K135" s="317"/>
      <c r="L135" s="255">
        <f>SUMIFS(BV_Data_An_Cour!$O:$O,BV_Data_An_Cour!$U:$U,$B135,BV_Data_An_Cour!$V:$V,$C135,BV_Data_An_Cour!$W:$W,$L$2)</f>
        <v>0</v>
      </c>
      <c r="M135" s="245"/>
      <c r="N135" s="295">
        <f t="shared" si="18"/>
        <v>0</v>
      </c>
      <c r="O135" s="245"/>
      <c r="P135" s="317"/>
      <c r="Q135" s="255">
        <f t="array" ref="Q135">+INDEX('Réel 2024'!$A$2:$AO$502,MATCH($A135,'Réel 2024'!$A$2:$A$502,0),MATCH(Q$2,'Réel 2024'!$A$2:$AO$2,0))</f>
        <v>0</v>
      </c>
      <c r="R135" s="245"/>
      <c r="S135" s="295">
        <f t="shared" si="20"/>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436</v>
      </c>
      <c r="B136" s="41" t="s">
        <v>152</v>
      </c>
      <c r="C136" s="303" t="s">
        <v>128</v>
      </c>
      <c r="D136" s="304" t="s">
        <v>119</v>
      </c>
      <c r="E136" s="305">
        <f>F136/F$109</f>
        <v>0.21615741101723776</v>
      </c>
      <c r="F136" s="306">
        <f>+SUM(F124:F135)</f>
        <v>42974.378674924847</v>
      </c>
      <c r="G136" s="307"/>
      <c r="H136" s="305"/>
      <c r="I136" s="306"/>
      <c r="J136" s="307" t="s">
        <v>119</v>
      </c>
      <c r="K136" s="305">
        <f>L136/L$109</f>
        <v>0.23654614962406023</v>
      </c>
      <c r="L136" s="306">
        <f>SUM(L124:L135)</f>
        <v>36765.85</v>
      </c>
      <c r="M136" s="354"/>
      <c r="N136" s="319">
        <f t="shared" si="18"/>
        <v>-6208.528674924848</v>
      </c>
      <c r="O136" s="307" t="s">
        <v>119</v>
      </c>
      <c r="P136" s="305">
        <f>Q136/Q$109</f>
        <v>0.27665655989244098</v>
      </c>
      <c r="Q136" s="306">
        <f>+SUM(Q124:Q135)</f>
        <v>40355.659999999989</v>
      </c>
      <c r="R136" s="354"/>
      <c r="S136" s="319">
        <f t="shared" si="20"/>
        <v>-3589.8099999999904</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437</v>
      </c>
      <c r="B137" s="41" t="s">
        <v>152</v>
      </c>
      <c r="C137" s="252" t="s">
        <v>129</v>
      </c>
      <c r="D137" s="296"/>
      <c r="E137" s="41"/>
      <c r="F137" s="253">
        <f>+INDEX('Budget original'!$A$2:$AO$502,MATCH($A137,'Budget original'!$A$2:$A$502,0),MATCH(F$2,'Budget original'!$A$2:$AO$2,0))</f>
        <v>0</v>
      </c>
      <c r="G137" s="297"/>
      <c r="H137" s="41"/>
      <c r="I137" s="253"/>
      <c r="J137" s="252"/>
      <c r="K137" s="41"/>
      <c r="L137" s="255">
        <f>SUMIFS(BV_Data_An_Cour!$O:$O,BV_Data_An_Cour!$U:$U,$B137,BV_Data_An_Cour!$V:$V,$C137,BV_Data_An_Cour!$W:$W,$L$2)</f>
        <v>0</v>
      </c>
      <c r="M137" s="252"/>
      <c r="N137" s="275">
        <f t="shared" si="18"/>
        <v>0</v>
      </c>
      <c r="O137" s="252"/>
      <c r="P137" s="41"/>
      <c r="Q137" s="255">
        <f t="array" ref="Q137">+INDEX('Réel 2024'!$A$2:$AO$502,MATCH($A137,'Réel 2024'!$A$2:$A$502,0),MATCH(Q$2,'Réel 2024'!$A$2:$AO$2,0))</f>
        <v>0</v>
      </c>
      <c r="R137" s="252"/>
      <c r="S137" s="275">
        <f t="shared" si="20"/>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438</v>
      </c>
      <c r="B138" s="41" t="s">
        <v>152</v>
      </c>
      <c r="C138" s="252" t="s">
        <v>130</v>
      </c>
      <c r="D138" s="296"/>
      <c r="E138" s="41"/>
      <c r="F138" s="253">
        <f>+INDEX('Budget original'!$A$2:$AO$502,MATCH($A138,'Budget original'!$A$2:$A$502,0),MATCH(F$2,'Budget original'!$A$2:$AO$2,0))</f>
        <v>0</v>
      </c>
      <c r="G138" s="297"/>
      <c r="H138" s="41"/>
      <c r="I138" s="253"/>
      <c r="J138" s="252"/>
      <c r="K138" s="41"/>
      <c r="L138" s="255">
        <f>SUMIFS(BV_Data_An_Cour!$O:$O,BV_Data_An_Cour!$U:$U,$B138,BV_Data_An_Cour!$V:$V,$C138,BV_Data_An_Cour!$W:$W,$L$2)</f>
        <v>0</v>
      </c>
      <c r="M138" s="252"/>
      <c r="N138" s="275">
        <f t="shared" si="18"/>
        <v>0</v>
      </c>
      <c r="O138" s="252"/>
      <c r="P138" s="41"/>
      <c r="Q138" s="255">
        <f t="array" ref="Q138">+INDEX('Réel 2024'!$A$2:$AO$502,MATCH($A138,'Réel 2024'!$A$2:$A$502,0),MATCH(Q$2,'Réel 2024'!$A$2:$AO$2,0))</f>
        <v>0</v>
      </c>
      <c r="R138" s="252"/>
      <c r="S138" s="275">
        <f t="shared" si="20"/>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439</v>
      </c>
      <c r="B139" s="41" t="s">
        <v>152</v>
      </c>
      <c r="C139" s="245" t="s">
        <v>131</v>
      </c>
      <c r="D139" s="298"/>
      <c r="E139" s="317"/>
      <c r="F139" s="247">
        <f>+INDEX('Budget original'!$A$2:$AO$502,MATCH($A139,'Budget original'!$A$2:$A$502,0),MATCH(F$2,'Budget original'!$A$2:$AO$2,0))</f>
        <v>1284.1532888888889</v>
      </c>
      <c r="G139" s="299"/>
      <c r="H139" s="317"/>
      <c r="I139" s="247"/>
      <c r="J139" s="245"/>
      <c r="K139" s="317"/>
      <c r="L139" s="247">
        <f>SUMIFS(BV_Data_An_Cour!$O:$O,BV_Data_An_Cour!$U:$U,$B139,BV_Data_An_Cour!$V:$V,$C139,BV_Data_An_Cour!$W:$W,$L$2)</f>
        <v>2909.46</v>
      </c>
      <c r="M139" s="245"/>
      <c r="N139" s="295">
        <f t="shared" si="18"/>
        <v>1625.3067111111111</v>
      </c>
      <c r="O139" s="245"/>
      <c r="P139" s="317"/>
      <c r="Q139" s="247">
        <f t="array" ref="Q139">+INDEX('Réel 2024'!$A$2:$AO$502,MATCH($A139,'Réel 2024'!$A$2:$A$502,0),MATCH(Q$2,'Réel 2024'!$A$2:$AO$2,0))</f>
        <v>1424.94</v>
      </c>
      <c r="R139" s="245"/>
      <c r="S139" s="295">
        <f t="shared" si="20"/>
        <v>1484.52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440</v>
      </c>
      <c r="B140" s="41" t="s">
        <v>152</v>
      </c>
      <c r="C140" s="252" t="s">
        <v>132</v>
      </c>
      <c r="D140" s="296"/>
      <c r="E140" s="41"/>
      <c r="F140" s="253">
        <f>+INDEX('Budget original'!$A$2:$AO$502,MATCH($A140,'Budget original'!$A$2:$A$502,0),MATCH(F$2,'Budget original'!$A$2:$AO$2,0))</f>
        <v>3290</v>
      </c>
      <c r="G140" s="297"/>
      <c r="H140" s="41"/>
      <c r="I140" s="253"/>
      <c r="J140" s="252"/>
      <c r="K140" s="41"/>
      <c r="L140" s="255">
        <f>SUMIFS(BV_Data_An_Cour!$O:$O,BV_Data_An_Cour!$U:$U,$B140,BV_Data_An_Cour!$V:$V,$C140,BV_Data_An_Cour!$W:$W,$L$2)</f>
        <v>4529.91</v>
      </c>
      <c r="M140" s="252"/>
      <c r="N140" s="275">
        <f t="shared" si="18"/>
        <v>1239.9099999999999</v>
      </c>
      <c r="O140" s="252"/>
      <c r="P140" s="41"/>
      <c r="Q140" s="255">
        <f t="array" ref="Q140">+INDEX('Réel 2024'!$A$2:$AO$502,MATCH($A140,'Réel 2024'!$A$2:$A$502,0),MATCH(Q$2,'Réel 2024'!$A$2:$AO$2,0))</f>
        <v>4055.32</v>
      </c>
      <c r="R140" s="252"/>
      <c r="S140" s="275">
        <f t="shared" si="20"/>
        <v>474.58999999999969</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441</v>
      </c>
      <c r="B141" s="41" t="s">
        <v>152</v>
      </c>
      <c r="C141" s="252" t="s">
        <v>133</v>
      </c>
      <c r="D141" s="296"/>
      <c r="E141" s="41"/>
      <c r="F141" s="253">
        <f>+INDEX('Budget original'!$A$2:$AO$502,MATCH($A141,'Budget original'!$A$2:$A$502,0),MATCH(F$2,'Budget original'!$A$2:$AO$2,0))</f>
        <v>750</v>
      </c>
      <c r="G141" s="297"/>
      <c r="H141" s="41"/>
      <c r="I141" s="253"/>
      <c r="J141" s="252"/>
      <c r="K141" s="41"/>
      <c r="L141" s="255">
        <f>SUMIFS(BV_Data_An_Cour!$O:$O,BV_Data_An_Cour!$U:$U,$B141,BV_Data_An_Cour!$V:$V,$C141,BV_Data_An_Cour!$W:$W,$L$2)</f>
        <v>118.68</v>
      </c>
      <c r="M141" s="252"/>
      <c r="N141" s="275">
        <f t="shared" si="18"/>
        <v>-631.31999999999994</v>
      </c>
      <c r="O141" s="252"/>
      <c r="P141" s="41"/>
      <c r="Q141" s="255">
        <f t="array" ref="Q141">+INDEX('Réel 2024'!$A$2:$AO$502,MATCH($A141,'Réel 2024'!$A$2:$A$502,0),MATCH(Q$2,'Réel 2024'!$A$2:$AO$2,0))</f>
        <v>307.99</v>
      </c>
      <c r="R141" s="252"/>
      <c r="S141" s="275">
        <f t="shared" si="20"/>
        <v>-189.31</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442</v>
      </c>
      <c r="B142" s="41" t="s">
        <v>152</v>
      </c>
      <c r="C142" s="245" t="s">
        <v>134</v>
      </c>
      <c r="D142" s="298"/>
      <c r="E142" s="317"/>
      <c r="F142" s="247">
        <f>+INDEX('Budget original'!$A$2:$AO$502,MATCH($A142,'Budget original'!$A$2:$A$502,0),MATCH(F$2,'Budget original'!$A$2:$AO$2,0))</f>
        <v>1360.9199999999998</v>
      </c>
      <c r="G142" s="299"/>
      <c r="H142" s="317"/>
      <c r="I142" s="247"/>
      <c r="J142" s="245"/>
      <c r="K142" s="317"/>
      <c r="L142" s="247">
        <f>SUMIFS(BV_Data_An_Cour!$O:$O,BV_Data_An_Cour!$U:$U,$B142,BV_Data_An_Cour!$V:$V,$C142,BV_Data_An_Cour!$W:$W,$L$2)</f>
        <v>2268.83</v>
      </c>
      <c r="M142" s="245"/>
      <c r="N142" s="295">
        <f t="shared" si="18"/>
        <v>907.91000000000008</v>
      </c>
      <c r="O142" s="245"/>
      <c r="P142" s="317"/>
      <c r="Q142" s="247">
        <f t="array" ref="Q142">+INDEX('Réel 2024'!$A$2:$AO$502,MATCH($A142,'Réel 2024'!$A$2:$A$502,0),MATCH(Q$2,'Réel 2024'!$A$2:$AO$2,0))</f>
        <v>2003.58</v>
      </c>
      <c r="R142" s="245"/>
      <c r="S142" s="295">
        <f t="shared" si="20"/>
        <v>265.25</v>
      </c>
      <c r="T142" s="41"/>
      <c r="U142" s="1153"/>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443</v>
      </c>
      <c r="B143" s="41" t="s">
        <v>152</v>
      </c>
      <c r="C143" s="252" t="s">
        <v>135</v>
      </c>
      <c r="D143" s="296"/>
      <c r="E143" s="41"/>
      <c r="F143" s="253">
        <f>+INDEX('Budget original'!$A$2:$AO$502,MATCH($A143,'Budget original'!$A$2:$A$502,0),MATCH(F$2,'Budget original'!$A$2:$AO$2,0))</f>
        <v>50</v>
      </c>
      <c r="G143" s="297"/>
      <c r="H143" s="41"/>
      <c r="I143" s="253"/>
      <c r="J143" s="252"/>
      <c r="K143" s="41"/>
      <c r="L143" s="255">
        <f>SUMIFS(BV_Data_An_Cour!$O:$O,BV_Data_An_Cour!$U:$U,$B143,BV_Data_An_Cour!$V:$V,$C143,BV_Data_An_Cour!$W:$W,$L$2)</f>
        <v>0</v>
      </c>
      <c r="M143" s="252"/>
      <c r="N143" s="275">
        <f t="shared" si="18"/>
        <v>-50</v>
      </c>
      <c r="O143" s="252"/>
      <c r="P143" s="41"/>
      <c r="Q143" s="255">
        <f t="array" ref="Q143">+INDEX('Réel 2024'!$A$2:$AO$502,MATCH($A143,'Réel 2024'!$A$2:$A$502,0),MATCH(Q$2,'Réel 2024'!$A$2:$AO$2,0))</f>
        <v>0</v>
      </c>
      <c r="R143" s="252"/>
      <c r="S143" s="275">
        <f t="shared" si="20"/>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444</v>
      </c>
      <c r="B144" s="41" t="s">
        <v>152</v>
      </c>
      <c r="C144" s="252" t="s">
        <v>136</v>
      </c>
      <c r="D144" s="296"/>
      <c r="E144" s="41"/>
      <c r="F144" s="253">
        <f>+INDEX('Budget original'!$A$2:$AO$502,MATCH($A144,'Budget original'!$A$2:$A$502,0),MATCH(F$2,'Budget original'!$A$2:$AO$2,0))</f>
        <v>0</v>
      </c>
      <c r="G144" s="297"/>
      <c r="H144" s="41"/>
      <c r="I144" s="253"/>
      <c r="J144" s="252"/>
      <c r="K144" s="41"/>
      <c r="L144" s="255">
        <f>SUMIFS(BV_Data_An_Cour!$O:$O,BV_Data_An_Cour!$U:$U,$B144,BV_Data_An_Cour!$V:$V,$C144,BV_Data_An_Cour!$W:$W,$L$2)</f>
        <v>0</v>
      </c>
      <c r="M144" s="252"/>
      <c r="N144" s="275">
        <f t="shared" si="18"/>
        <v>0</v>
      </c>
      <c r="O144" s="252"/>
      <c r="P144" s="41"/>
      <c r="Q144" s="255">
        <f t="array" ref="Q144">+INDEX('Réel 2024'!$A$2:$AO$502,MATCH($A144,'Réel 2024'!$A$2:$A$502,0),MATCH(Q$2,'Réel 2024'!$A$2:$AO$2,0))</f>
        <v>0</v>
      </c>
      <c r="R144" s="252"/>
      <c r="S144" s="275">
        <f t="shared" si="20"/>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445</v>
      </c>
      <c r="B145" s="41" t="s">
        <v>152</v>
      </c>
      <c r="C145" s="252" t="s">
        <v>137</v>
      </c>
      <c r="D145" s="296"/>
      <c r="E145" s="41"/>
      <c r="F145" s="253">
        <f>+INDEX('Budget original'!$A$2:$AO$502,MATCH($A145,'Budget original'!$A$2:$A$502,0),MATCH(F$2,'Budget original'!$A$2:$AO$2,0))</f>
        <v>272</v>
      </c>
      <c r="G145" s="297"/>
      <c r="H145" s="41"/>
      <c r="I145" s="253"/>
      <c r="J145" s="252"/>
      <c r="K145" s="41"/>
      <c r="L145" s="255">
        <f>SUMIFS(BV_Data_An_Cour!$O:$O,BV_Data_An_Cour!$U:$U,$B145,BV_Data_An_Cour!$V:$V,$C145,BV_Data_An_Cour!$W:$W,$L$2)</f>
        <v>184.22</v>
      </c>
      <c r="M145" s="252"/>
      <c r="N145" s="275">
        <f t="shared" si="18"/>
        <v>-87.78</v>
      </c>
      <c r="O145" s="252"/>
      <c r="P145" s="41"/>
      <c r="Q145" s="255">
        <f t="array" ref="Q145">+INDEX('Réel 2024'!$A$2:$AO$502,MATCH($A145,'Réel 2024'!$A$2:$A$502,0),MATCH(Q$2,'Réel 2024'!$A$2:$AO$2,0))</f>
        <v>81.94</v>
      </c>
      <c r="R145" s="252"/>
      <c r="S145" s="275">
        <f t="shared" si="20"/>
        <v>102.28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446</v>
      </c>
      <c r="B146" s="41" t="s">
        <v>152</v>
      </c>
      <c r="C146" s="252" t="s">
        <v>138</v>
      </c>
      <c r="D146" s="296"/>
      <c r="E146" s="41"/>
      <c r="F146" s="253">
        <f>+INDEX('Budget original'!$A$2:$AO$502,MATCH($A146,'Budget original'!$A$2:$A$502,0),MATCH(F$2,'Budget original'!$A$2:$AO$2,0))</f>
        <v>87.5</v>
      </c>
      <c r="G146" s="297"/>
      <c r="H146" s="41"/>
      <c r="I146" s="253"/>
      <c r="J146" s="252"/>
      <c r="K146" s="41"/>
      <c r="L146" s="255">
        <f>SUMIFS(BV_Data_An_Cour!$O:$O,BV_Data_An_Cour!$U:$U,$B146,BV_Data_An_Cour!$V:$V,$C146,BV_Data_An_Cour!$W:$W,$L$2)</f>
        <v>33.26</v>
      </c>
      <c r="M146" s="252"/>
      <c r="N146" s="275">
        <f t="shared" si="18"/>
        <v>-54.24</v>
      </c>
      <c r="O146" s="252"/>
      <c r="P146" s="41"/>
      <c r="Q146" s="255">
        <f t="array" ref="Q146">+INDEX('Réel 2024'!$A$2:$AO$502,MATCH($A146,'Réel 2024'!$A$2:$A$502,0),MATCH(Q$2,'Réel 2024'!$A$2:$AO$2,0))</f>
        <v>66.8</v>
      </c>
      <c r="R146" s="252"/>
      <c r="S146" s="275">
        <f t="shared" si="20"/>
        <v>-33.54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447</v>
      </c>
      <c r="B147" s="41" t="s">
        <v>152</v>
      </c>
      <c r="C147" s="252" t="s">
        <v>139</v>
      </c>
      <c r="D147" s="296"/>
      <c r="E147" s="41"/>
      <c r="F147" s="253">
        <f>+INDEX('Budget original'!$A$2:$AO$502,MATCH($A147,'Budget original'!$A$2:$A$502,0),MATCH(F$2,'Budget original'!$A$2:$AO$2,0))</f>
        <v>85.469999999999985</v>
      </c>
      <c r="G147" s="297"/>
      <c r="H147" s="41"/>
      <c r="I147" s="253"/>
      <c r="J147" s="252"/>
      <c r="K147" s="41"/>
      <c r="L147" s="255">
        <f>SUMIFS(BV_Data_An_Cour!$O:$O,BV_Data_An_Cour!$U:$U,$B147,BV_Data_An_Cour!$V:$V,$C147,BV_Data_An_Cour!$W:$W,$L$2)</f>
        <v>34.049999999999997</v>
      </c>
      <c r="M147" s="252"/>
      <c r="N147" s="275">
        <f t="shared" si="18"/>
        <v>-51.419999999999987</v>
      </c>
      <c r="O147" s="252"/>
      <c r="P147" s="41"/>
      <c r="Q147" s="255">
        <f t="array" ref="Q147">+INDEX('Réel 2024'!$A$2:$AO$502,MATCH($A147,'Réel 2024'!$A$2:$A$502,0),MATCH(Q$2,'Réel 2024'!$A$2:$AO$2,0))</f>
        <v>20.48</v>
      </c>
      <c r="R147" s="252"/>
      <c r="S147" s="275">
        <f t="shared" si="20"/>
        <v>13.569999999999997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448</v>
      </c>
      <c r="B148" s="41" t="s">
        <v>152</v>
      </c>
      <c r="C148" s="252" t="s">
        <v>140</v>
      </c>
      <c r="D148" s="296"/>
      <c r="E148" s="41"/>
      <c r="F148" s="253">
        <f>+INDEX('Budget original'!$A$2:$AO$502,MATCH($A148,'Budget original'!$A$2:$A$502,0),MATCH(F$2,'Budget original'!$A$2:$AO$2,0))</f>
        <v>45</v>
      </c>
      <c r="G148" s="297"/>
      <c r="H148" s="41"/>
      <c r="I148" s="253"/>
      <c r="J148" s="252"/>
      <c r="K148" s="41"/>
      <c r="L148" s="255">
        <f>SUMIFS(BV_Data_An_Cour!$O:$O,BV_Data_An_Cour!$U:$U,$B148,BV_Data_An_Cour!$V:$V,$C148,BV_Data_An_Cour!$W:$W,$L$2)</f>
        <v>7.07</v>
      </c>
      <c r="M148" s="252"/>
      <c r="N148" s="275">
        <f t="shared" si="18"/>
        <v>-37.93</v>
      </c>
      <c r="O148" s="252"/>
      <c r="P148" s="41"/>
      <c r="Q148" s="255">
        <f t="array" ref="Q148">+INDEX('Réel 2024'!$A$2:$AO$502,MATCH($A148,'Réel 2024'!$A$2:$A$502,0),MATCH(Q$2,'Réel 2024'!$A$2:$AO$2,0))</f>
        <v>23.52</v>
      </c>
      <c r="R148" s="252"/>
      <c r="S148" s="275">
        <f t="shared" si="20"/>
        <v>-16.45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449</v>
      </c>
      <c r="B149" s="41" t="s">
        <v>152</v>
      </c>
      <c r="C149" s="252" t="s">
        <v>141</v>
      </c>
      <c r="D149" s="296"/>
      <c r="E149" s="41"/>
      <c r="F149" s="253">
        <f>+INDEX('Budget original'!$A$2:$AO$502,MATCH($A149,'Budget original'!$A$2:$A$502,0),MATCH(F$2,'Budget original'!$A$2:$AO$2,0))</f>
        <v>416.66666666666669</v>
      </c>
      <c r="G149" s="297"/>
      <c r="H149" s="41"/>
      <c r="I149" s="253"/>
      <c r="J149" s="252"/>
      <c r="K149" s="41"/>
      <c r="L149" s="255">
        <f>SUMIFS(BV_Data_An_Cour!$O:$O,BV_Data_An_Cour!$U:$U,$B149,BV_Data_An_Cour!$V:$V,$C149,BV_Data_An_Cour!$W:$W,$L$2)</f>
        <v>0</v>
      </c>
      <c r="M149" s="252"/>
      <c r="N149" s="275">
        <f t="shared" si="18"/>
        <v>-416.66666666666669</v>
      </c>
      <c r="O149" s="252"/>
      <c r="P149" s="41"/>
      <c r="Q149" s="255">
        <f t="array" ref="Q149">+INDEX('Réel 2024'!$A$2:$AO$502,MATCH($A149,'Réel 2024'!$A$2:$A$502,0),MATCH(Q$2,'Réel 2024'!$A$2:$AO$2,0))</f>
        <v>1426.22</v>
      </c>
      <c r="R149" s="252"/>
      <c r="S149" s="275">
        <f t="shared" si="20"/>
        <v>-1426.22</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450</v>
      </c>
      <c r="B150" s="41" t="s">
        <v>152</v>
      </c>
      <c r="C150" s="252" t="s">
        <v>142</v>
      </c>
      <c r="D150" s="296"/>
      <c r="E150" s="41"/>
      <c r="F150" s="253">
        <f>+INDEX('Budget original'!$A$2:$AO$502,MATCH($A150,'Budget original'!$A$2:$A$502,0),MATCH(F$2,'Budget original'!$A$2:$AO$2,0))</f>
        <v>856.99097099234598</v>
      </c>
      <c r="G150" s="297"/>
      <c r="H150" s="41"/>
      <c r="I150" s="253"/>
      <c r="J150" s="252"/>
      <c r="K150" s="41"/>
      <c r="L150" s="851">
        <f>SUMIFS(BV_Data_An_Cour!$O:$O,BV_Data_An_Cour!$U:$U,$B150,BV_Data_An_Cour!$V:$V,$C150,BV_Data_An_Cour!$W:$W,$L$2)</f>
        <v>934.23</v>
      </c>
      <c r="M150" s="252"/>
      <c r="N150" s="860">
        <f t="shared" si="18"/>
        <v>77.23902900765404</v>
      </c>
      <c r="O150" s="252"/>
      <c r="P150" s="41"/>
      <c r="Q150" s="255">
        <f t="array" ref="Q150">+INDEX('Réel 2024'!$A$2:$AO$502,MATCH($A150,'Réel 2024'!$A$2:$A$502,0),MATCH(Q$2,'Réel 2024'!$A$2:$AO$2,0))</f>
        <v>867.2</v>
      </c>
      <c r="R150" s="252"/>
      <c r="S150" s="275">
        <f t="shared" si="20"/>
        <v>67.029999999999973</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426</v>
      </c>
      <c r="B151" s="41" t="s">
        <v>152</v>
      </c>
      <c r="C151" s="252" t="s">
        <v>59</v>
      </c>
      <c r="D151" s="296"/>
      <c r="E151" s="41"/>
      <c r="F151" s="253">
        <f>+INDEX('Budget original'!$A$2:$AO$502,MATCH($A151,'Budget original'!$A$2:$A$502,0),MATCH(F$2,'Budget original'!$A$2:$AO$2,0))</f>
        <v>0</v>
      </c>
      <c r="G151" s="297"/>
      <c r="H151" s="41"/>
      <c r="I151" s="253"/>
      <c r="J151" s="252"/>
      <c r="K151" s="41"/>
      <c r="L151" s="255">
        <f>SUMIFS(BV_Data_An_Cour!$O:$O,BV_Data_An_Cour!$U:$U,$B151,BV_Data_An_Cour!$V:$V,$C151,BV_Data_An_Cour!$W:$W,$L$2)</f>
        <v>0</v>
      </c>
      <c r="M151" s="252"/>
      <c r="N151" s="275">
        <f t="shared" si="18"/>
        <v>0</v>
      </c>
      <c r="O151" s="252"/>
      <c r="P151" s="41"/>
      <c r="Q151" s="255">
        <f t="array" ref="Q151">+INDEX('Réel 2024'!$A$2:$AO$502,MATCH($A151,'Réel 2024'!$A$2:$A$502,0),MATCH(Q$2,'Réel 2024'!$A$2:$AO$2,0))</f>
        <v>0</v>
      </c>
      <c r="R151" s="252"/>
      <c r="S151" s="275">
        <f t="shared" si="20"/>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426</v>
      </c>
      <c r="B152" s="41" t="s">
        <v>152</v>
      </c>
      <c r="C152" s="252" t="s">
        <v>59</v>
      </c>
      <c r="D152" s="296"/>
      <c r="E152" s="41"/>
      <c r="F152" s="253">
        <f>+INDEX('Budget original'!$A$2:$AO$502,MATCH($A152,'Budget original'!$A$2:$A$502,0),MATCH(F$2,'Budget original'!$A$2:$AO$2,0))</f>
        <v>0</v>
      </c>
      <c r="G152" s="297"/>
      <c r="H152" s="41"/>
      <c r="I152" s="253"/>
      <c r="J152" s="252"/>
      <c r="K152" s="41"/>
      <c r="L152" s="255">
        <f>SUMIFS(BV_Data_An_Cour!$O:$O,BV_Data_An_Cour!$U:$U,$B152,BV_Data_An_Cour!$V:$V,$C152,BV_Data_An_Cour!$W:$W,$L$2)</f>
        <v>0</v>
      </c>
      <c r="M152" s="252"/>
      <c r="N152" s="275">
        <f t="shared" si="18"/>
        <v>0</v>
      </c>
      <c r="O152" s="252"/>
      <c r="P152" s="41"/>
      <c r="Q152" s="255">
        <f t="array" ref="Q152">+INDEX('Réel 2024'!$A$2:$AO$502,MATCH($A152,'Réel 2024'!$A$2:$A$502,0),MATCH(Q$2,'Réel 2024'!$A$2:$AO$2,0))</f>
        <v>0</v>
      </c>
      <c r="R152" s="252"/>
      <c r="S152" s="275">
        <f t="shared" si="20"/>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426</v>
      </c>
      <c r="B153" s="41" t="s">
        <v>152</v>
      </c>
      <c r="C153" s="252" t="s">
        <v>59</v>
      </c>
      <c r="D153" s="296"/>
      <c r="E153" s="41"/>
      <c r="F153" s="253">
        <f>+INDEX('Budget original'!$A$2:$AO$502,MATCH($A153,'Budget original'!$A$2:$A$502,0),MATCH(F$2,'Budget original'!$A$2:$AO$2,0))</f>
        <v>0</v>
      </c>
      <c r="G153" s="297"/>
      <c r="H153" s="41"/>
      <c r="I153" s="253"/>
      <c r="J153" s="252"/>
      <c r="K153" s="41"/>
      <c r="L153" s="255">
        <f>SUMIFS(BV_Data_An_Cour!$O:$O,BV_Data_An_Cour!$U:$U,$B153,BV_Data_An_Cour!$V:$V,$C153,BV_Data_An_Cour!$W:$W,$L$2)</f>
        <v>0</v>
      </c>
      <c r="M153" s="252"/>
      <c r="N153" s="275">
        <f t="shared" si="18"/>
        <v>0</v>
      </c>
      <c r="O153" s="252"/>
      <c r="P153" s="41"/>
      <c r="Q153" s="255">
        <f t="array" ref="Q153">+INDEX('Réel 2024'!$A$2:$AO$502,MATCH($A153,'Réel 2024'!$A$2:$A$502,0),MATCH(Q$2,'Réel 2024'!$A$2:$AO$2,0))</f>
        <v>0</v>
      </c>
      <c r="R153" s="252"/>
      <c r="S153" s="275">
        <f t="shared" si="20"/>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451</v>
      </c>
      <c r="B154" s="41" t="s">
        <v>152</v>
      </c>
      <c r="C154" s="303" t="s">
        <v>143</v>
      </c>
      <c r="D154" s="304" t="s">
        <v>119</v>
      </c>
      <c r="E154" s="305">
        <f>F154/F$109</f>
        <v>4.2747731228149212E-2</v>
      </c>
      <c r="F154" s="306">
        <f>+SUM(F137:F153)</f>
        <v>8498.7009265479028</v>
      </c>
      <c r="G154" s="307"/>
      <c r="H154" s="305"/>
      <c r="I154" s="306"/>
      <c r="J154" s="307" t="s">
        <v>119</v>
      </c>
      <c r="K154" s="305">
        <f>L154/L$109</f>
        <v>7.089921681325885E-2</v>
      </c>
      <c r="L154" s="306">
        <f>+SUM(L137:L153)</f>
        <v>11019.71</v>
      </c>
      <c r="M154" s="310"/>
      <c r="N154" s="306">
        <f t="shared" si="18"/>
        <v>2521.0090734520963</v>
      </c>
      <c r="O154" s="307" t="s">
        <v>119</v>
      </c>
      <c r="P154" s="305">
        <f>Q154/Q$109</f>
        <v>7.0460335824241507E-2</v>
      </c>
      <c r="Q154" s="306">
        <f>+SUM(Q137:Q153)</f>
        <v>10277.99</v>
      </c>
      <c r="R154" s="310"/>
      <c r="S154" s="306">
        <f t="shared" si="20"/>
        <v>741.71999999999935</v>
      </c>
      <c r="T154" s="318"/>
      <c r="X154" s="41"/>
      <c r="Y154" s="41"/>
      <c r="Z154" s="41"/>
      <c r="AA154" s="41"/>
      <c r="AB154" s="41"/>
      <c r="AC154" s="41"/>
      <c r="AD154" s="41"/>
      <c r="AE154" s="41"/>
      <c r="AF154" s="41"/>
      <c r="AG154" s="41"/>
      <c r="AH154" s="41"/>
      <c r="AI154" s="41"/>
      <c r="AJ154" s="41"/>
      <c r="AK154" s="41"/>
      <c r="AL154" s="41"/>
      <c r="AM154" s="41"/>
      <c r="AN154" s="41"/>
    </row>
    <row r="155" spans="1:40" ht="15.75" customHeight="1">
      <c r="A155" s="5" t="s">
        <v>152</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452</v>
      </c>
      <c r="B156" s="41" t="s">
        <v>152</v>
      </c>
      <c r="C156" s="303" t="s">
        <v>144</v>
      </c>
      <c r="D156" s="304" t="s">
        <v>119</v>
      </c>
      <c r="E156" s="305">
        <f>F156/F$109</f>
        <v>0.60088074051704654</v>
      </c>
      <c r="F156" s="306">
        <f>F123+F136+F154</f>
        <v>119461.44413891766</v>
      </c>
      <c r="G156" s="307"/>
      <c r="H156" s="305"/>
      <c r="I156" s="306"/>
      <c r="J156" s="307" t="s">
        <v>119</v>
      </c>
      <c r="K156" s="305">
        <f>L156/L$109</f>
        <v>0.67711981530203647</v>
      </c>
      <c r="L156" s="306">
        <f>L123+L136+L154</f>
        <v>105243.25</v>
      </c>
      <c r="M156" s="310"/>
      <c r="N156" s="319">
        <f t="shared" ref="N156:N163" si="21">L156-F156</f>
        <v>-14218.194138917665</v>
      </c>
      <c r="O156" s="307" t="s">
        <v>119</v>
      </c>
      <c r="P156" s="305">
        <f>Q156/Q$109</f>
        <v>0.70650190897102683</v>
      </c>
      <c r="Q156" s="306">
        <f>Q123+Q136+Q154</f>
        <v>103056.83999999998</v>
      </c>
      <c r="R156" s="310"/>
      <c r="S156" s="319">
        <f t="shared" ref="S156:S163" si="22">L156-Q156</f>
        <v>2186.410000000018</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453</v>
      </c>
      <c r="B157" s="41" t="s">
        <v>152</v>
      </c>
      <c r="C157" s="252" t="s">
        <v>158</v>
      </c>
      <c r="D157" s="355"/>
      <c r="E157" s="356"/>
      <c r="F157" s="253">
        <f>+INDEX('Budget original'!$A$2:$AO$502,MATCH($A157,'Budget original'!$A$2:$A$502,0),MATCH(F$2,'Budget original'!$A$2:$AO$2,0))</f>
        <v>0</v>
      </c>
      <c r="G157" s="357"/>
      <c r="H157" s="356"/>
      <c r="I157" s="253"/>
      <c r="J157" s="357"/>
      <c r="K157" s="356"/>
      <c r="L157" s="255">
        <v>0</v>
      </c>
      <c r="M157" s="252"/>
      <c r="N157" s="275">
        <f t="shared" si="21"/>
        <v>0</v>
      </c>
      <c r="O157" s="357"/>
      <c r="P157" s="356"/>
      <c r="Q157" s="255">
        <f t="array" ref="Q157">+INDEX('Réel 2024'!$A$2:$AO$502,MATCH($A157,'Réel 2024'!$A$2:$A$502,0),MATCH(Q$2,'Réel 2024'!$A$2:$AO$2,0))</f>
        <v>0</v>
      </c>
      <c r="R157" s="252"/>
      <c r="S157" s="275">
        <f t="shared" si="22"/>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454</v>
      </c>
      <c r="B158" s="41" t="s">
        <v>152</v>
      </c>
      <c r="C158" s="252" t="s">
        <v>159</v>
      </c>
      <c r="D158" s="355"/>
      <c r="E158" s="356"/>
      <c r="F158" s="253">
        <f>+INDEX('Budget original'!$A$2:$AO$502,MATCH($A158,'Budget original'!$A$2:$A$502,0),MATCH(F$2,'Budget original'!$A$2:$AO$2,0))</f>
        <v>0</v>
      </c>
      <c r="G158" s="357"/>
      <c r="H158" s="356"/>
      <c r="I158" s="253"/>
      <c r="J158" s="357"/>
      <c r="K158" s="356"/>
      <c r="L158" s="255">
        <f>-SUMIFS(BV_Data_An_Cour!$O:$O,BV_Data_An_Cour!$U:$U,$B158,BV_Data_An_Cour!$V:$V,$C158,BV_Data_An_Cour!$W:$W,$L$2)</f>
        <v>0</v>
      </c>
      <c r="M158" s="252"/>
      <c r="N158" s="275">
        <f t="shared" si="21"/>
        <v>0</v>
      </c>
      <c r="O158" s="357"/>
      <c r="P158" s="356"/>
      <c r="Q158" s="255">
        <f t="array" ref="Q158">+INDEX('Réel 2024'!$A$2:$AO$502,MATCH($A158,'Réel 2024'!$A$2:$A$502,0),MATCH(Q$2,'Réel 2024'!$A$2:$AO$2,0))</f>
        <v>0</v>
      </c>
      <c r="R158" s="252"/>
      <c r="S158" s="275">
        <f t="shared" si="22"/>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455</v>
      </c>
      <c r="B159" s="41" t="s">
        <v>152</v>
      </c>
      <c r="C159" s="252" t="s">
        <v>160</v>
      </c>
      <c r="D159" s="296"/>
      <c r="E159" s="41"/>
      <c r="F159" s="253">
        <f>+INDEX('Budget original'!$A$2:$AO$502,MATCH($A159,'Budget original'!$A$2:$A$502,0),MATCH(F$2,'Budget original'!$A$2:$AO$2,0))</f>
        <v>0</v>
      </c>
      <c r="G159" s="297"/>
      <c r="H159" s="41"/>
      <c r="I159" s="253"/>
      <c r="J159" s="252"/>
      <c r="K159" s="41"/>
      <c r="L159" s="255">
        <f>-SUMIFS(BV_Data_An_Cour!$O:$O,BV_Data_An_Cour!$U:$U,$B159,BV_Data_An_Cour!$V:$V,$C159,BV_Data_An_Cour!$W:$W,$L$2)</f>
        <v>0</v>
      </c>
      <c r="M159" s="252"/>
      <c r="N159" s="275">
        <f t="shared" si="21"/>
        <v>0</v>
      </c>
      <c r="O159" s="252"/>
      <c r="P159" s="41"/>
      <c r="Q159" s="255">
        <f t="array" ref="Q159">+INDEX('Réel 2024'!$A$2:$AO$502,MATCH($A159,'Réel 2024'!$A$2:$A$502,0),MATCH(Q$2,'Réel 2024'!$A$2:$AO$2,0))</f>
        <v>0</v>
      </c>
      <c r="R159" s="252"/>
      <c r="S159" s="275">
        <f t="shared" si="22"/>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456</v>
      </c>
      <c r="B160" s="41" t="s">
        <v>152</v>
      </c>
      <c r="C160" s="252" t="s">
        <v>149</v>
      </c>
      <c r="D160" s="992">
        <f>E160/474</f>
        <v>0.96002109704641336</v>
      </c>
      <c r="E160" s="322">
        <f>F160/D97</f>
        <v>455.04999999999995</v>
      </c>
      <c r="F160" s="253">
        <f>+INDEX('Budget original'!$A$2:$AO$502,MATCH($A160,'Budget original'!$A$2:$A$502,0),MATCH(F$2,'Budget original'!$A$2:$AO$2,0))</f>
        <v>21842.399999999998</v>
      </c>
      <c r="G160" s="297"/>
      <c r="H160" s="41"/>
      <c r="I160" s="253"/>
      <c r="J160" s="993">
        <f>K160/749.99</f>
        <v>0.94950760959641078</v>
      </c>
      <c r="K160" s="322">
        <f>L160/J97</f>
        <v>712.12121212121212</v>
      </c>
      <c r="L160" s="255">
        <f>-SUMIFS(BV_Data_An_Cour!$O:$O,BV_Data_An_Cour!$U:$U,$B160,BV_Data_An_Cour!$V:$V,$C160,BV_Data_An_Cour!$W:$W,L$2)</f>
        <v>23500</v>
      </c>
      <c r="M160" s="252"/>
      <c r="N160" s="275">
        <f t="shared" si="21"/>
        <v>1657.6000000000022</v>
      </c>
      <c r="O160" s="252"/>
      <c r="P160" s="41"/>
      <c r="Q160" s="255">
        <f t="array" ref="Q160">+INDEX('Réel 2024'!$A$2:$AO$502,MATCH($A160,'Réel 2024'!$A$2:$A$502,0),MATCH(Q$2,'Réel 2024'!$A$2:$AO$2,0))</f>
        <v>12504</v>
      </c>
      <c r="R160" s="252"/>
      <c r="S160" s="275">
        <f t="shared" si="22"/>
        <v>10996</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426</v>
      </c>
      <c r="B161" s="41" t="s">
        <v>152</v>
      </c>
      <c r="C161" s="252" t="s">
        <v>59</v>
      </c>
      <c r="D161" s="296"/>
      <c r="E161" s="41"/>
      <c r="F161" s="253">
        <f>+INDEX('Budget original'!$A$2:$AO$502,MATCH($A161,'Budget original'!$A$2:$A$502,0),MATCH(F$2,'Budget original'!$A$2:$AO$2,0))</f>
        <v>0</v>
      </c>
      <c r="G161" s="297"/>
      <c r="H161" s="41"/>
      <c r="I161" s="253"/>
      <c r="J161" s="252"/>
      <c r="K161" s="41"/>
      <c r="L161" s="255">
        <f>-SUMIFS(BV_Data_An_Cour!$O:$O,BV_Data_An_Cour!$U:$U,$B161,BV_Data_An_Cour!$V:$V,$C161,BV_Data_An_Cour!$W:$W,$L$2)</f>
        <v>0</v>
      </c>
      <c r="M161" s="252"/>
      <c r="N161" s="275">
        <f t="shared" si="21"/>
        <v>0</v>
      </c>
      <c r="O161" s="252"/>
      <c r="P161" s="41"/>
      <c r="Q161" s="255">
        <f t="array" ref="Q161">+INDEX('Réel 2024'!$A$2:$AO$502,MATCH($A161,'Réel 2024'!$A$2:$A$502,0),MATCH(Q$2,'Réel 2024'!$A$2:$AO$2,0))</f>
        <v>0</v>
      </c>
      <c r="R161" s="252"/>
      <c r="S161" s="275">
        <f t="shared" si="22"/>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426</v>
      </c>
      <c r="B162" s="41" t="s">
        <v>152</v>
      </c>
      <c r="C162" s="252" t="s">
        <v>59</v>
      </c>
      <c r="D162" s="296"/>
      <c r="E162" s="41"/>
      <c r="F162" s="253">
        <f>+INDEX('Budget original'!$A$2:$AO$502,MATCH($A162,'Budget original'!$A$2:$A$502,0),MATCH(F$2,'Budget original'!$A$2:$AO$2,0))</f>
        <v>0</v>
      </c>
      <c r="G162" s="297"/>
      <c r="H162" s="41"/>
      <c r="I162" s="253"/>
      <c r="J162" s="252"/>
      <c r="K162" s="41"/>
      <c r="L162" s="255">
        <f>-SUMIFS(BV_Data_An_Cour!$O:$O,BV_Data_An_Cour!$U:$U,$B162,BV_Data_An_Cour!$V:$V,$C162,BV_Data_An_Cour!$W:$W,$L$2)</f>
        <v>0</v>
      </c>
      <c r="M162" s="252"/>
      <c r="N162" s="275">
        <f t="shared" si="21"/>
        <v>0</v>
      </c>
      <c r="O162" s="252"/>
      <c r="P162" s="41"/>
      <c r="Q162" s="255">
        <f t="array" ref="Q162">+INDEX('Réel 2024'!$A$2:$AO$502,MATCH($A162,'Réel 2024'!$A$2:$A$502,0),MATCH(Q$2,'Réel 2024'!$A$2:$AO$2,0))</f>
        <v>0</v>
      </c>
      <c r="R162" s="252"/>
      <c r="S162" s="275">
        <f t="shared" si="22"/>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426</v>
      </c>
      <c r="B163" s="41" t="s">
        <v>152</v>
      </c>
      <c r="C163" s="245" t="s">
        <v>59</v>
      </c>
      <c r="D163" s="298"/>
      <c r="E163" s="317"/>
      <c r="F163" s="253">
        <f>+INDEX('Budget original'!$A$2:$AO$502,MATCH($A163,'Budget original'!$A$2:$A$502,0),MATCH(F$2,'Budget original'!$A$2:$AO$2,0))</f>
        <v>0</v>
      </c>
      <c r="G163" s="297"/>
      <c r="H163" s="41"/>
      <c r="I163" s="253"/>
      <c r="J163" s="252"/>
      <c r="K163" s="41"/>
      <c r="L163" s="255">
        <f>-SUMIFS(BV_Data_An_Cour!$O:$O,BV_Data_An_Cour!$U:$U,$B163,BV_Data_An_Cour!$V:$V,$C163,BV_Data_An_Cour!$W:$W,$L$2)</f>
        <v>0</v>
      </c>
      <c r="M163" s="252"/>
      <c r="N163" s="275">
        <f t="shared" si="21"/>
        <v>0</v>
      </c>
      <c r="O163" s="252"/>
      <c r="P163" s="41"/>
      <c r="Q163" s="255">
        <f t="array" ref="Q163">+INDEX('Réel 2024'!$A$2:$AO$502,MATCH($A163,'Réel 2024'!$A$2:$A$502,0),MATCH(Q$2,'Réel 2024'!$A$2:$AO$2,0))</f>
        <v>0</v>
      </c>
      <c r="R163" s="252"/>
      <c r="S163" s="275">
        <f t="shared" si="22"/>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21842.399999999998</v>
      </c>
      <c r="G164" s="307"/>
      <c r="H164" s="305"/>
      <c r="I164" s="306"/>
      <c r="J164" s="307"/>
      <c r="K164" s="305"/>
      <c r="L164" s="306">
        <f>+SUM(L157:L163)</f>
        <v>23500</v>
      </c>
      <c r="M164" s="310"/>
      <c r="N164" s="306">
        <f>SUM(N157:N160)</f>
        <v>1657.6000000000022</v>
      </c>
      <c r="O164" s="307"/>
      <c r="P164" s="305"/>
      <c r="Q164" s="306">
        <f>+SUM(Q157:Q163)</f>
        <v>12504</v>
      </c>
      <c r="R164" s="310"/>
      <c r="S164" s="306">
        <f>+SUM(S157:S163)</f>
        <v>10996</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101191.52854830699</v>
      </c>
      <c r="G166" s="360"/>
      <c r="H166" s="332"/>
      <c r="I166" s="334"/>
      <c r="J166" s="331"/>
      <c r="K166" s="333"/>
      <c r="L166" s="334">
        <f>L109-L156+L164</f>
        <v>73684.559999999969</v>
      </c>
      <c r="M166" s="331"/>
      <c r="N166" s="334">
        <f>L166-F166</f>
        <v>-27506.968548307021</v>
      </c>
      <c r="O166" s="331"/>
      <c r="P166" s="981">
        <f>+Q166/Q93</f>
        <v>3.1867327971922689E-2</v>
      </c>
      <c r="Q166" s="334">
        <f>Q109-Q156+Q164</f>
        <v>55316.319999999789</v>
      </c>
      <c r="R166" s="331"/>
      <c r="S166" s="334">
        <f>L166-Q166</f>
        <v>18368.24000000018</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8" t="str">
        <f>C1</f>
        <v>Volks</v>
      </c>
      <c r="D169" s="231"/>
      <c r="E169" s="231"/>
      <c r="F169" s="231"/>
      <c r="G169" s="231"/>
      <c r="H169" s="36"/>
      <c r="I169" s="36"/>
      <c r="J169" s="36"/>
      <c r="K169" s="9" t="s">
        <v>161</v>
      </c>
      <c r="L169" s="231"/>
      <c r="M169" s="231"/>
      <c r="N169" s="36"/>
      <c r="O169" s="36"/>
      <c r="P169" s="231"/>
      <c r="Q169" s="36"/>
      <c r="R169" s="231"/>
      <c r="S169" s="10" t="str">
        <f>$S$1</f>
        <v>Réalisé, Juillet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78" t="s">
        <v>343</v>
      </c>
      <c r="E171" s="1179"/>
      <c r="F171" s="1180"/>
      <c r="G171" s="1181"/>
      <c r="H171" s="1179"/>
      <c r="I171" s="1180"/>
      <c r="J171" s="1181" t="s">
        <v>344</v>
      </c>
      <c r="K171" s="1179"/>
      <c r="L171" s="1180"/>
      <c r="M171" s="1181" t="s">
        <v>3255</v>
      </c>
      <c r="N171" s="1180"/>
      <c r="O171" s="1178" t="s">
        <v>345</v>
      </c>
      <c r="P171" s="1179"/>
      <c r="Q171" s="1180"/>
      <c r="R171" s="1182" t="s">
        <v>3257</v>
      </c>
      <c r="S171" s="1183"/>
      <c r="T171" s="355"/>
      <c r="AA171" s="38"/>
      <c r="AB171" s="38"/>
      <c r="AC171" s="38"/>
      <c r="AD171" s="38"/>
      <c r="AE171" s="38"/>
      <c r="AF171" s="38"/>
      <c r="AG171" s="38"/>
      <c r="AH171" s="38"/>
      <c r="AI171" s="38"/>
      <c r="AJ171" s="38"/>
      <c r="AK171" s="38"/>
      <c r="AL171" s="38"/>
      <c r="AM171" s="38"/>
      <c r="AN171" s="38"/>
    </row>
    <row r="172" spans="1:40" ht="15.75" customHeight="1">
      <c r="A172" s="5" t="s">
        <v>161</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AA172" s="41"/>
      <c r="AB172" s="41"/>
      <c r="AC172" s="41"/>
      <c r="AD172" s="41"/>
      <c r="AE172" s="41"/>
      <c r="AF172" s="41"/>
      <c r="AG172" s="41"/>
      <c r="AH172" s="41"/>
      <c r="AI172" s="41"/>
      <c r="AJ172" s="41"/>
      <c r="AK172" s="41"/>
      <c r="AL172" s="41"/>
      <c r="AM172" s="41"/>
      <c r="AN172" s="41"/>
    </row>
    <row r="173" spans="1:40" ht="15.75" customHeight="1">
      <c r="A173" s="5" t="s">
        <v>458</v>
      </c>
      <c r="B173" s="41" t="s">
        <v>161</v>
      </c>
      <c r="C173" s="252" t="s">
        <v>164</v>
      </c>
      <c r="D173" s="290">
        <f>+INDEX('Budget original'!$A$2:$AO$502,MATCH($A173,'Budget original'!$A$2:$A$502,0),MATCH(D$2,'Budget original'!$A$2:$AO$2,0))</f>
        <v>411.51758821408816</v>
      </c>
      <c r="E173" s="290">
        <f>+INDEX('Budget original'!$A$2:$AO$502,MATCH($A173,'Budget original'!$A$2:$A$502,0),MATCH(E$2,'Budget original'!$A$2:$AO$2,0))</f>
        <v>144031.15587493085</v>
      </c>
      <c r="F173" s="290">
        <f>+INDEX('Budget original'!$A$2:$AO$502,MATCH($A173,'Budget original'!$A$2:$A$502,0),MATCH(F$2,'Budget original'!$A$2:$AO$2,0))</f>
        <v>113352.51967357058</v>
      </c>
      <c r="G173" s="276"/>
      <c r="H173" s="290"/>
      <c r="I173" s="290"/>
      <c r="J173" s="276">
        <f>-SUMIFS(BV_Data_An_Cour!$O:$O,BV_Data_An_Cour!$U:$U,$B173,BV_Data_An_Cour!$V:$V,$C173,BV_Data_An_Cour!$W:$W,J$2)</f>
        <v>392</v>
      </c>
      <c r="K173" s="253">
        <f>-SUMIFS(BV_Data_An_Cour!$O:$O,BV_Data_An_Cour!$X:$X,"Oui",BV_Data_An_Cour!$U:$U,$B173,BV_Data_An_Cour!$V:$V,$C173)</f>
        <v>158537.62</v>
      </c>
      <c r="L173" s="255">
        <f>-SUMIFS(BV_Data_An_Cour!$O:$O,BV_Data_An_Cour!$U:$U,$B173,BV_Data_An_Cour!$V:$V,$C173,BV_Data_An_Cour!$W:$W,$L$2)</f>
        <v>127473.29</v>
      </c>
      <c r="M173" s="291">
        <f>(K173-E173)/E173</f>
        <v>0.1007175429298492</v>
      </c>
      <c r="N173" s="275">
        <f>L173-F173</f>
        <v>14120.77032642941</v>
      </c>
      <c r="O173" s="276">
        <f t="array" ref="O173">+INDEX('Réel 2024'!$A$2:$AO$502,MATCH($A173,'Réel 2024'!$A$2:$A$502,0),MATCH(O$2,'Réel 2024'!$A$2:$AO$2,0))</f>
        <v>402</v>
      </c>
      <c r="P173" s="253">
        <f t="array" ref="P173">+INDEX('Réel 2024'!$A$2:$AO$502,MATCH($A173,'Réel 2024'!$A$2:$A$502,0),MATCH(P$2,'Réel 2024'!$A$2:$AO$2,0))</f>
        <v>136183.57999999999</v>
      </c>
      <c r="Q173" s="255">
        <f t="array" ref="Q173">+INDEX('Réel 2024'!$A$2:$AO$502,MATCH($A173,'Réel 2024'!$A$2:$A$502,0),MATCH(Q$2,'Réel 2024'!$A$2:$AO$2,0))</f>
        <v>107609.11</v>
      </c>
      <c r="R173" s="291">
        <f>IF(O173=0,0,J173/O173)</f>
        <v>0.97512437810945274</v>
      </c>
      <c r="S173" s="275">
        <f>L173-Q173</f>
        <v>19864.179999999993</v>
      </c>
      <c r="T173" s="290"/>
      <c r="AA173" s="41"/>
      <c r="AB173" s="41"/>
      <c r="AC173" s="41"/>
      <c r="AD173" s="41"/>
      <c r="AE173" s="41"/>
      <c r="AF173" s="41"/>
      <c r="AG173" s="41"/>
      <c r="AH173" s="41"/>
      <c r="AI173" s="41"/>
      <c r="AJ173" s="41"/>
      <c r="AK173" s="41"/>
      <c r="AL173" s="41"/>
      <c r="AM173" s="41"/>
      <c r="AN173" s="41"/>
    </row>
    <row r="174" spans="1:40" ht="15.75" customHeight="1">
      <c r="A174" s="5" t="s">
        <v>459</v>
      </c>
      <c r="B174" s="41" t="s">
        <v>161</v>
      </c>
      <c r="C174" s="252" t="s">
        <v>165</v>
      </c>
      <c r="D174" s="290"/>
      <c r="E174" s="348"/>
      <c r="F174" s="361">
        <f>F173/E173</f>
        <v>0.78700000000000003</v>
      </c>
      <c r="G174" s="276"/>
      <c r="H174" s="348"/>
      <c r="I174" s="361"/>
      <c r="J174" s="276"/>
      <c r="K174" s="41"/>
      <c r="L174" s="361">
        <f>IF(L173=0,0,L173/K173)</f>
        <v>0.80405704336926465</v>
      </c>
      <c r="M174" s="291"/>
      <c r="N174" s="275"/>
      <c r="O174" s="276"/>
      <c r="P174" s="41"/>
      <c r="Q174" s="361">
        <f>Q173/P173</f>
        <v>0.79017683335979283</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161</v>
      </c>
      <c r="B175" s="41" t="s">
        <v>161</v>
      </c>
      <c r="C175" s="245"/>
      <c r="D175" s="293"/>
      <c r="E175" s="362">
        <f>IFERROR(E173/D173,0)</f>
        <v>350</v>
      </c>
      <c r="F175" s="363"/>
      <c r="G175" s="364"/>
      <c r="H175" s="362"/>
      <c r="I175" s="363"/>
      <c r="J175" s="364"/>
      <c r="K175" s="362">
        <f>IFERROR(K173/J173,0)</f>
        <v>404.43270408163266</v>
      </c>
      <c r="L175" s="363"/>
      <c r="M175" s="294"/>
      <c r="N175" s="295"/>
      <c r="O175" s="364"/>
      <c r="P175" s="362">
        <f>IFERROR(P173/O173,0)</f>
        <v>338.76512437810942</v>
      </c>
      <c r="Q175" s="363"/>
      <c r="R175" s="364"/>
      <c r="S175" s="295"/>
      <c r="T175" s="290"/>
      <c r="AA175" s="41"/>
      <c r="AB175" s="41"/>
      <c r="AC175" s="41"/>
      <c r="AD175" s="41"/>
      <c r="AE175" s="41"/>
      <c r="AF175" s="41"/>
      <c r="AG175" s="41"/>
      <c r="AH175" s="41"/>
      <c r="AI175" s="41"/>
      <c r="AJ175" s="41"/>
      <c r="AK175" s="41"/>
      <c r="AL175" s="41"/>
      <c r="AM175" s="41"/>
      <c r="AN175" s="41"/>
    </row>
    <row r="176" spans="1:40" ht="18" customHeight="1">
      <c r="A176" s="5" t="s">
        <v>460</v>
      </c>
      <c r="B176" s="41" t="s">
        <v>161</v>
      </c>
      <c r="C176" s="240" t="s">
        <v>166</v>
      </c>
      <c r="D176" s="365">
        <f>+INDEX('Budget original'!$A$2:$AO$502,MATCH($A176,'Budget original'!$A$2:$A$502,0),MATCH(D$2,'Budget original'!$A$2:$AO$2,0))</f>
        <v>239.60045160947578</v>
      </c>
      <c r="E176" s="290">
        <f>+INDEX('Budget original'!$A$2:$AO$502,MATCH($A176,'Budget original'!$A$2:$A$502,0),MATCH(E$2,'Budget original'!$A$2:$AO$2,0))</f>
        <v>71880.135482842728</v>
      </c>
      <c r="F176" s="290">
        <f>+INDEX('Budget original'!$A$2:$AO$502,MATCH($A176,'Budget original'!$A$2:$A$502,0),MATCH(F$2,'Budget original'!$A$2:$AO$2,0))</f>
        <v>46362.687386433558</v>
      </c>
      <c r="G176" s="366"/>
      <c r="H176" s="290"/>
      <c r="I176" s="290"/>
      <c r="J176" s="366">
        <f>-SUMIFS(BV_Data_An_Cour!$O:$O,BV_Data_An_Cour!$U:$U,$B176,BV_Data_An_Cour!$V:$V,$C176,BV_Data_An_Cour!$W:$W,J$2)</f>
        <v>221</v>
      </c>
      <c r="K176" s="270">
        <f>-SUMIFS(BV_Data_An_Cour!$O:$O,BV_Data_An_Cour!$X:$X,"Oui",BV_Data_An_Cour!$U:$U,$B176,BV_Data_An_Cour!$V:$V,$C176)</f>
        <v>61600.22</v>
      </c>
      <c r="L176" s="255">
        <f>-SUMIFS(BV_Data_An_Cour!$O:$O,BV_Data_An_Cour!$U:$U,$B176,BV_Data_An_Cour!$V:$V,$C176,BV_Data_An_Cour!$W:$W,$L$2)</f>
        <v>40498.770000000004</v>
      </c>
      <c r="M176" s="291">
        <f>(K176-E176)/E176</f>
        <v>-0.14301469263780769</v>
      </c>
      <c r="N176" s="316">
        <f>L176-F176</f>
        <v>-5863.9173864335535</v>
      </c>
      <c r="O176" s="366">
        <f t="array" ref="O176">+INDEX('Réel 2024'!$A$2:$AO$502,MATCH($A176,'Réel 2024'!$A$2:$A$502,0),MATCH(O$2,'Réel 2024'!$A$2:$AO$2,0))</f>
        <v>211</v>
      </c>
      <c r="P176" s="270">
        <f t="array" ref="P176">+INDEX('Réel 2024'!$A$2:$AO$502,MATCH($A176,'Réel 2024'!$A$2:$A$502,0),MATCH(P$2,'Réel 2024'!$A$2:$AO$2,0))</f>
        <v>68514.11</v>
      </c>
      <c r="Q176" s="255">
        <f t="array" ref="Q176">+INDEX('Réel 2024'!$A$2:$AO$502,MATCH($A176,'Réel 2024'!$A$2:$A$502,0),MATCH(Q$2,'Réel 2024'!$A$2:$AO$2,0))</f>
        <v>42536.59</v>
      </c>
      <c r="R176" s="291">
        <f>IF(O176=0,0,J176/O176)</f>
        <v>1.04739336492891</v>
      </c>
      <c r="S176" s="275">
        <f>L176-Q176</f>
        <v>-2037.8199999999924</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459</v>
      </c>
      <c r="B177" s="41" t="s">
        <v>161</v>
      </c>
      <c r="C177" s="252" t="s">
        <v>165</v>
      </c>
      <c r="D177" s="41"/>
      <c r="E177" s="41"/>
      <c r="F177" s="361">
        <f>F176/E176</f>
        <v>0.64500000000000002</v>
      </c>
      <c r="G177" s="252"/>
      <c r="H177" s="41"/>
      <c r="I177" s="361"/>
      <c r="J177" s="252"/>
      <c r="K177" s="41"/>
      <c r="L177" s="361">
        <f>IF(L176=0,0,L176/K176)</f>
        <v>0.6574452169164331</v>
      </c>
      <c r="M177" s="263"/>
      <c r="N177" s="264"/>
      <c r="O177" s="252"/>
      <c r="P177" s="41"/>
      <c r="Q177" s="361">
        <f>Q176/P176</f>
        <v>0.62084423193996097</v>
      </c>
      <c r="R177" s="263"/>
      <c r="S177" s="264"/>
      <c r="T177" s="41"/>
      <c r="U177" s="41"/>
      <c r="V177" s="253"/>
      <c r="W177" s="367"/>
      <c r="AA177" s="41"/>
      <c r="AB177" s="41"/>
      <c r="AC177" s="41"/>
      <c r="AD177" s="41"/>
      <c r="AE177" s="41"/>
      <c r="AF177" s="41"/>
      <c r="AG177" s="41"/>
      <c r="AH177" s="41"/>
      <c r="AI177" s="41"/>
      <c r="AJ177" s="41"/>
      <c r="AK177" s="41"/>
      <c r="AL177" s="41"/>
      <c r="AM177" s="41"/>
      <c r="AN177" s="41"/>
    </row>
    <row r="178" spans="1:40" ht="15.75" customHeight="1">
      <c r="A178" s="5" t="s">
        <v>161</v>
      </c>
      <c r="B178" s="41" t="s">
        <v>161</v>
      </c>
      <c r="C178" s="245"/>
      <c r="D178" s="317"/>
      <c r="E178" s="362">
        <f>IFERROR(E176/D176,0)</f>
        <v>300</v>
      </c>
      <c r="F178" s="363"/>
      <c r="G178" s="364"/>
      <c r="H178" s="362"/>
      <c r="I178" s="363"/>
      <c r="J178" s="364"/>
      <c r="K178" s="362">
        <f>IFERROR(K176/J176,0)</f>
        <v>278.73402714932126</v>
      </c>
      <c r="L178" s="363"/>
      <c r="M178" s="294"/>
      <c r="N178" s="295"/>
      <c r="O178" s="364"/>
      <c r="P178" s="362">
        <f>IFERROR(P176/O176,0)</f>
        <v>324.71142180094785</v>
      </c>
      <c r="Q178" s="363"/>
      <c r="R178" s="368"/>
      <c r="S178" s="369"/>
      <c r="T178" s="41"/>
      <c r="AA178" s="41"/>
      <c r="AB178" s="41"/>
      <c r="AC178" s="41"/>
      <c r="AD178" s="41"/>
      <c r="AE178" s="41"/>
      <c r="AF178" s="41"/>
      <c r="AG178" s="41"/>
      <c r="AH178" s="41"/>
      <c r="AI178" s="41"/>
      <c r="AJ178" s="41"/>
      <c r="AK178" s="41"/>
      <c r="AL178" s="41"/>
      <c r="AM178" s="41"/>
      <c r="AN178" s="41"/>
    </row>
    <row r="179" spans="1:40" ht="15.75" customHeight="1">
      <c r="A179" s="5" t="s">
        <v>463</v>
      </c>
      <c r="B179" s="41" t="s">
        <v>161</v>
      </c>
      <c r="C179" s="252" t="s">
        <v>167</v>
      </c>
      <c r="D179" s="290">
        <f>+INDEX('Budget original'!$A$2:$AO$502,MATCH($A179,'Budget original'!$A$2:$A$502,0),MATCH(D$2,'Budget original'!$A$2:$AO$2,0))</f>
        <v>337.35093163487613</v>
      </c>
      <c r="E179" s="290">
        <f>+INDEX('Budget original'!$A$2:$AO$502,MATCH($A179,'Budget original'!$A$2:$A$502,0),MATCH(E$2,'Budget original'!$A$2:$AO$2,0))</f>
        <v>105253.49067008134</v>
      </c>
      <c r="F179" s="290">
        <f>+INDEX('Budget original'!$A$2:$AO$502,MATCH($A179,'Budget original'!$A$2:$A$502,0),MATCH(F$2,'Budget original'!$A$2:$AO$2,0))</f>
        <v>78940.118002561008</v>
      </c>
      <c r="G179" s="276"/>
      <c r="H179" s="290"/>
      <c r="I179" s="290"/>
      <c r="J179" s="276">
        <f>-SUMIFS(BV_Data_An_Cour!$O:$O,BV_Data_An_Cour!$U:$U,$B179,BV_Data_An_Cour!$V:$V,$C179,BV_Data_An_Cour!$W:$W,J$2)</f>
        <v>221</v>
      </c>
      <c r="K179" s="270">
        <f>-SUMIFS(BV_Data_An_Cour!$O:$O,BV_Data_An_Cour!$X:$X,"Oui",BV_Data_An_Cour!$U:$U,$B179,BV_Data_An_Cour!$V:$V,$C179)</f>
        <v>61416.639999999999</v>
      </c>
      <c r="L179" s="255">
        <f>-SUMIFS(BV_Data_An_Cour!$O:$O,BV_Data_An_Cour!$U:$U,$B179,BV_Data_An_Cour!$V:$V,$C179,BV_Data_An_Cour!$W:$W,$L$2)</f>
        <v>49852.659999999996</v>
      </c>
      <c r="M179" s="291">
        <f>(K179-E179)/E179</f>
        <v>-0.41648833108527122</v>
      </c>
      <c r="N179" s="275">
        <f>L179-F179</f>
        <v>-29087.458002561012</v>
      </c>
      <c r="O179" s="276">
        <f t="array" ref="O179">+INDEX('Réel 2024'!$A$2:$AO$502,MATCH($A179,'Réel 2024'!$A$2:$A$502,0),MATCH(O$2,'Réel 2024'!$A$2:$AO$2,0))</f>
        <v>249</v>
      </c>
      <c r="P179" s="270">
        <f t="array" ref="P179">+INDEX('Réel 2024'!$A$2:$AO$502,MATCH($A179,'Réel 2024'!$A$2:$A$502,0),MATCH(P$2,'Réel 2024'!$A$2:$AO$2,0))</f>
        <v>93153.12</v>
      </c>
      <c r="Q179" s="255">
        <f t="array" ref="Q179">+INDEX('Réel 2024'!$A$2:$AO$502,MATCH($A179,'Réel 2024'!$A$2:$A$502,0),MATCH(Q$2,'Réel 2024'!$A$2:$AO$2,0))</f>
        <v>74412.23</v>
      </c>
      <c r="R179" s="291">
        <f>IF(O179=0,0,J179/O179)</f>
        <v>0.8875502008032129</v>
      </c>
      <c r="S179" s="275">
        <f>L179-Q179</f>
        <v>-24559.57</v>
      </c>
      <c r="T179" s="290"/>
      <c r="AA179" s="41"/>
      <c r="AB179" s="41"/>
      <c r="AC179" s="41"/>
      <c r="AD179" s="41"/>
      <c r="AE179" s="41"/>
      <c r="AF179" s="41"/>
      <c r="AG179" s="41"/>
      <c r="AH179" s="41"/>
      <c r="AI179" s="41"/>
      <c r="AJ179" s="41"/>
      <c r="AK179" s="41"/>
      <c r="AL179" s="41"/>
      <c r="AM179" s="41"/>
      <c r="AN179" s="41"/>
    </row>
    <row r="180" spans="1:40" ht="15.75" customHeight="1">
      <c r="A180" s="5" t="s">
        <v>459</v>
      </c>
      <c r="B180" s="41" t="s">
        <v>161</v>
      </c>
      <c r="C180" s="252" t="s">
        <v>165</v>
      </c>
      <c r="D180" s="290"/>
      <c r="E180" s="348"/>
      <c r="F180" s="361">
        <f>F179/E179</f>
        <v>0.75</v>
      </c>
      <c r="G180" s="276"/>
      <c r="H180" s="348"/>
      <c r="I180" s="361"/>
      <c r="J180" s="276"/>
      <c r="K180" s="348"/>
      <c r="L180" s="361">
        <f>IF(L179=0,0,L179/K179)</f>
        <v>0.81171259124562978</v>
      </c>
      <c r="M180" s="291"/>
      <c r="N180" s="275">
        <f>L180-F180</f>
        <v>6.1712591245629778E-2</v>
      </c>
      <c r="O180" s="276"/>
      <c r="P180" s="348"/>
      <c r="Q180" s="361">
        <f>Q179/P179</f>
        <v>0.79881629300231705</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161</v>
      </c>
      <c r="B181" s="41" t="s">
        <v>161</v>
      </c>
      <c r="C181" s="252"/>
      <c r="D181" s="290"/>
      <c r="E181" s="362">
        <f>IFERROR(E179/D179,0)</f>
        <v>312</v>
      </c>
      <c r="F181" s="363"/>
      <c r="G181" s="364"/>
      <c r="H181" s="362"/>
      <c r="I181" s="363"/>
      <c r="J181" s="364"/>
      <c r="K181" s="362">
        <f>IFERROR(K179/J179,0)</f>
        <v>277.90334841628959</v>
      </c>
      <c r="L181" s="363"/>
      <c r="M181" s="294"/>
      <c r="N181" s="295"/>
      <c r="O181" s="364"/>
      <c r="P181" s="362">
        <f>IFERROR(P179/O179,0)</f>
        <v>374.10891566265059</v>
      </c>
      <c r="Q181" s="361"/>
      <c r="R181" s="364"/>
      <c r="S181" s="275"/>
      <c r="T181" s="290"/>
      <c r="U181" s="900"/>
      <c r="AA181" s="41"/>
      <c r="AB181" s="41"/>
      <c r="AC181" s="41"/>
      <c r="AD181" s="41"/>
      <c r="AE181" s="41"/>
      <c r="AF181" s="41"/>
      <c r="AG181" s="41"/>
      <c r="AH181" s="41"/>
      <c r="AI181" s="41"/>
      <c r="AJ181" s="41"/>
      <c r="AK181" s="41"/>
      <c r="AL181" s="41"/>
      <c r="AM181" s="41"/>
      <c r="AN181" s="41"/>
    </row>
    <row r="182" spans="1:40" ht="15.75" customHeight="1">
      <c r="A182" s="5" t="s">
        <v>464</v>
      </c>
      <c r="B182" s="41" t="s">
        <v>161</v>
      </c>
      <c r="C182" s="240" t="s">
        <v>168</v>
      </c>
      <c r="D182" s="365">
        <f>+INDEX('Budget original'!$A$2:$AO$502,MATCH($A182,'Budget original'!$A$2:$A$502,0),MATCH(D$2,'Budget original'!$A$2:$AO$2,0))</f>
        <v>0</v>
      </c>
      <c r="E182" s="290">
        <f>+INDEX('Budget original'!$A$2:$AO$502,MATCH($A182,'Budget original'!$A$2:$A$502,0),MATCH(E$2,'Budget original'!$A$2:$AO$2,0))</f>
        <v>7950.0089622500545</v>
      </c>
      <c r="F182" s="290">
        <f>+INDEX('Budget original'!$A$2:$AO$502,MATCH($A182,'Budget original'!$A$2:$A$502,0),MATCH(F$2,'Budget original'!$A$2:$AO$2,0))</f>
        <v>6201.0069905550426</v>
      </c>
      <c r="G182" s="366"/>
      <c r="H182" s="290"/>
      <c r="I182" s="290"/>
      <c r="J182" s="366">
        <f>-SUMIFS(BV_Data_An_Cour!$O:$O,BV_Data_An_Cour!$U:$U,$B182,BV_Data_An_Cour!$V:$V,$C182,BV_Data_An_Cour!$W:$W,J$2)</f>
        <v>0</v>
      </c>
      <c r="K182" s="270">
        <f>-SUMIFS(BV_Data_An_Cour!$O:$O,BV_Data_An_Cour!$X:$X,"Oui",BV_Data_An_Cour!$U:$U,$B182,BV_Data_An_Cour!$V:$V,$C182)</f>
        <v>5361.21</v>
      </c>
      <c r="L182" s="271">
        <f>-SUMIFS(BV_Data_An_Cour!$O:$O,BV_Data_An_Cour!$U:$U,$B182,BV_Data_An_Cour!$V:$V,$C182,BV_Data_An_Cour!$W:$W,$L$2)</f>
        <v>4452.18</v>
      </c>
      <c r="M182" s="370">
        <f>IF(E182=0,0,(K182-E182)/E182)</f>
        <v>-0.32563472249437042</v>
      </c>
      <c r="N182" s="316">
        <f>L182-F182</f>
        <v>-1748.8269905550424</v>
      </c>
      <c r="O182" s="366">
        <f t="array" ref="O182">+INDEX('Réel 2024'!$A$2:$AO$502,MATCH($A182,'Réel 2024'!$A$2:$A$502,0),MATCH(O$2,'Réel 2024'!$A$2:$AO$2,0))</f>
        <v>0</v>
      </c>
      <c r="P182" s="270">
        <f t="array" ref="P182">+INDEX('Réel 2024'!$A$2:$AO$502,MATCH($A182,'Réel 2024'!$A$2:$A$502,0),MATCH(P$2,'Réel 2024'!$A$2:$AO$2,0))</f>
        <v>8246.2000000000007</v>
      </c>
      <c r="Q182" s="271">
        <f t="array" ref="Q182">+INDEX('Réel 2024'!$A$2:$AO$502,MATCH($A182,'Réel 2024'!$A$2:$A$502,0),MATCH(Q$2,'Réel 2024'!$A$2:$AO$2,0))</f>
        <v>6572.43</v>
      </c>
      <c r="R182" s="291">
        <f>IF(O182=0,0,J182/O182)</f>
        <v>0</v>
      </c>
      <c r="S182" s="316">
        <f>L182-Q182</f>
        <v>-2120.25</v>
      </c>
      <c r="T182" s="290"/>
      <c r="U182" s="900"/>
      <c r="AA182" s="41"/>
      <c r="AB182" s="41"/>
      <c r="AC182" s="41"/>
      <c r="AD182" s="41"/>
      <c r="AE182" s="41"/>
      <c r="AF182" s="41"/>
      <c r="AG182" s="41"/>
      <c r="AH182" s="41"/>
      <c r="AI182" s="41"/>
      <c r="AJ182" s="41"/>
      <c r="AK182" s="41"/>
      <c r="AL182" s="41"/>
      <c r="AM182" s="41"/>
      <c r="AN182" s="41"/>
    </row>
    <row r="183" spans="1:40" ht="15.75" customHeight="1">
      <c r="A183" s="5" t="s">
        <v>459</v>
      </c>
      <c r="B183" s="41" t="s">
        <v>161</v>
      </c>
      <c r="C183" s="252" t="s">
        <v>165</v>
      </c>
      <c r="D183" s="11"/>
      <c r="E183" s="371"/>
      <c r="F183" s="361">
        <f>IFERROR(F182/E182,0)</f>
        <v>0.78</v>
      </c>
      <c r="G183" s="269"/>
      <c r="H183" s="371"/>
      <c r="I183" s="361"/>
      <c r="J183" s="372"/>
      <c r="K183" s="371">
        <f>IF(J183&lt;=0,0,L183/J183)</f>
        <v>0</v>
      </c>
      <c r="L183" s="361">
        <f>IF(L182=0,0,L182/K182)</f>
        <v>0.83044312757754313</v>
      </c>
      <c r="M183" s="276">
        <f>J183-D183</f>
        <v>0</v>
      </c>
      <c r="N183" s="373"/>
      <c r="O183" s="372"/>
      <c r="P183" s="371"/>
      <c r="Q183" s="361">
        <f>IFERROR(Q182/P182,0)</f>
        <v>0.79702529650020615</v>
      </c>
      <c r="R183" s="252"/>
      <c r="S183" s="373"/>
      <c r="T183" s="318"/>
      <c r="U183" s="900"/>
      <c r="AA183" s="41"/>
      <c r="AB183" s="41"/>
      <c r="AC183" s="41"/>
      <c r="AD183" s="41"/>
      <c r="AE183" s="41"/>
      <c r="AF183" s="41"/>
      <c r="AG183" s="41"/>
      <c r="AH183" s="41"/>
      <c r="AI183" s="41"/>
      <c r="AJ183" s="41"/>
      <c r="AK183" s="41"/>
      <c r="AL183" s="41"/>
      <c r="AM183" s="41"/>
      <c r="AN183" s="41"/>
    </row>
    <row r="184" spans="1:40" ht="15.75" customHeight="1">
      <c r="A184" s="5" t="s">
        <v>161</v>
      </c>
      <c r="B184" s="41" t="s">
        <v>161</v>
      </c>
      <c r="C184" s="245"/>
      <c r="D184" s="374"/>
      <c r="E184" s="375"/>
      <c r="F184" s="363"/>
      <c r="G184" s="265"/>
      <c r="H184" s="375"/>
      <c r="I184" s="363"/>
      <c r="J184" s="376"/>
      <c r="K184" s="249"/>
      <c r="L184" s="363"/>
      <c r="M184" s="364"/>
      <c r="N184" s="377"/>
      <c r="O184" s="376"/>
      <c r="P184" s="249">
        <f>IFERROR(P182/O182,0)</f>
        <v>0</v>
      </c>
      <c r="Q184" s="363"/>
      <c r="R184" s="245"/>
      <c r="S184" s="377"/>
      <c r="T184" s="318"/>
      <c r="AA184" s="41"/>
      <c r="AB184" s="41"/>
      <c r="AC184" s="41"/>
      <c r="AD184" s="41"/>
      <c r="AE184" s="41"/>
      <c r="AF184" s="41"/>
      <c r="AG184" s="41"/>
      <c r="AH184" s="41"/>
      <c r="AI184" s="41"/>
      <c r="AJ184" s="41"/>
      <c r="AK184" s="41"/>
      <c r="AL184" s="41"/>
      <c r="AM184" s="41"/>
      <c r="AN184" s="41"/>
    </row>
    <row r="185" spans="1:40" ht="26.25" customHeight="1">
      <c r="A185" s="5" t="s">
        <v>465</v>
      </c>
      <c r="B185" s="41" t="s">
        <v>161</v>
      </c>
      <c r="C185" s="252" t="s">
        <v>169</v>
      </c>
      <c r="D185" s="41"/>
      <c r="E185" s="41"/>
      <c r="F185" s="275">
        <f>+INDEX('Budget original'!$A$2:$AO$502,MATCH($A185,'Budget original'!$A$2:$A$502,0),MATCH(F$2,'Budget original'!$A$2:$AO$2,0))</f>
        <v>-3533.3669654766359</v>
      </c>
      <c r="G185" s="252"/>
      <c r="H185" s="290"/>
      <c r="I185" s="290"/>
      <c r="J185" s="276"/>
      <c r="K185" s="290"/>
      <c r="L185" s="290">
        <f>-SUMIFS(BV_Data_An_Cour!$O:$O,BV_Data_An_Cour!$U:$U,$B185,BV_Data_An_Cour!$V:$V,$C185,BV_Data_An_Cour!$W:$W,$L$2)</f>
        <v>-1627.5</v>
      </c>
      <c r="M185" s="372"/>
      <c r="N185" s="275">
        <f>L185-F185</f>
        <v>1905.8669654766359</v>
      </c>
      <c r="O185" s="276"/>
      <c r="P185" s="290"/>
      <c r="Q185" s="255">
        <f t="array" ref="Q185">+INDEX('Réel 2024'!$A$2:$AO$502,MATCH($A185,'Réel 2024'!$A$2:$A$502,0),MATCH(Q$2,'Réel 2024'!$A$2:$AO$2,0))</f>
        <v>-1154.1300000000001</v>
      </c>
      <c r="R185" s="378"/>
      <c r="S185" s="275">
        <f>L185-Q185</f>
        <v>-473.36999999999989</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466</v>
      </c>
      <c r="B186" s="41" t="s">
        <v>161</v>
      </c>
      <c r="C186" s="379" t="s">
        <v>170</v>
      </c>
      <c r="D186" s="380">
        <f>D173+D176+D179+D182+D185</f>
        <v>988.46897145844014</v>
      </c>
      <c r="E186" s="380">
        <f>E173+E176+E179+E182+E185</f>
        <v>329114.79099010502</v>
      </c>
      <c r="F186" s="381">
        <f>F173+F176+F179+F182+F185</f>
        <v>241322.96508764356</v>
      </c>
      <c r="G186" s="382"/>
      <c r="H186" s="380"/>
      <c r="I186" s="381"/>
      <c r="J186" s="382">
        <f>J173+J176+J179+J182+J185</f>
        <v>834</v>
      </c>
      <c r="K186" s="380">
        <f>K173+K176+K179+K182+K185</f>
        <v>286915.69</v>
      </c>
      <c r="L186" s="381">
        <f>L173+L176+L179+L182+L185</f>
        <v>220649.4</v>
      </c>
      <c r="M186" s="383">
        <f>(K186-E186)/E186</f>
        <v>-0.12822000756378568</v>
      </c>
      <c r="N186" s="381">
        <f>L186-F186</f>
        <v>-20673.565087643568</v>
      </c>
      <c r="O186" s="382">
        <f>O173+O176+O179+O182+O185</f>
        <v>862</v>
      </c>
      <c r="P186" s="380">
        <f>P173+P176+P179+P182+P185</f>
        <v>306097.01</v>
      </c>
      <c r="Q186" s="381">
        <f>Q173+Q176+Q179+Q182+Q185</f>
        <v>229976.22999999998</v>
      </c>
      <c r="R186" s="263">
        <f>IF(O186=0,0,J186/O186)</f>
        <v>0.9675174013921114</v>
      </c>
      <c r="S186" s="381">
        <f>L186-Q186</f>
        <v>-9326.8299999999872</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467</v>
      </c>
      <c r="B187" s="41" t="s">
        <v>161</v>
      </c>
      <c r="C187" s="384" t="s">
        <v>171</v>
      </c>
      <c r="D187" s="385"/>
      <c r="E187" s="386"/>
      <c r="F187" s="387">
        <f>F186/E186</f>
        <v>0.73324861627048254</v>
      </c>
      <c r="G187" s="388"/>
      <c r="H187" s="386"/>
      <c r="I187" s="264"/>
      <c r="J187" s="388"/>
      <c r="K187" s="386">
        <f>IF(J186=0,0,K186/J186)</f>
        <v>344.02360911270983</v>
      </c>
      <c r="L187" s="264">
        <f>IF(L186=0,0,L186/K186)</f>
        <v>0.76903915571853176</v>
      </c>
      <c r="M187" s="388"/>
      <c r="N187" s="387">
        <f>N186/F186</f>
        <v>-8.5667624215272478E-2</v>
      </c>
      <c r="O187" s="388"/>
      <c r="P187" s="386">
        <f>IF(O186=0,0,P186/O186)</f>
        <v>355.100939675174</v>
      </c>
      <c r="Q187" s="264">
        <f>Q186/P186</f>
        <v>0.75131811970329265</v>
      </c>
      <c r="R187" s="388"/>
      <c r="S187" s="264">
        <f>S186/Q186</f>
        <v>-4.0555626118403576E-2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161</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468</v>
      </c>
      <c r="B189" s="41" t="s">
        <v>161</v>
      </c>
      <c r="C189" s="252" t="s">
        <v>172</v>
      </c>
      <c r="D189" s="290"/>
      <c r="E189" s="290">
        <f>+INDEX('Budget original'!$A$2:$AO$502,MATCH($A189,'Budget original'!$A$2:$A$502,0),MATCH(E$2,'Budget original'!$A$2:$AO$2,0))</f>
        <v>25482.445610109997</v>
      </c>
      <c r="F189" s="290">
        <f>+INDEX('Budget original'!$A$2:$AO$502,MATCH($A189,'Budget original'!$A$2:$A$502,0),MATCH(F$2,'Budget original'!$A$2:$AO$2,0))</f>
        <v>5096.4891220219997</v>
      </c>
      <c r="G189" s="276"/>
      <c r="H189" s="290"/>
      <c r="I189" s="290"/>
      <c r="J189" s="276"/>
      <c r="K189" s="253">
        <f>-SUMIFS(BV_Data_An_Cour!$O:$O,BV_Data_An_Cour!$X:$X,"Oui",BV_Data_An_Cour!$U:$U,$B189,BV_Data_An_Cour!$V:$V,$C189)</f>
        <v>13787.119999999999</v>
      </c>
      <c r="L189" s="255">
        <f>-SUMIFS(BV_Data_An_Cour!$O:$O,BV_Data_An_Cour!$U:$U,$B189,BV_Data_An_Cour!$V:$V,$C189,BV_Data_An_Cour!$W:$W,$L$2)</f>
        <v>3237.7799999999988</v>
      </c>
      <c r="M189" s="291">
        <f>IF(E189=0,0,(K189-E189)/E189)</f>
        <v>-0.45895616884864271</v>
      </c>
      <c r="N189" s="275">
        <f>L189-F189</f>
        <v>-1858.7091220220009</v>
      </c>
      <c r="O189" s="276"/>
      <c r="P189" s="253">
        <f t="array" ref="P189">+INDEX('Réel 2024'!$A$2:$AO$502,MATCH($A189,'Réel 2024'!$A$2:$A$502,0),MATCH(P$2,'Réel 2024'!$A$2:$AO$2,0))</f>
        <v>22735.4899999999</v>
      </c>
      <c r="Q189" s="255">
        <f t="array" ref="Q189">+INDEX('Réel 2024'!$A$2:$AO$502,MATCH($A189,'Réel 2024'!$A$2:$A$502,0),MATCH(Q$2,'Réel 2024'!$A$2:$AO$2,0))</f>
        <v>4126.45999999999</v>
      </c>
      <c r="R189" s="291">
        <f>IF(O189=0,0,J189/O189)</f>
        <v>0</v>
      </c>
      <c r="S189" s="275">
        <f>L189-Q189</f>
        <v>-888.6799999999912</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459</v>
      </c>
      <c r="B190" s="41" t="s">
        <v>161</v>
      </c>
      <c r="C190" s="252" t="s">
        <v>165</v>
      </c>
      <c r="D190" s="41"/>
      <c r="E190" s="348"/>
      <c r="F190" s="361">
        <f>IFERROR(F189/E189,0)</f>
        <v>0.2</v>
      </c>
      <c r="G190" s="252"/>
      <c r="H190" s="348"/>
      <c r="I190" s="361"/>
      <c r="J190" s="372"/>
      <c r="K190" s="371"/>
      <c r="L190" s="361">
        <f>IF(L189=0,0,L189/K189)</f>
        <v>0.23484092399282802</v>
      </c>
      <c r="M190" s="372"/>
      <c r="N190" s="373"/>
      <c r="O190" s="372"/>
      <c r="P190" s="371"/>
      <c r="Q190" s="361">
        <f>IFERROR(Q189/P189,0)</f>
        <v>0.18149861735990772</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161</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469</v>
      </c>
      <c r="B192" s="41" t="s">
        <v>161</v>
      </c>
      <c r="C192" s="252" t="s">
        <v>173</v>
      </c>
      <c r="D192" s="41"/>
      <c r="E192" s="290">
        <f>+INDEX('Budget original'!$A$2:$AO$502,MATCH($A192,'Budget original'!$A$2:$A$502,0),MATCH(E$2,'Budget original'!$A$2:$AO$2,0))</f>
        <v>7338.4698113077429</v>
      </c>
      <c r="F192" s="290">
        <f>+INDEX('Budget original'!$A$2:$AO$502,MATCH($A192,'Budget original'!$A$2:$A$502,0),MATCH(F$2,'Budget original'!$A$2:$AO$2,0))</f>
        <v>5136.9288679154197</v>
      </c>
      <c r="G192" s="252"/>
      <c r="H192" s="290"/>
      <c r="I192" s="290"/>
      <c r="J192" s="276">
        <f>-SUMIFS(BV_Data_An_Cour!$O:$O,BV_Data_An_Cour!$U:$U,$B192,BV_Data_An_Cour!$V:$V,$C192,BV_Data_An_Cour!$W:$W,J$2)</f>
        <v>0</v>
      </c>
      <c r="K192" s="253">
        <f>-SUMIFS(BV_Data_An_Cour!$O:$O,BV_Data_An_Cour!$X:$X,"Oui",BV_Data_An_Cour!$U:$U,$B192,BV_Data_An_Cour!$V:$V,$C192)</f>
        <v>0</v>
      </c>
      <c r="L192" s="255">
        <f>-SUMIFS(BV_Data_An_Cour!$O:$O,BV_Data_An_Cour!$U:$U,$B192,BV_Data_An_Cour!$V:$V,$C192,BV_Data_An_Cour!$W:$W,$L$2)</f>
        <v>0</v>
      </c>
      <c r="M192" s="291">
        <f>IF(E192=0,0,(K192-E192)/E192)</f>
        <v>-1</v>
      </c>
      <c r="N192" s="275">
        <f>L192-F192</f>
        <v>-5136.9288679154197</v>
      </c>
      <c r="O192" s="372"/>
      <c r="P192" s="253">
        <f t="array" ref="P192">+INDEX('Réel 2024'!$A$2:$AO$502,MATCH($A192,'Réel 2024'!$A$2:$A$502,0),MATCH(P$2,'Réel 2024'!$A$2:$AO$2,0))</f>
        <v>8810.2999999999993</v>
      </c>
      <c r="Q192" s="255">
        <f t="array" ref="Q192">+INDEX('Réel 2024'!$A$2:$AO$502,MATCH($A192,'Réel 2024'!$A$2:$A$502,0),MATCH(Q$2,'Réel 2024'!$A$2:$AO$2,0))</f>
        <v>7200.49</v>
      </c>
      <c r="R192" s="291">
        <f>IF(O192=0,0,J192/O192)</f>
        <v>0</v>
      </c>
      <c r="S192" s="275">
        <f>L192-Q192</f>
        <v>-7200.49</v>
      </c>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459</v>
      </c>
      <c r="B193" s="41" t="s">
        <v>161</v>
      </c>
      <c r="C193" s="252" t="s">
        <v>165</v>
      </c>
      <c r="D193" s="41"/>
      <c r="E193" s="348"/>
      <c r="F193" s="361">
        <f>IF(F192=0,0,F192/E192)</f>
        <v>0.7</v>
      </c>
      <c r="G193" s="252"/>
      <c r="H193" s="348"/>
      <c r="I193" s="361"/>
      <c r="J193" s="372"/>
      <c r="K193" s="371"/>
      <c r="L193" s="361">
        <f>IF(L192=0,0,L192/K192)</f>
        <v>0</v>
      </c>
      <c r="M193" s="372"/>
      <c r="N193" s="373"/>
      <c r="O193" s="372"/>
      <c r="P193" s="371"/>
      <c r="Q193" s="361">
        <f>IF(Q192=0,0,Q192/P192)</f>
        <v>0.81728090984415969</v>
      </c>
      <c r="R193" s="372"/>
      <c r="S193" s="373"/>
      <c r="T193" s="318"/>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161</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470</v>
      </c>
      <c r="B195" s="41" t="s">
        <v>161</v>
      </c>
      <c r="C195" s="277" t="s">
        <v>174</v>
      </c>
      <c r="D195" s="278"/>
      <c r="E195" s="278">
        <f>E186+E189+E192</f>
        <v>361935.70641152275</v>
      </c>
      <c r="F195" s="280">
        <f>F186+F189+F192</f>
        <v>251556.38307758098</v>
      </c>
      <c r="G195" s="281"/>
      <c r="H195" s="278"/>
      <c r="I195" s="280"/>
      <c r="J195" s="281"/>
      <c r="K195" s="278">
        <f>K186+K189+K192</f>
        <v>300702.81</v>
      </c>
      <c r="L195" s="280">
        <f>L186+L189+L192</f>
        <v>223887.18</v>
      </c>
      <c r="M195" s="398">
        <f>L196-F196</f>
        <v>4.9515773673074137E-2</v>
      </c>
      <c r="N195" s="280">
        <f>L195-F195</f>
        <v>-27669.203077580984</v>
      </c>
      <c r="O195" s="281"/>
      <c r="P195" s="278">
        <f>P186+P189+P192</f>
        <v>337642.79999999987</v>
      </c>
      <c r="Q195" s="280">
        <f>Q186+Q189+Q192</f>
        <v>241303.17999999996</v>
      </c>
      <c r="R195" s="398"/>
      <c r="S195" s="280">
        <f>L195-Q195</f>
        <v>-17415.999999999971</v>
      </c>
      <c r="T195" s="318"/>
      <c r="U195" s="992"/>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161</v>
      </c>
      <c r="B196" s="41" t="s">
        <v>161</v>
      </c>
      <c r="C196" s="282"/>
      <c r="D196" s="283"/>
      <c r="E196" s="283"/>
      <c r="F196" s="286">
        <f>F195/E195</f>
        <v>0.69503057758982223</v>
      </c>
      <c r="G196" s="282"/>
      <c r="H196" s="283"/>
      <c r="I196" s="286"/>
      <c r="J196" s="282"/>
      <c r="K196" s="283"/>
      <c r="L196" s="286">
        <f>L195/K195</f>
        <v>0.74454635126289637</v>
      </c>
      <c r="M196" s="285"/>
      <c r="N196" s="286">
        <f>N195/F195</f>
        <v>-0.10999205322906751</v>
      </c>
      <c r="O196" s="282"/>
      <c r="P196" s="283"/>
      <c r="Q196" s="286">
        <f>Q195/P195</f>
        <v>0.71467000036725215</v>
      </c>
      <c r="R196" s="285"/>
      <c r="S196" s="286">
        <f>L195/S195</f>
        <v>-12.855258383096025</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161</v>
      </c>
      <c r="B197" s="41" t="s">
        <v>161</v>
      </c>
      <c r="C197" s="269"/>
      <c r="D197" s="11"/>
      <c r="E197" s="11"/>
      <c r="F197" s="264"/>
      <c r="G197" s="269"/>
      <c r="H197" s="11"/>
      <c r="I197" s="264"/>
      <c r="J197" s="269"/>
      <c r="K197" s="318"/>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471</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472</v>
      </c>
      <c r="B199" s="41" t="s">
        <v>161</v>
      </c>
      <c r="C199" s="311" t="s">
        <v>120</v>
      </c>
      <c r="D199" s="41"/>
      <c r="E199" s="41"/>
      <c r="F199" s="253">
        <f>+INDEX('Budget original'!$A$2:$AO$502,MATCH($A199,'Budget original'!$A$2:$A$502,0),MATCH(F$2,'Budget original'!$A$2:$AO$2,0))</f>
        <v>8192.3076923076933</v>
      </c>
      <c r="G199" s="252"/>
      <c r="H199" s="41"/>
      <c r="I199" s="253"/>
      <c r="J199" s="252"/>
      <c r="K199" s="41"/>
      <c r="L199" s="255">
        <f>SUMIFS(BV_Data_An_Cour!$O:$O,BV_Data_An_Cour!$U:$U,$B199,BV_Data_An_Cour!$V:$V,$C199,BV_Data_An_Cour!$W:$W,$L$2)</f>
        <v>6385.21</v>
      </c>
      <c r="M199" s="252"/>
      <c r="N199" s="275">
        <f t="shared" ref="N199:N230" si="23">L199-F199</f>
        <v>-1807.0976923076933</v>
      </c>
      <c r="O199" s="252"/>
      <c r="P199" s="41"/>
      <c r="Q199" s="255">
        <f t="array" ref="Q199">+INDEX('Réel 2024'!$A$2:$AO$502,MATCH($A199,'Réel 2024'!$A$2:$A$502,0),MATCH(Q$2,'Réel 2024'!$A$2:$AO$2,0))</f>
        <v>13348.82</v>
      </c>
      <c r="R199" s="252"/>
      <c r="S199" s="255">
        <f t="shared" ref="S199:S230" si="24">L199-Q199</f>
        <v>-6963.61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473</v>
      </c>
      <c r="B200" s="41" t="s">
        <v>161</v>
      </c>
      <c r="C200" s="312" t="s">
        <v>121</v>
      </c>
      <c r="D200" s="296"/>
      <c r="E200" s="41"/>
      <c r="F200" s="247">
        <f>+INDEX('Budget original'!$A$2:$AO$502,MATCH($A200,'Budget original'!$A$2:$A$502,0),MATCH(F$2,'Budget original'!$A$2:$AO$2,0))</f>
        <v>17079.455245900001</v>
      </c>
      <c r="G200" s="297"/>
      <c r="H200" s="41"/>
      <c r="I200" s="247"/>
      <c r="J200" s="252"/>
      <c r="K200" s="41"/>
      <c r="L200" s="247">
        <f>SUMIFS(BV_Data_An_Cour!$O:$O,BV_Data_An_Cour!$U:$U,$B200,BV_Data_An_Cour!$V:$V,$C200,BV_Data_An_Cour!$W:$W,$L$2)</f>
        <v>23106.09</v>
      </c>
      <c r="M200" s="252"/>
      <c r="N200" s="275">
        <f t="shared" si="23"/>
        <v>6026.6347540999996</v>
      </c>
      <c r="O200" s="252"/>
      <c r="P200" s="41"/>
      <c r="Q200" s="255">
        <f t="array" ref="Q200">+INDEX('Réel 2024'!$A$2:$AO$502,MATCH($A200,'Réel 2024'!$A$2:$A$502,0),MATCH(Q$2,'Réel 2024'!$A$2:$AO$2,0))</f>
        <v>8258.5</v>
      </c>
      <c r="R200" s="252"/>
      <c r="S200" s="275">
        <f t="shared" si="24"/>
        <v>14847.59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474</v>
      </c>
      <c r="B201" s="41" t="s">
        <v>161</v>
      </c>
      <c r="C201" s="311" t="s">
        <v>122</v>
      </c>
      <c r="D201" s="313"/>
      <c r="E201" s="314"/>
      <c r="F201" s="253">
        <f>+INDEX('Budget original'!$A$2:$AO$502,MATCH($A201,'Budget original'!$A$2:$A$502,0),MATCH(F$2,'Budget original'!$A$2:$AO$2,0))</f>
        <v>24864.315122499997</v>
      </c>
      <c r="G201" s="315"/>
      <c r="H201" s="314"/>
      <c r="I201" s="253"/>
      <c r="J201" s="240"/>
      <c r="K201" s="314"/>
      <c r="L201" s="271">
        <f>SUMIFS(BV_Data_An_Cour!$O:$O,BV_Data_An_Cour!$U:$U,$B201,BV_Data_An_Cour!$V:$V,$C201,BV_Data_An_Cour!$W:$W,$L$2)</f>
        <v>24139.58</v>
      </c>
      <c r="M201" s="240"/>
      <c r="N201" s="316">
        <f t="shared" si="23"/>
        <v>-724.73512249999476</v>
      </c>
      <c r="O201" s="240"/>
      <c r="P201" s="314"/>
      <c r="Q201" s="271">
        <f t="array" ref="Q201">+INDEX('Réel 2024'!$A$2:$AO$502,MATCH($A201,'Réel 2024'!$A$2:$A$502,0),MATCH(Q$2,'Réel 2024'!$A$2:$AO$2,0))</f>
        <v>14236.65</v>
      </c>
      <c r="R201" s="240"/>
      <c r="S201" s="316">
        <f t="shared" si="24"/>
        <v>9902.9300000000021</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475</v>
      </c>
      <c r="B202" s="41" t="s">
        <v>161</v>
      </c>
      <c r="C202" s="311" t="s">
        <v>123</v>
      </c>
      <c r="D202" s="296"/>
      <c r="E202" s="978">
        <f>F202/E173</f>
        <v>0.2677875859430065</v>
      </c>
      <c r="F202" s="253">
        <f>+INDEX('Budget original'!$A$2:$AO$502,MATCH($A202,'Budget original'!$A$2:$A$502,0),MATCH(F$2,'Budget original'!$A$2:$AO$2,0))</f>
        <v>38569.755532328607</v>
      </c>
      <c r="G202" s="297"/>
      <c r="H202" s="41"/>
      <c r="I202" s="253"/>
      <c r="J202" s="252"/>
      <c r="K202" s="994">
        <f>L202/K173</f>
        <v>0.15308675631689184</v>
      </c>
      <c r="L202" s="255">
        <f>SUMIFS(BV_Data_An_Cour!$O:$O,BV_Data_An_Cour!$U:$U,$B202,BV_Data_An_Cour!$V:$V,$C202,BV_Data_An_Cour!$W:$W,$L$2)</f>
        <v>24270.01</v>
      </c>
      <c r="M202" s="252"/>
      <c r="N202" s="275">
        <f t="shared" si="23"/>
        <v>-14299.745532328609</v>
      </c>
      <c r="O202" s="252"/>
      <c r="P202" s="41"/>
      <c r="Q202" s="255">
        <f t="array" ref="Q202">+INDEX('Réel 2024'!$A$2:$AO$502,MATCH($A202,'Réel 2024'!$A$2:$A$502,0),MATCH(Q$2,'Réel 2024'!$A$2:$AO$2,0))</f>
        <v>23437.83</v>
      </c>
      <c r="R202" s="252"/>
      <c r="S202" s="275">
        <f t="shared" si="24"/>
        <v>832.17999999999665</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476</v>
      </c>
      <c r="B203" s="41" t="s">
        <v>161</v>
      </c>
      <c r="C203" s="252" t="s">
        <v>59</v>
      </c>
      <c r="D203" s="296"/>
      <c r="E203" s="41"/>
      <c r="F203" s="253">
        <f>+INDEX('Budget original'!$A$2:$AO$502,MATCH($A203,'Budget original'!$A$2:$A$502,0),MATCH(F$2,'Budget original'!$A$2:$AO$2,0))</f>
        <v>0</v>
      </c>
      <c r="G203" s="297"/>
      <c r="H203" s="41"/>
      <c r="I203" s="253"/>
      <c r="J203" s="252"/>
      <c r="K203" s="41"/>
      <c r="L203" s="255">
        <f>SUMIFS(BV_Data_An_Cour!$O:$O,BV_Data_An_Cour!$U:$U,$B203,BV_Data_An_Cour!$V:$V,$C203,BV_Data_An_Cour!$W:$W,$L$2)</f>
        <v>0</v>
      </c>
      <c r="M203" s="252"/>
      <c r="N203" s="275">
        <f t="shared" si="23"/>
        <v>0</v>
      </c>
      <c r="O203" s="252"/>
      <c r="P203" s="41"/>
      <c r="Q203" s="255">
        <f t="array" ref="Q203">+INDEX('Réel 2024'!$A$2:$AO$502,MATCH($A203,'Réel 2024'!$A$2:$A$502,0),MATCH(Q$2,'Réel 2024'!$A$2:$AO$2,0))</f>
        <v>0</v>
      </c>
      <c r="R203" s="252"/>
      <c r="S203" s="275">
        <f t="shared" si="24"/>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476</v>
      </c>
      <c r="B204" s="41" t="s">
        <v>161</v>
      </c>
      <c r="C204" s="252" t="s">
        <v>59</v>
      </c>
      <c r="D204" s="296"/>
      <c r="E204" s="41"/>
      <c r="F204" s="253">
        <f>+INDEX('Budget original'!$A$2:$AO$502,MATCH($A204,'Budget original'!$A$2:$A$502,0),MATCH(F$2,'Budget original'!$A$2:$AO$2,0))</f>
        <v>0</v>
      </c>
      <c r="G204" s="297"/>
      <c r="H204" s="41"/>
      <c r="I204" s="253"/>
      <c r="J204" s="252"/>
      <c r="K204" s="41"/>
      <c r="L204" s="255">
        <f>SUMIFS(BV_Data_An_Cour!$O:$O,BV_Data_An_Cour!$U:$U,$B204,BV_Data_An_Cour!$V:$V,$C204,BV_Data_An_Cour!$W:$W,$L$2)</f>
        <v>0</v>
      </c>
      <c r="M204" s="252"/>
      <c r="N204" s="275">
        <f t="shared" si="23"/>
        <v>0</v>
      </c>
      <c r="O204" s="252"/>
      <c r="P204" s="41"/>
      <c r="Q204" s="255">
        <f t="array" ref="Q204">+INDEX('Réel 2024'!$A$2:$AO$502,MATCH($A204,'Réel 2024'!$A$2:$A$502,0),MATCH(Q$2,'Réel 2024'!$A$2:$AO$2,0))</f>
        <v>0</v>
      </c>
      <c r="R204" s="252"/>
      <c r="S204" s="275">
        <f t="shared" si="24"/>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476</v>
      </c>
      <c r="B205" s="41" t="s">
        <v>161</v>
      </c>
      <c r="C205" s="252" t="s">
        <v>59</v>
      </c>
      <c r="D205" s="296"/>
      <c r="E205" s="41"/>
      <c r="F205" s="253">
        <f>+INDEX('Budget original'!$A$2:$AO$502,MATCH($A205,'Budget original'!$A$2:$A$502,0),MATCH(F$2,'Budget original'!$A$2:$AO$2,0))</f>
        <v>0</v>
      </c>
      <c r="G205" s="297"/>
      <c r="H205" s="41"/>
      <c r="I205" s="253"/>
      <c r="J205" s="252"/>
      <c r="K205" s="41"/>
      <c r="L205" s="255">
        <f>SUMIFS(BV_Data_An_Cour!$O:$O,BV_Data_An_Cour!$U:$U,$B205,BV_Data_An_Cour!$V:$V,$C205,BV_Data_An_Cour!$W:$W,$L$2)</f>
        <v>0</v>
      </c>
      <c r="M205" s="252"/>
      <c r="N205" s="275">
        <f t="shared" si="23"/>
        <v>0</v>
      </c>
      <c r="O205" s="252"/>
      <c r="P205" s="41"/>
      <c r="Q205" s="255">
        <f t="array" ref="Q205">+INDEX('Réel 2024'!$A$2:$AO$502,MATCH($A205,'Réel 2024'!$A$2:$A$502,0),MATCH(Q$2,'Réel 2024'!$A$2:$AO$2,0))</f>
        <v>0</v>
      </c>
      <c r="R205" s="252"/>
      <c r="S205" s="275">
        <f t="shared" si="24"/>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477</v>
      </c>
      <c r="B206" s="41" t="s">
        <v>161</v>
      </c>
      <c r="C206" s="312" t="s">
        <v>124</v>
      </c>
      <c r="D206" s="296"/>
      <c r="E206" s="41"/>
      <c r="F206" s="253">
        <f>+INDEX('Budget original'!$A$2:$AO$502,MATCH($A206,'Budget original'!$A$2:$A$502,0),MATCH(F$2,'Budget original'!$A$2:$AO$2,0))</f>
        <v>20449.168665803896</v>
      </c>
      <c r="G206" s="297"/>
      <c r="H206" s="41"/>
      <c r="I206" s="253"/>
      <c r="J206" s="252"/>
      <c r="K206" s="41"/>
      <c r="L206" s="255">
        <f>SUMIFS(BV_Data_An_Cour!$O:$O,BV_Data_An_Cour!$U:$U,$B206,BV_Data_An_Cour!$V:$V,$C206,BV_Data_An_Cour!$W:$W,$L$2)</f>
        <v>19226.68</v>
      </c>
      <c r="M206" s="252"/>
      <c r="N206" s="275">
        <f t="shared" si="23"/>
        <v>-1222.4886658038959</v>
      </c>
      <c r="O206" s="252"/>
      <c r="P206" s="41"/>
      <c r="Q206" s="255">
        <f t="array" ref="Q206">+INDEX('Réel 2024'!$A$2:$AO$502,MATCH($A206,'Réel 2024'!$A$2:$A$502,0),MATCH(Q$2,'Réel 2024'!$A$2:$AO$2,0))</f>
        <v>15719.95</v>
      </c>
      <c r="R206" s="252"/>
      <c r="S206" s="275">
        <f t="shared" si="24"/>
        <v>3506.7299999999996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478</v>
      </c>
      <c r="B207" s="41" t="s">
        <v>161</v>
      </c>
      <c r="C207" s="311" t="s">
        <v>125</v>
      </c>
      <c r="D207" s="313"/>
      <c r="E207" s="314"/>
      <c r="F207" s="271">
        <f>+INDEX('Budget original'!$A$2:$AO$502,MATCH($A207,'Budget original'!$A$2:$A$502,0),MATCH(F$2,'Budget original'!$A$2:$AO$2,0))</f>
        <v>24863.306395426767</v>
      </c>
      <c r="G207" s="315"/>
      <c r="H207" s="314"/>
      <c r="I207" s="271"/>
      <c r="J207" s="240"/>
      <c r="K207" s="314"/>
      <c r="L207" s="271">
        <f>SUMIFS(BV_Data_An_Cour!$O:$O,BV_Data_An_Cour!$U:$U,$B207,BV_Data_An_Cour!$V:$V,$C207,BV_Data_An_Cour!$W:$W,$L$2)</f>
        <v>23535.89</v>
      </c>
      <c r="M207" s="240"/>
      <c r="N207" s="316">
        <f t="shared" si="23"/>
        <v>-1327.4163954267678</v>
      </c>
      <c r="O207" s="240"/>
      <c r="P207" s="314"/>
      <c r="Q207" s="271">
        <f t="array" ref="Q207">+INDEX('Réel 2024'!$A$2:$AO$502,MATCH($A207,'Réel 2024'!$A$2:$A$502,0),MATCH(Q$2,'Réel 2024'!$A$2:$AO$2,0))</f>
        <v>19588.689999999999</v>
      </c>
      <c r="R207" s="240"/>
      <c r="S207" s="316">
        <f t="shared" si="24"/>
        <v>3947.2000000000007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479</v>
      </c>
      <c r="B208" s="41" t="s">
        <v>161</v>
      </c>
      <c r="C208" s="311" t="s">
        <v>126</v>
      </c>
      <c r="D208" s="296"/>
      <c r="E208" s="41"/>
      <c r="F208" s="253">
        <f>+INDEX('Budget original'!$A$2:$AO$502,MATCH($A208,'Budget original'!$A$2:$A$502,0),MATCH(F$2,'Budget original'!$A$2:$AO$2,0))</f>
        <v>12810.007860252485</v>
      </c>
      <c r="G208" s="297"/>
      <c r="H208" s="41"/>
      <c r="I208" s="253"/>
      <c r="J208" s="252"/>
      <c r="K208" s="41"/>
      <c r="L208" s="255">
        <f>SUMIFS(BV_Data_An_Cour!$O:$O,BV_Data_An_Cour!$U:$U,$B208,BV_Data_An_Cour!$V:$V,$C208,BV_Data_An_Cour!$W:$W,$L$2)</f>
        <v>11555.119999999999</v>
      </c>
      <c r="M208" s="252"/>
      <c r="N208" s="275">
        <f t="shared" si="23"/>
        <v>-1254.8878602524856</v>
      </c>
      <c r="O208" s="252"/>
      <c r="P208" s="41"/>
      <c r="Q208" s="255">
        <f t="array" ref="Q208">+INDEX('Réel 2024'!$A$2:$AO$502,MATCH($A208,'Réel 2024'!$A$2:$A$502,0),MATCH(Q$2,'Réel 2024'!$A$2:$AO$2,0))</f>
        <v>9363.9599999999991</v>
      </c>
      <c r="R208" s="252"/>
      <c r="S208" s="275">
        <f t="shared" si="24"/>
        <v>2191.16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480</v>
      </c>
      <c r="B209" s="41" t="s">
        <v>161</v>
      </c>
      <c r="C209" s="311" t="s">
        <v>127</v>
      </c>
      <c r="D209" s="296"/>
      <c r="E209" s="41"/>
      <c r="F209" s="253">
        <f>+INDEX('Budget original'!$A$2:$AO$502,MATCH($A209,'Budget original'!$A$2:$A$502,0),MATCH(F$2,'Budget original'!$A$2:$AO$2,0))</f>
        <v>5585.2354946248524</v>
      </c>
      <c r="G209" s="297"/>
      <c r="H209" s="41"/>
      <c r="I209" s="253"/>
      <c r="J209" s="252"/>
      <c r="K209" s="41"/>
      <c r="L209" s="255">
        <f>SUMIFS(BV_Data_An_Cour!$O:$O,BV_Data_An_Cour!$U:$U,$B209,BV_Data_An_Cour!$V:$V,$C209,BV_Data_An_Cour!$W:$W,$L$2)</f>
        <v>4609.2700000000004</v>
      </c>
      <c r="M209" s="252"/>
      <c r="N209" s="275">
        <f t="shared" si="23"/>
        <v>-975.965494624852</v>
      </c>
      <c r="O209" s="252"/>
      <c r="P209" s="41"/>
      <c r="Q209" s="255">
        <f t="array" ref="Q209">+INDEX('Réel 2024'!$A$2:$AO$502,MATCH($A209,'Réel 2024'!$A$2:$A$502,0),MATCH(Q$2,'Réel 2024'!$A$2:$AO$2,0))</f>
        <v>4356.6099999999997</v>
      </c>
      <c r="R209" s="252"/>
      <c r="S209" s="275">
        <f t="shared" si="24"/>
        <v>252.66000000000076</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476</v>
      </c>
      <c r="B210" s="41" t="s">
        <v>161</v>
      </c>
      <c r="C210" s="252" t="s">
        <v>59</v>
      </c>
      <c r="D210" s="298"/>
      <c r="E210" s="317"/>
      <c r="F210" s="253">
        <f>+INDEX('Budget original'!$A$2:$AO$502,MATCH($A210,'Budget original'!$A$2:$A$502,0),MATCH(F$2,'Budget original'!$A$2:$AO$2,0))</f>
        <v>0</v>
      </c>
      <c r="G210" s="299"/>
      <c r="H210" s="317"/>
      <c r="I210" s="253"/>
      <c r="J210" s="245"/>
      <c r="K210" s="317"/>
      <c r="L210" s="255">
        <f>SUMIFS(BV_Data_An_Cour!$O:$O,BV_Data_An_Cour!$U:$U,$B210,BV_Data_An_Cour!$V:$V,$C210,BV_Data_An_Cour!$W:$W,$L$2)</f>
        <v>0</v>
      </c>
      <c r="M210" s="245"/>
      <c r="N210" s="255">
        <f t="shared" si="23"/>
        <v>0</v>
      </c>
      <c r="O210" s="245"/>
      <c r="P210" s="317"/>
      <c r="Q210" s="255">
        <f t="array" ref="Q210">+INDEX('Réel 2024'!$A$2:$AO$502,MATCH($A210,'Réel 2024'!$A$2:$A$502,0),MATCH(Q$2,'Réel 2024'!$A$2:$AO$2,0))</f>
        <v>0</v>
      </c>
      <c r="R210" s="245"/>
      <c r="S210" s="295">
        <f t="shared" si="24"/>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481</v>
      </c>
      <c r="B211" s="41" t="s">
        <v>161</v>
      </c>
      <c r="C211" s="303" t="s">
        <v>128</v>
      </c>
      <c r="D211" s="304" t="s">
        <v>175</v>
      </c>
      <c r="E211" s="305">
        <f>F211/F$195</f>
        <v>0.60588226839841053</v>
      </c>
      <c r="F211" s="306">
        <f>+SUM(F199:F210)</f>
        <v>152413.5520091443</v>
      </c>
      <c r="G211" s="307"/>
      <c r="H211" s="305"/>
      <c r="I211" s="306"/>
      <c r="J211" s="307" t="s">
        <v>175</v>
      </c>
      <c r="K211" s="305">
        <f>L211/L$195</f>
        <v>0.61114642651714135</v>
      </c>
      <c r="L211" s="306">
        <f>+SUM(L199:L210)</f>
        <v>136827.85</v>
      </c>
      <c r="M211" s="354"/>
      <c r="N211" s="306">
        <f t="shared" si="23"/>
        <v>-15585.702009144297</v>
      </c>
      <c r="O211" s="307" t="s">
        <v>175</v>
      </c>
      <c r="P211" s="305">
        <f>Q211/Q$195</f>
        <v>0.44885861015176015</v>
      </c>
      <c r="Q211" s="306">
        <f>+SUM(Q199:Q210)</f>
        <v>108311.01</v>
      </c>
      <c r="R211" s="354"/>
      <c r="S211" s="319">
        <f t="shared" si="24"/>
        <v>28516.840000000011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482</v>
      </c>
      <c r="B212" s="41" t="s">
        <v>161</v>
      </c>
      <c r="C212" s="252" t="s">
        <v>129</v>
      </c>
      <c r="D212" s="296"/>
      <c r="E212" s="41"/>
      <c r="F212" s="253">
        <f>+INDEX('Budget original'!$A$2:$AO$502,MATCH($A212,'Budget original'!$A$2:$A$502,0),MATCH(F$2,'Budget original'!$A$2:$AO$2,0))</f>
        <v>7330</v>
      </c>
      <c r="G212" s="297"/>
      <c r="H212" s="41"/>
      <c r="I212" s="253"/>
      <c r="J212" s="252"/>
      <c r="K212" s="41"/>
      <c r="L212" s="255">
        <f>SUMIFS(BV_Data_An_Cour!$O:$O,BV_Data_An_Cour!$U:$U,$B212,BV_Data_An_Cour!$V:$V,$C212,BV_Data_An_Cour!$W:$W,$L$2)</f>
        <v>8024.81</v>
      </c>
      <c r="M212" s="252"/>
      <c r="N212" s="275">
        <f t="shared" si="23"/>
        <v>694.8100000000004</v>
      </c>
      <c r="O212" s="252"/>
      <c r="P212" s="41"/>
      <c r="Q212" s="255">
        <f t="array" ref="Q212">+INDEX('Réel 2024'!$A$2:$AO$502,MATCH($A212,'Réel 2024'!$A$2:$A$502,0),MATCH(Q$2,'Réel 2024'!$A$2:$AO$2,0))</f>
        <v>10953.22</v>
      </c>
      <c r="R212" s="252"/>
      <c r="S212" s="275">
        <f t="shared" si="24"/>
        <v>-2928.4099999999989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483</v>
      </c>
      <c r="B213" s="41" t="s">
        <v>161</v>
      </c>
      <c r="C213" s="252" t="s">
        <v>130</v>
      </c>
      <c r="D213" s="296"/>
      <c r="E213" s="41"/>
      <c r="F213" s="253">
        <f>+INDEX('Budget original'!$A$2:$AO$502,MATCH($A213,'Budget original'!$A$2:$A$502,0),MATCH(F$2,'Budget original'!$A$2:$AO$2,0))</f>
        <v>3422.1774033237093</v>
      </c>
      <c r="G213" s="297"/>
      <c r="H213" s="41"/>
      <c r="I213" s="253"/>
      <c r="J213" s="252"/>
      <c r="K213" s="41"/>
      <c r="L213" s="255">
        <f>SUMIFS(BV_Data_An_Cour!$O:$O,BV_Data_An_Cour!$U:$U,$B213,BV_Data_An_Cour!$V:$V,$C213,BV_Data_An_Cour!$W:$W,$L$2)</f>
        <v>2167.12</v>
      </c>
      <c r="M213" s="252"/>
      <c r="N213" s="275">
        <f t="shared" si="23"/>
        <v>-1255.0574033237094</v>
      </c>
      <c r="O213" s="252"/>
      <c r="P213" s="41"/>
      <c r="Q213" s="255">
        <f t="array" ref="Q213">+INDEX('Réel 2024'!$A$2:$AO$502,MATCH($A213,'Réel 2024'!$A$2:$A$502,0),MATCH(Q$2,'Réel 2024'!$A$2:$AO$2,0))</f>
        <v>1302.06</v>
      </c>
      <c r="R213" s="252"/>
      <c r="S213" s="275">
        <f t="shared" si="24"/>
        <v>865.06</v>
      </c>
      <c r="T213" s="41"/>
      <c r="U213" s="999"/>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484</v>
      </c>
      <c r="B214" s="41" t="s">
        <v>161</v>
      </c>
      <c r="C214" s="245" t="s">
        <v>131</v>
      </c>
      <c r="D214" s="298"/>
      <c r="E214" s="317"/>
      <c r="F214" s="247">
        <f>+INDEX('Budget original'!$A$2:$AO$502,MATCH($A214,'Budget original'!$A$2:$A$502,0),MATCH(F$2,'Budget original'!$A$2:$AO$2,0))</f>
        <v>11083.739355555555</v>
      </c>
      <c r="G214" s="299"/>
      <c r="H214" s="317"/>
      <c r="I214" s="247"/>
      <c r="J214" s="245"/>
      <c r="K214" s="317"/>
      <c r="L214" s="255">
        <f>SUMIFS(BV_Data_An_Cour!$O:$O,BV_Data_An_Cour!$U:$U,$B214,BV_Data_An_Cour!$V:$V,$C214,BV_Data_An_Cour!$W:$W,$L$2)</f>
        <v>7458.21</v>
      </c>
      <c r="M214" s="245"/>
      <c r="N214" s="295">
        <f t="shared" si="23"/>
        <v>-3625.5293555555554</v>
      </c>
      <c r="O214" s="245"/>
      <c r="P214" s="317"/>
      <c r="Q214" s="255">
        <f t="array" ref="Q214">+INDEX('Réel 2024'!$A$2:$AO$502,MATCH($A214,'Réel 2024'!$A$2:$A$502,0),MATCH(Q$2,'Réel 2024'!$A$2:$AO$2,0))</f>
        <v>12916.71</v>
      </c>
      <c r="R214" s="245"/>
      <c r="S214" s="295">
        <f t="shared" si="24"/>
        <v>-5458.4999999999991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485</v>
      </c>
      <c r="B215" s="41" t="s">
        <v>161</v>
      </c>
      <c r="C215" s="252" t="s">
        <v>132</v>
      </c>
      <c r="D215" s="296"/>
      <c r="E215" s="41"/>
      <c r="F215" s="253">
        <f>+INDEX('Budget original'!$A$2:$AO$502,MATCH($A215,'Budget original'!$A$2:$A$502,0),MATCH(F$2,'Budget original'!$A$2:$AO$2,0))</f>
        <v>5480</v>
      </c>
      <c r="G215" s="297"/>
      <c r="H215" s="41"/>
      <c r="I215" s="253"/>
      <c r="J215" s="252"/>
      <c r="K215" s="41"/>
      <c r="L215" s="271">
        <f>SUMIFS(BV_Data_An_Cour!$O:$O,BV_Data_An_Cour!$U:$U,$B215,BV_Data_An_Cour!$V:$V,$C215,BV_Data_An_Cour!$W:$W,$L$2)</f>
        <v>5707.54</v>
      </c>
      <c r="M215" s="252"/>
      <c r="N215" s="275">
        <f t="shared" si="23"/>
        <v>227.53999999999996</v>
      </c>
      <c r="O215" s="252"/>
      <c r="P215" s="41"/>
      <c r="Q215" s="271">
        <f t="array" ref="Q215">+INDEX('Réel 2024'!$A$2:$AO$502,MATCH($A215,'Réel 2024'!$A$2:$A$502,0),MATCH(Q$2,'Réel 2024'!$A$2:$AO$2,0))</f>
        <v>5080.0200000000004</v>
      </c>
      <c r="R215" s="252"/>
      <c r="S215" s="275">
        <f t="shared" si="24"/>
        <v>627.51999999999953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486</v>
      </c>
      <c r="B216" s="41" t="s">
        <v>161</v>
      </c>
      <c r="C216" s="252" t="s">
        <v>133</v>
      </c>
      <c r="D216" s="296"/>
      <c r="E216" s="41"/>
      <c r="F216" s="253">
        <f>+INDEX('Budget original'!$A$2:$AO$502,MATCH($A216,'Budget original'!$A$2:$A$502,0),MATCH(F$2,'Budget original'!$A$2:$AO$2,0))</f>
        <v>1250</v>
      </c>
      <c r="G216" s="297"/>
      <c r="H216" s="41"/>
      <c r="I216" s="253"/>
      <c r="J216" s="252"/>
      <c r="K216" s="41"/>
      <c r="L216" s="255">
        <f>SUMIFS(BV_Data_An_Cour!$O:$O,BV_Data_An_Cour!$U:$U,$B216,BV_Data_An_Cour!$V:$V,$C216,BV_Data_An_Cour!$W:$W,$L$2)</f>
        <v>302.92</v>
      </c>
      <c r="M216" s="252"/>
      <c r="N216" s="275">
        <f t="shared" si="23"/>
        <v>-947.07999999999993</v>
      </c>
      <c r="O216" s="252"/>
      <c r="P216" s="41"/>
      <c r="Q216" s="255">
        <f t="array" ref="Q216">+INDEX('Réel 2024'!$A$2:$AO$502,MATCH($A216,'Réel 2024'!$A$2:$A$502,0),MATCH(Q$2,'Réel 2024'!$A$2:$AO$2,0))</f>
        <v>669.31</v>
      </c>
      <c r="R216" s="252"/>
      <c r="S216" s="275">
        <f t="shared" si="24"/>
        <v>-366.38999999999993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487</v>
      </c>
      <c r="B217" s="41" t="s">
        <v>161</v>
      </c>
      <c r="C217" s="245" t="s">
        <v>134</v>
      </c>
      <c r="D217" s="298"/>
      <c r="E217" s="317"/>
      <c r="F217" s="247">
        <f>+INDEX('Budget original'!$A$2:$AO$502,MATCH($A217,'Budget original'!$A$2:$A$502,0),MATCH(F$2,'Budget original'!$A$2:$AO$2,0))</f>
        <v>17721.84</v>
      </c>
      <c r="G217" s="299"/>
      <c r="H217" s="317"/>
      <c r="I217" s="247"/>
      <c r="J217" s="245"/>
      <c r="K217" s="317"/>
      <c r="L217" s="247">
        <f>SUMIFS(BV_Data_An_Cour!$O:$O,BV_Data_An_Cour!$U:$U,$B217,BV_Data_An_Cour!$V:$V,$C217,BV_Data_An_Cour!$W:$W,$L$2)</f>
        <v>18147.13</v>
      </c>
      <c r="M217" s="245"/>
      <c r="N217" s="295">
        <f t="shared" si="23"/>
        <v>425.29000000000087</v>
      </c>
      <c r="O217" s="245"/>
      <c r="P217" s="317"/>
      <c r="Q217" s="255">
        <f t="array" ref="Q217">+INDEX('Réel 2024'!$A$2:$AO$502,MATCH($A217,'Réel 2024'!$A$2:$A$502,0),MATCH(Q$2,'Réel 2024'!$A$2:$AO$2,0))</f>
        <v>18251.97</v>
      </c>
      <c r="R217" s="245"/>
      <c r="S217" s="295">
        <f t="shared" si="24"/>
        <v>-104.84000000000015</v>
      </c>
      <c r="T217" s="41"/>
      <c r="U217" s="1156"/>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488</v>
      </c>
      <c r="B218" s="41" t="s">
        <v>161</v>
      </c>
      <c r="C218" s="252" t="s">
        <v>489</v>
      </c>
      <c r="D218" s="296"/>
      <c r="E218" s="41"/>
      <c r="F218" s="253"/>
      <c r="G218" s="297"/>
      <c r="H218" s="41"/>
      <c r="I218" s="253"/>
      <c r="J218" s="252"/>
      <c r="K218" s="41"/>
      <c r="L218" s="271">
        <f>SUMIFS(BV_Data_An_Cour!$O:$O,BV_Data_An_Cour!$U:$U,$B218,BV_Data_An_Cour!$V:$V,$C218,BV_Data_An_Cour!$W:$W,$L$2)</f>
        <v>0</v>
      </c>
      <c r="M218" s="252"/>
      <c r="N218" s="275">
        <f t="shared" si="23"/>
        <v>0</v>
      </c>
      <c r="O218" s="252"/>
      <c r="P218" s="41"/>
      <c r="Q218" s="271">
        <f t="array" ref="Q218">+INDEX('Réel 2024'!$A$2:$AO$502,MATCH($A218,'Réel 2024'!$A$2:$A$502,0),MATCH(Q$2,'Réel 2024'!$A$2:$AO$2,0))</f>
        <v>0</v>
      </c>
      <c r="R218" s="252"/>
      <c r="S218" s="275">
        <f t="shared" si="24"/>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490</v>
      </c>
      <c r="B219" s="41" t="s">
        <v>161</v>
      </c>
      <c r="C219" s="252" t="s">
        <v>135</v>
      </c>
      <c r="D219" s="296"/>
      <c r="E219" s="41"/>
      <c r="F219" s="253">
        <f>+INDEX('Budget original'!$A$2:$AO$502,MATCH($A219,'Budget original'!$A$2:$A$502,0),MATCH(F$2,'Budget original'!$A$2:$AO$2,0))</f>
        <v>5000</v>
      </c>
      <c r="G219" s="297"/>
      <c r="H219" s="41"/>
      <c r="I219" s="253"/>
      <c r="J219" s="252"/>
      <c r="K219" s="41"/>
      <c r="L219" s="255">
        <f>SUMIFS(BV_Data_An_Cour!$O:$O,BV_Data_An_Cour!$U:$U,$B219,BV_Data_An_Cour!$V:$V,$C219,BV_Data_An_Cour!$W:$W,$L$2)</f>
        <v>2209.3200000000002</v>
      </c>
      <c r="M219" s="252"/>
      <c r="N219" s="275">
        <f t="shared" si="23"/>
        <v>-2790.68</v>
      </c>
      <c r="O219" s="252"/>
      <c r="P219" s="41"/>
      <c r="Q219" s="255">
        <f t="array" ref="Q219">+INDEX('Réel 2024'!$A$2:$AO$502,MATCH($A219,'Réel 2024'!$A$2:$A$502,0),MATCH(Q$2,'Réel 2024'!$A$2:$AO$2,0))</f>
        <v>3095.58</v>
      </c>
      <c r="R219" s="252"/>
      <c r="S219" s="275">
        <f t="shared" si="24"/>
        <v>-886.25999999999976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491</v>
      </c>
      <c r="B220" s="41" t="s">
        <v>161</v>
      </c>
      <c r="C220" s="252" t="s">
        <v>136</v>
      </c>
      <c r="D220" s="296"/>
      <c r="E220" s="41"/>
      <c r="F220" s="253">
        <f>+INDEX('Budget original'!$A$2:$AO$502,MATCH($A220,'Budget original'!$A$2:$A$502,0),MATCH(F$2,'Budget original'!$A$2:$AO$2,0))</f>
        <v>1000</v>
      </c>
      <c r="G220" s="297"/>
      <c r="H220" s="41"/>
      <c r="I220" s="253"/>
      <c r="J220" s="252"/>
      <c r="K220" s="41"/>
      <c r="L220" s="255">
        <f>SUMIFS(BV_Data_An_Cour!$O:$O,BV_Data_An_Cour!$U:$U,$B220,BV_Data_An_Cour!$V:$V,$C220,BV_Data_An_Cour!$W:$W,$L$2)</f>
        <v>2740.03</v>
      </c>
      <c r="M220" s="252"/>
      <c r="N220" s="275">
        <f t="shared" si="23"/>
        <v>1740.0300000000002</v>
      </c>
      <c r="O220" s="252"/>
      <c r="P220" s="41"/>
      <c r="Q220" s="255">
        <f t="array" ref="Q220">+INDEX('Réel 2024'!$A$2:$AO$502,MATCH($A220,'Réel 2024'!$A$2:$A$502,0),MATCH(Q$2,'Réel 2024'!$A$2:$AO$2,0))</f>
        <v>699.73</v>
      </c>
      <c r="R220" s="252"/>
      <c r="S220" s="275">
        <f t="shared" si="24"/>
        <v>2040.3000000000002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492</v>
      </c>
      <c r="B221" s="41" t="s">
        <v>161</v>
      </c>
      <c r="C221" s="252" t="s">
        <v>137</v>
      </c>
      <c r="D221" s="296"/>
      <c r="E221" s="41"/>
      <c r="F221" s="253">
        <f>+INDEX('Budget original'!$A$2:$AO$502,MATCH($A221,'Budget original'!$A$2:$A$502,0),MATCH(F$2,'Budget original'!$A$2:$AO$2,0))</f>
        <v>833</v>
      </c>
      <c r="G221" s="297"/>
      <c r="H221" s="41"/>
      <c r="I221" s="253"/>
      <c r="J221" s="252"/>
      <c r="K221" s="41"/>
      <c r="L221" s="255">
        <f>SUMIFS(BV_Data_An_Cour!$O:$O,BV_Data_An_Cour!$U:$U,$B221,BV_Data_An_Cour!$V:$V,$C221,BV_Data_An_Cour!$W:$W,$L$2)</f>
        <v>912.82</v>
      </c>
      <c r="M221" s="252"/>
      <c r="N221" s="275">
        <f t="shared" si="23"/>
        <v>79.82000000000005</v>
      </c>
      <c r="O221" s="252"/>
      <c r="P221" s="41"/>
      <c r="Q221" s="255">
        <f t="array" ref="Q221">+INDEX('Réel 2024'!$A$2:$AO$502,MATCH($A221,'Réel 2024'!$A$2:$A$502,0),MATCH(Q$2,'Réel 2024'!$A$2:$AO$2,0))</f>
        <v>2994.06</v>
      </c>
      <c r="R221" s="252"/>
      <c r="S221" s="275">
        <f t="shared" si="24"/>
        <v>-2081.2399999999998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493</v>
      </c>
      <c r="B222" s="41" t="s">
        <v>161</v>
      </c>
      <c r="C222" s="252" t="s">
        <v>138</v>
      </c>
      <c r="D222" s="296"/>
      <c r="E222" s="41"/>
      <c r="F222" s="253">
        <f>+INDEX('Budget original'!$A$2:$AO$502,MATCH($A222,'Budget original'!$A$2:$A$502,0),MATCH(F$2,'Budget original'!$A$2:$AO$2,0))</f>
        <v>227.5</v>
      </c>
      <c r="G222" s="297"/>
      <c r="H222" s="41"/>
      <c r="I222" s="253"/>
      <c r="J222" s="252"/>
      <c r="K222" s="41"/>
      <c r="L222" s="255">
        <f>SUMIFS(BV_Data_An_Cour!$O:$O,BV_Data_An_Cour!$U:$U,$B222,BV_Data_An_Cour!$V:$V,$C222,BV_Data_An_Cour!$W:$W,$L$2)</f>
        <v>251.11</v>
      </c>
      <c r="M222" s="252"/>
      <c r="N222" s="275">
        <f t="shared" si="23"/>
        <v>23.610000000000014</v>
      </c>
      <c r="O222" s="252"/>
      <c r="P222" s="41"/>
      <c r="Q222" s="255">
        <f t="array" ref="Q222">+INDEX('Réel 2024'!$A$2:$AO$502,MATCH($A222,'Réel 2024'!$A$2:$A$502,0),MATCH(Q$2,'Réel 2024'!$A$2:$AO$2,0))</f>
        <v>161.29</v>
      </c>
      <c r="R222" s="252"/>
      <c r="S222" s="275">
        <f t="shared" si="24"/>
        <v>89.820000000000022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494</v>
      </c>
      <c r="B223" s="41" t="s">
        <v>161</v>
      </c>
      <c r="C223" s="252" t="s">
        <v>139</v>
      </c>
      <c r="D223" s="296"/>
      <c r="E223" s="41"/>
      <c r="F223" s="253">
        <f>+INDEX('Budget original'!$A$2:$AO$502,MATCH($A223,'Budget original'!$A$2:$A$502,0),MATCH(F$2,'Budget original'!$A$2:$AO$2,0))</f>
        <v>170.93999999999997</v>
      </c>
      <c r="G223" s="297"/>
      <c r="H223" s="41"/>
      <c r="I223" s="253"/>
      <c r="J223" s="252"/>
      <c r="K223" s="41"/>
      <c r="L223" s="255">
        <f>SUMIFS(BV_Data_An_Cour!$O:$O,BV_Data_An_Cour!$U:$U,$B223,BV_Data_An_Cour!$V:$V,$C223,BV_Data_An_Cour!$W:$W,$L$2)</f>
        <v>1313.4</v>
      </c>
      <c r="M223" s="252"/>
      <c r="N223" s="275">
        <f t="shared" si="23"/>
        <v>1142.46</v>
      </c>
      <c r="O223" s="252"/>
      <c r="P223" s="41"/>
      <c r="Q223" s="255">
        <f t="array" ref="Q223">+INDEX('Réel 2024'!$A$2:$AO$502,MATCH($A223,'Réel 2024'!$A$2:$A$502,0),MATCH(Q$2,'Réel 2024'!$A$2:$AO$2,0))</f>
        <v>40.950000000000003</v>
      </c>
      <c r="R223" s="252"/>
      <c r="S223" s="275">
        <f t="shared" si="24"/>
        <v>1272.45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495</v>
      </c>
      <c r="B224" s="41" t="s">
        <v>161</v>
      </c>
      <c r="C224" s="252" t="s">
        <v>140</v>
      </c>
      <c r="D224" s="296"/>
      <c r="E224" s="41"/>
      <c r="F224" s="253">
        <f>+INDEX('Budget original'!$A$2:$AO$502,MATCH($A224,'Budget original'!$A$2:$A$502,0),MATCH(F$2,'Budget original'!$A$2:$AO$2,0))</f>
        <v>90</v>
      </c>
      <c r="G224" s="297"/>
      <c r="H224" s="41"/>
      <c r="I224" s="253"/>
      <c r="J224" s="252"/>
      <c r="K224" s="41"/>
      <c r="L224" s="255">
        <f>SUMIFS(BV_Data_An_Cour!$O:$O,BV_Data_An_Cour!$U:$U,$B224,BV_Data_An_Cour!$V:$V,$C224,BV_Data_An_Cour!$W:$W,$L$2)</f>
        <v>14.14</v>
      </c>
      <c r="M224" s="252"/>
      <c r="N224" s="275">
        <f t="shared" si="23"/>
        <v>-75.86</v>
      </c>
      <c r="O224" s="252"/>
      <c r="P224" s="41"/>
      <c r="Q224" s="255">
        <f t="array" ref="Q224">+INDEX('Réel 2024'!$A$2:$AO$502,MATCH($A224,'Réel 2024'!$A$2:$A$502,0),MATCH(Q$2,'Réel 2024'!$A$2:$AO$2,0))</f>
        <v>47.04</v>
      </c>
      <c r="R224" s="252"/>
      <c r="S224" s="275">
        <f t="shared" si="24"/>
        <v>-32.9</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496</v>
      </c>
      <c r="B225" s="41" t="s">
        <v>161</v>
      </c>
      <c r="C225" s="252" t="s">
        <v>141</v>
      </c>
      <c r="D225" s="296"/>
      <c r="E225" s="41"/>
      <c r="F225" s="253">
        <f>+INDEX('Budget original'!$A$2:$AO$502,MATCH($A225,'Budget original'!$A$2:$A$502,0),MATCH(F$2,'Budget original'!$A$2:$AO$2,0))</f>
        <v>1666.6666666666667</v>
      </c>
      <c r="G225" s="297"/>
      <c r="H225" s="41"/>
      <c r="I225" s="253"/>
      <c r="J225" s="252"/>
      <c r="K225" s="41"/>
      <c r="L225" s="255">
        <f>SUMIFS(BV_Data_An_Cour!$O:$O,BV_Data_An_Cour!$U:$U,$B225,BV_Data_An_Cour!$V:$V,$C225,BV_Data_An_Cour!$W:$W,$L$2)</f>
        <v>1911.1</v>
      </c>
      <c r="M225" s="252"/>
      <c r="N225" s="275">
        <f t="shared" si="23"/>
        <v>244.43333333333317</v>
      </c>
      <c r="O225" s="252"/>
      <c r="P225" s="41"/>
      <c r="Q225" s="255">
        <f t="array" ref="Q225">+INDEX('Réel 2024'!$A$2:$AO$502,MATCH($A225,'Réel 2024'!$A$2:$A$502,0),MATCH(Q$2,'Réel 2024'!$A$2:$AO$2,0))</f>
        <v>1328.27</v>
      </c>
      <c r="R225" s="252"/>
      <c r="S225" s="275">
        <f t="shared" si="24"/>
        <v>582.82999999999993</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497</v>
      </c>
      <c r="B226" s="41" t="s">
        <v>161</v>
      </c>
      <c r="C226" s="252" t="s">
        <v>142</v>
      </c>
      <c r="D226" s="296"/>
      <c r="E226" s="41"/>
      <c r="F226" s="253">
        <f>+INDEX('Budget original'!$A$2:$AO$502,MATCH($A226,'Budget original'!$A$2:$A$502,0),MATCH(F$2,'Budget original'!$A$2:$AO$2,0))</f>
        <v>1978.57656844853</v>
      </c>
      <c r="G226" s="297"/>
      <c r="H226" s="41"/>
      <c r="I226" s="253"/>
      <c r="J226" s="252"/>
      <c r="K226" s="41"/>
      <c r="L226" s="255">
        <f>SUMIFS(BV_Data_An_Cour!$O:$O,BV_Data_An_Cour!$U:$U,$B226,BV_Data_An_Cour!$V:$V,$C226,BV_Data_An_Cour!$W:$W,$L$2)</f>
        <v>2101.98</v>
      </c>
      <c r="M226" s="252"/>
      <c r="N226" s="275">
        <f t="shared" si="23"/>
        <v>123.40343155147002</v>
      </c>
      <c r="O226" s="252"/>
      <c r="P226" s="41"/>
      <c r="Q226" s="255">
        <f t="array" ref="Q226">+INDEX('Réel 2024'!$A$2:$AO$502,MATCH($A226,'Réel 2024'!$A$2:$A$502,0),MATCH(Q$2,'Réel 2024'!$A$2:$AO$2,0))</f>
        <v>1951.19</v>
      </c>
      <c r="R226" s="252"/>
      <c r="S226" s="275">
        <f t="shared" si="24"/>
        <v>150.78999999999996</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476</v>
      </c>
      <c r="B227" s="41" t="s">
        <v>161</v>
      </c>
      <c r="C227" s="252" t="s">
        <v>59</v>
      </c>
      <c r="D227" s="296"/>
      <c r="E227" s="41"/>
      <c r="F227" s="253">
        <f>+INDEX('Budget original'!$A$2:$AO$502,MATCH($A227,'Budget original'!$A$2:$A$502,0),MATCH(F$2,'Budget original'!$A$2:$AO$2,0))</f>
        <v>0</v>
      </c>
      <c r="G227" s="297"/>
      <c r="H227" s="41"/>
      <c r="I227" s="253"/>
      <c r="J227" s="252"/>
      <c r="K227" s="41"/>
      <c r="L227" s="255">
        <f>SUMIFS(BV_Data_An_Cour!$O:$O,BV_Data_An_Cour!$U:$U,$B227,BV_Data_An_Cour!$V:$V,$C227,BV_Data_An_Cour!$W:$W,$L$2)</f>
        <v>0</v>
      </c>
      <c r="M227" s="252"/>
      <c r="N227" s="275">
        <f t="shared" si="23"/>
        <v>0</v>
      </c>
      <c r="O227" s="252"/>
      <c r="P227" s="41"/>
      <c r="Q227" s="255">
        <f t="array" ref="Q227">+INDEX('Réel 2024'!$A$2:$AO$502,MATCH($A227,'Réel 2024'!$A$2:$A$502,0),MATCH(Q$2,'Réel 2024'!$A$2:$AO$2,0))</f>
        <v>0</v>
      </c>
      <c r="R227" s="252"/>
      <c r="S227" s="275">
        <f t="shared" si="24"/>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476</v>
      </c>
      <c r="B228" s="41" t="s">
        <v>161</v>
      </c>
      <c r="C228" s="252" t="s">
        <v>59</v>
      </c>
      <c r="D228" s="296"/>
      <c r="E228" s="41"/>
      <c r="F228" s="253">
        <f>+INDEX('Budget original'!$A$2:$AO$502,MATCH($A228,'Budget original'!$A$2:$A$502,0),MATCH(F$2,'Budget original'!$A$2:$AO$2,0))</f>
        <v>0</v>
      </c>
      <c r="G228" s="297"/>
      <c r="H228" s="41"/>
      <c r="I228" s="253"/>
      <c r="J228" s="252"/>
      <c r="K228" s="41"/>
      <c r="L228" s="255">
        <f>SUMIFS(BV_Data_An_Cour!$O:$O,BV_Data_An_Cour!$U:$U,$B228,BV_Data_An_Cour!$V:$V,$C228,BV_Data_An_Cour!$W:$W,$L$2)</f>
        <v>0</v>
      </c>
      <c r="M228" s="252"/>
      <c r="N228" s="275">
        <f t="shared" si="23"/>
        <v>0</v>
      </c>
      <c r="O228" s="252"/>
      <c r="P228" s="41"/>
      <c r="Q228" s="255">
        <f t="array" ref="Q228">+INDEX('Réel 2024'!$A$2:$AO$502,MATCH($A228,'Réel 2024'!$A$2:$A$502,0),MATCH(Q$2,'Réel 2024'!$A$2:$AO$2,0))</f>
        <v>0</v>
      </c>
      <c r="R228" s="252"/>
      <c r="S228" s="275">
        <f t="shared" si="24"/>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476</v>
      </c>
      <c r="B229" s="41" t="s">
        <v>161</v>
      </c>
      <c r="C229" s="252" t="s">
        <v>59</v>
      </c>
      <c r="D229" s="296"/>
      <c r="E229" s="41"/>
      <c r="F229" s="253">
        <f>+INDEX('Budget original'!$A$2:$AO$502,MATCH($A229,'Budget original'!$A$2:$A$502,0),MATCH(F$2,'Budget original'!$A$2:$AO$2,0))</f>
        <v>0</v>
      </c>
      <c r="G229" s="297"/>
      <c r="H229" s="41"/>
      <c r="I229" s="253"/>
      <c r="J229" s="252"/>
      <c r="K229" s="41"/>
      <c r="L229" s="255">
        <f>SUMIFS(BV_Data_An_Cour!$O:$O,BV_Data_An_Cour!$U:$U,$B229,BV_Data_An_Cour!$V:$V,$C229,BV_Data_An_Cour!$W:$W,$L$2)</f>
        <v>0</v>
      </c>
      <c r="M229" s="252"/>
      <c r="N229" s="275">
        <f t="shared" si="23"/>
        <v>0</v>
      </c>
      <c r="O229" s="252"/>
      <c r="P229" s="41"/>
      <c r="Q229" s="255">
        <f t="array" ref="Q229">+INDEX('Réel 2024'!$A$2:$AO$502,MATCH($A229,'Réel 2024'!$A$2:$A$502,0),MATCH(Q$2,'Réel 2024'!$A$2:$AO$2,0))</f>
        <v>0</v>
      </c>
      <c r="R229" s="252"/>
      <c r="S229" s="275">
        <f t="shared" si="24"/>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0.22760082369421317</v>
      </c>
      <c r="F230" s="306">
        <f>+SUM(F212:F229)</f>
        <v>57254.439993994456</v>
      </c>
      <c r="G230" s="307"/>
      <c r="H230" s="305"/>
      <c r="I230" s="306"/>
      <c r="J230" s="307" t="s">
        <v>175</v>
      </c>
      <c r="K230" s="305">
        <f>L230/L$195</f>
        <v>0.23789495227015678</v>
      </c>
      <c r="L230" s="306">
        <f>+SUM(L212:L229)</f>
        <v>53261.63</v>
      </c>
      <c r="M230" s="310"/>
      <c r="N230" s="306">
        <f t="shared" si="23"/>
        <v>-3992.8099939944586</v>
      </c>
      <c r="O230" s="307" t="s">
        <v>175</v>
      </c>
      <c r="P230" s="305">
        <f>Q230/Q$195</f>
        <v>0.24654213011200271</v>
      </c>
      <c r="Q230" s="306">
        <f>+SUM(Q212:Q229)</f>
        <v>59491.4</v>
      </c>
      <c r="R230" s="310"/>
      <c r="S230" s="306">
        <f t="shared" si="24"/>
        <v>-6229.7700000000041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0.83348309209262372</v>
      </c>
      <c r="F232" s="306">
        <f>F211+F230</f>
        <v>209667.99200313876</v>
      </c>
      <c r="G232" s="307"/>
      <c r="H232" s="305"/>
      <c r="I232" s="306"/>
      <c r="J232" s="307" t="s">
        <v>119</v>
      </c>
      <c r="K232" s="305">
        <f>L232/L$195</f>
        <v>0.84904137878729824</v>
      </c>
      <c r="L232" s="306">
        <f>L211+L230</f>
        <v>190089.48</v>
      </c>
      <c r="M232" s="310"/>
      <c r="N232" s="319">
        <f>L232-F232</f>
        <v>-19578.512003138749</v>
      </c>
      <c r="O232" s="307" t="s">
        <v>119</v>
      </c>
      <c r="P232" s="305">
        <f>Q232/Q$195</f>
        <v>0.69540074026376286</v>
      </c>
      <c r="Q232" s="306">
        <f>Q211+Q230</f>
        <v>167802.41</v>
      </c>
      <c r="R232" s="310"/>
      <c r="S232" s="319">
        <f>L232-Q232</f>
        <v>22287.070000000007</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41888.391074442217</v>
      </c>
      <c r="G234" s="360"/>
      <c r="H234" s="332"/>
      <c r="I234" s="334"/>
      <c r="J234" s="331"/>
      <c r="K234" s="333"/>
      <c r="L234" s="334">
        <f>L195-L232</f>
        <v>33797.699999999983</v>
      </c>
      <c r="M234" s="331"/>
      <c r="N234" s="334">
        <f>L234-F234</f>
        <v>-8090.6910744422348</v>
      </c>
      <c r="O234" s="331"/>
      <c r="P234" s="981">
        <f>+Q234/P195</f>
        <v>0.21768795306756131</v>
      </c>
      <c r="Q234" s="334">
        <f>Q195-Q232</f>
        <v>73500.76999999996</v>
      </c>
      <c r="R234" s="331"/>
      <c r="S234" s="334">
        <f>L234-Q234</f>
        <v>-39703.069999999978</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38" t="str">
        <f>C1</f>
        <v>Volks</v>
      </c>
      <c r="D237" s="231"/>
      <c r="E237" s="231"/>
      <c r="F237" s="231"/>
      <c r="G237" s="231"/>
      <c r="H237" s="36"/>
      <c r="I237" s="36"/>
      <c r="J237" s="36"/>
      <c r="K237" s="9" t="s">
        <v>176</v>
      </c>
      <c r="L237" s="231"/>
      <c r="M237" s="231"/>
      <c r="N237" s="36"/>
      <c r="O237" s="36"/>
      <c r="P237" s="231"/>
      <c r="Q237" s="36"/>
      <c r="R237" s="231"/>
      <c r="S237" s="10" t="str">
        <f>$S$1</f>
        <v>Réalisé, Juillet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78" t="s">
        <v>343</v>
      </c>
      <c r="E239" s="1179"/>
      <c r="F239" s="1180"/>
      <c r="G239" s="1181"/>
      <c r="H239" s="1179"/>
      <c r="I239" s="1180"/>
      <c r="J239" s="1181" t="s">
        <v>344</v>
      </c>
      <c r="K239" s="1179"/>
      <c r="L239" s="1180"/>
      <c r="M239" s="1181" t="s">
        <v>3255</v>
      </c>
      <c r="N239" s="1180"/>
      <c r="O239" s="1178" t="s">
        <v>345</v>
      </c>
      <c r="P239" s="1179"/>
      <c r="Q239" s="1180"/>
      <c r="R239" s="1182" t="s">
        <v>3257</v>
      </c>
      <c r="S239" s="1183"/>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
        <v>176</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176</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498</v>
      </c>
      <c r="B242" s="41" t="s">
        <v>176</v>
      </c>
      <c r="C242" s="252" t="s">
        <v>177</v>
      </c>
      <c r="D242" s="399">
        <f>+INDEX('Budget original'!$A$2:$AO$502,MATCH($A242,'Budget original'!$A$2:$A$502,0),MATCH(D$2,'Budget original'!$A$2:$AO$2,0))</f>
        <v>0</v>
      </c>
      <c r="E242" s="290">
        <f>+INDEX('Budget original'!$A$2:$AO$502,MATCH($A242,'Budget original'!$A$2:$A$502,0),MATCH(E$2,'Budget original'!$A$2:$AO$2,0))</f>
        <v>86400</v>
      </c>
      <c r="F242" s="290">
        <f>+INDEX('Budget original'!$A$2:$AO$502,MATCH($A242,'Budget original'!$A$2:$A$502,0),MATCH(F$2,'Budget original'!$A$2:$AO$2,0))</f>
        <v>13824</v>
      </c>
      <c r="G242" s="321"/>
      <c r="H242" s="290"/>
      <c r="I242" s="290"/>
      <c r="J242" s="276">
        <f>-SUMIFS(BV_Data_An_Cour!$O:$O,BV_Data_An_Cour!$U:$U,$B242,BV_Data_An_Cour!$V:$V,$C242,BV_Data_An_Cour!$W:$W,J$2)</f>
        <v>48</v>
      </c>
      <c r="K242" s="253">
        <f>-SUMIFS(BV_Data_An_Cour!$O:$O,BV_Data_An_Cour!$X:$X,"Oui",BV_Data_An_Cour!$U:$U,$B242,BV_Data_An_Cour!$V:$V,$C242)</f>
        <v>104802.05</v>
      </c>
      <c r="L242" s="255">
        <f>-SUMIFS(BV_Data_An_Cour!$O:$O,BV_Data_An_Cour!$U:$U,$B242,BV_Data_An_Cour!$V:$V,$C242,BV_Data_An_Cour!$W:$W,$L$2)</f>
        <v>13683.170000000013</v>
      </c>
      <c r="M242" s="291">
        <f>IFERROR((K242-E242)/E242,0)</f>
        <v>0.21298668981481486</v>
      </c>
      <c r="N242" s="275">
        <f>L242-F242</f>
        <v>-140.82999999998719</v>
      </c>
      <c r="O242" s="276">
        <f t="array" ref="O242">+INDEX('Réel 2024'!$A$2:$AO$502,MATCH($A242,'Réel 2024'!$A$2:$A$502,0),MATCH(O$2,'Réel 2024'!$A$2:$AO$2,0))</f>
        <v>14</v>
      </c>
      <c r="P242" s="253">
        <f t="array" ref="P242">+INDEX('Réel 2024'!$A$2:$AO$502,MATCH($A242,'Réel 2024'!$A$2:$A$502,0),MATCH(P$2,'Réel 2024'!$A$2:$AO$2,0))</f>
        <v>50617.07</v>
      </c>
      <c r="Q242" s="255">
        <f t="array" ref="Q242">+INDEX('Réel 2024'!$A$2:$AO$502,MATCH($A242,'Réel 2024'!$A$2:$A$502,0),MATCH(Q$2,'Réel 2024'!$A$2:$AO$2,0))</f>
        <v>9648.5899999999892</v>
      </c>
      <c r="R242" s="291">
        <f>IF(O242=0,0,J242/O242)</f>
        <v>3.4285714285714284</v>
      </c>
      <c r="S242" s="275">
        <f>L242-Q242</f>
        <v>4034.5800000000236</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499</v>
      </c>
      <c r="B243" s="41" t="s">
        <v>176</v>
      </c>
      <c r="C243" s="252" t="s">
        <v>165</v>
      </c>
      <c r="D243" s="39"/>
      <c r="E243" s="348"/>
      <c r="F243" s="361">
        <f>IFERROR(F242/E242,0)</f>
        <v>0.16</v>
      </c>
      <c r="G243" s="252"/>
      <c r="H243" s="348"/>
      <c r="I243" s="361"/>
      <c r="J243" s="276"/>
      <c r="K243" s="41"/>
      <c r="L243" s="361">
        <f>IFERROR(L242/K242,0)</f>
        <v>0.13056204530350324</v>
      </c>
      <c r="M243" s="291"/>
      <c r="N243" s="275">
        <f>IFERROR(N242/M242,0)</f>
        <v>-661.21502767348693</v>
      </c>
      <c r="O243" s="276"/>
      <c r="P243" s="41"/>
      <c r="Q243" s="361">
        <f>IFERROR(Q242/P242,0)</f>
        <v>0.19061929108105208</v>
      </c>
      <c r="R243" s="276"/>
      <c r="S243" s="275">
        <f>IFERROR(S242/R242,0)</f>
        <v>1176.7525000000069</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176</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40" t="s">
        <v>178</v>
      </c>
      <c r="D245" s="365">
        <f>+INDEX('Budget original'!$A$2:$AO$502,MATCH($A245,'Budget original'!$A$2:$A$502,0),MATCH(D$2,'Budget original'!$A$2:$AO$2,0))</f>
        <v>0</v>
      </c>
      <c r="E245" s="290">
        <f>+INDEX('Budget original'!$A$2:$AO$502,MATCH($A245,'Budget original'!$A$2:$A$502,0),MATCH(E$2,'Budget original'!$A$2:$AO$2,0))</f>
        <v>0</v>
      </c>
      <c r="F245" s="290">
        <f>+INDEX('Budget original'!$A$2:$AO$502,MATCH($A245,'Budget original'!$A$2:$A$502,0),MATCH(F$2,'Budget original'!$A$2:$AO$2,0))</f>
        <v>0</v>
      </c>
      <c r="G245" s="401"/>
      <c r="H245" s="290"/>
      <c r="I245" s="290"/>
      <c r="J245" s="366">
        <f>SUMIFS(BV_Data_An_Cour!$C$1:$C$364,BV_Data_An_Cour!$V$1:$V$364,$C245,BV_Data_An_Cour!$U$1:$U$364,$K$237)</f>
        <v>0</v>
      </c>
      <c r="K245" s="270">
        <f>-SUMIFS(BV_Data_An_Cour!$O:$O,BV_Data_An_Cour!$X:$X,"Oui",BV_Data_An_Cour!$U:$U,$B245,BV_Data_An_Cour!$V:$V,$C245)</f>
        <v>0</v>
      </c>
      <c r="L245" s="271">
        <f>-SUMIFS(BV_Data_An_Cour!$O:$O,BV_Data_An_Cour!$U:$U,$B245,BV_Data_An_Cour!$V:$V,$C245,BV_Data_An_Cour!$W:$W,$L$2)</f>
        <v>0</v>
      </c>
      <c r="M245" s="370">
        <f>IFERROR((K245-E245)/E245,0)</f>
        <v>0</v>
      </c>
      <c r="N245" s="316">
        <f>L245-F245</f>
        <v>0</v>
      </c>
      <c r="O245" s="366">
        <f t="array" ref="O245">+INDEX('Réel 2024'!$A$2:$AO$502,MATCH($A245,'Réel 2024'!$A$2:$A$502,0),MATCH(O$2,'Réel 2024'!$A$2:$AO$2,0))</f>
        <v>0</v>
      </c>
      <c r="P245" s="270">
        <f t="array" ref="P245">+INDEX('Réel 2024'!$A$2:$AO$502,MATCH($A245,'Réel 2024'!$A$2:$A$502,0),MATCH(P$2,'Réel 2024'!$A$2:$AO$2,0))</f>
        <v>0</v>
      </c>
      <c r="Q245" s="271">
        <f t="array" ref="Q245">+INDEX('Réel 2024'!$A$2:$AO$502,MATCH($A245,'Réel 2024'!$A$2:$A$502,0),MATCH(Q$2,'Réel 2024'!$A$2:$AO$2,0))</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499</v>
      </c>
      <c r="B246" s="41" t="s">
        <v>176</v>
      </c>
      <c r="C246" s="252" t="s">
        <v>165</v>
      </c>
      <c r="D246" s="41"/>
      <c r="E246" s="348"/>
      <c r="F246" s="361" t="e">
        <f>F245/E245</f>
        <v>#DIV/0!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176</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501</v>
      </c>
      <c r="B248" s="41" t="s">
        <v>176</v>
      </c>
      <c r="C248" s="240" t="s">
        <v>179</v>
      </c>
      <c r="D248" s="365">
        <v>0</v>
      </c>
      <c r="E248" s="290">
        <v>0</v>
      </c>
      <c r="F248" s="290">
        <v>0</v>
      </c>
      <c r="G248" s="366"/>
      <c r="H248" s="290"/>
      <c r="I248" s="290"/>
      <c r="J248" s="366">
        <f>SUMIFS(BV_Data_An_Cour!$C$1:$C$364,BV_Data_An_Cour!$V$1:$V$364,$C248,BV_Data_An_Cour!$U$1:$U$364,$K$237)</f>
        <v>0</v>
      </c>
      <c r="K248" s="253">
        <f>-SUMIFS(BV_Data_An_Cour!$O:$O,BV_Data_An_Cour!$X:$X,"Oui",BV_Data_An_Cour!$U:$U,$B248,BV_Data_An_Cour!$V:$V,$C248)</f>
        <v>0</v>
      </c>
      <c r="L248" s="255">
        <f>-SUMIFS(BV_Data_An_Cour!$O:$O,BV_Data_An_Cour!$U:$U,$B248,BV_Data_An_Cour!$V:$V,$C248,BV_Data_An_Cour!$W:$W,$L$2)</f>
        <v>0</v>
      </c>
      <c r="M248" s="291">
        <f>IFERROR((K248-E248)/E248,0)</f>
        <v>0</v>
      </c>
      <c r="N248" s="316">
        <f>L248-F248</f>
        <v>0</v>
      </c>
      <c r="O248" s="366">
        <v>0</v>
      </c>
      <c r="P248" s="253">
        <v>0</v>
      </c>
      <c r="Q248" s="255">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499</v>
      </c>
      <c r="B249" s="41" t="s">
        <v>176</v>
      </c>
      <c r="C249" s="252" t="s">
        <v>165</v>
      </c>
      <c r="D249" s="41"/>
      <c r="E249" s="41"/>
      <c r="F249" s="361" t="e">
        <f>F248/E248</f>
        <v>#DIV/0!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176</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502</v>
      </c>
      <c r="B251" s="41" t="s">
        <v>176</v>
      </c>
      <c r="C251" s="277" t="s">
        <v>174</v>
      </c>
      <c r="D251" s="278"/>
      <c r="E251" s="278">
        <f>E245+E248+E242</f>
        <v>86400</v>
      </c>
      <c r="F251" s="280">
        <f>F245+F248+F242</f>
        <v>13824</v>
      </c>
      <c r="G251" s="281"/>
      <c r="H251" s="278"/>
      <c r="I251" s="280"/>
      <c r="J251" s="281"/>
      <c r="K251" s="278">
        <f>K245+K248+K242</f>
        <v>104802.05</v>
      </c>
      <c r="L251" s="280">
        <f>L245+L248+L242</f>
        <v>13683.170000000013</v>
      </c>
      <c r="M251" s="398">
        <f>L252-F252</f>
        <v>-2.9437954696496765E-2</v>
      </c>
      <c r="N251" s="280">
        <f>L251-F251</f>
        <v>-140.82999999998719</v>
      </c>
      <c r="O251" s="281"/>
      <c r="P251" s="278">
        <f>P245+P248+P242</f>
        <v>50617.07</v>
      </c>
      <c r="Q251" s="280">
        <f>Q245+Q248+Q242</f>
        <v>9648.5899999999892</v>
      </c>
      <c r="R251" s="404">
        <f>L252-Q252</f>
        <v>-6.005724577754884E-2</v>
      </c>
      <c r="S251" s="280">
        <f>L251-Q251</f>
        <v>4034.5800000000236</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
        <v>176</v>
      </c>
      <c r="B252" s="41" t="s">
        <v>176</v>
      </c>
      <c r="C252" s="282"/>
      <c r="D252" s="283"/>
      <c r="E252" s="283"/>
      <c r="F252" s="286">
        <f>F251/E251</f>
        <v>0.16</v>
      </c>
      <c r="G252" s="282"/>
      <c r="H252" s="283"/>
      <c r="I252" s="286"/>
      <c r="J252" s="282"/>
      <c r="K252" s="283"/>
      <c r="L252" s="286">
        <f>IF(K251=0,0,L251/K251)</f>
        <v>0.13056204530350324</v>
      </c>
      <c r="M252" s="285"/>
      <c r="N252" s="286">
        <f>N251/F251</f>
        <v>-1.0187355324073147E-2</v>
      </c>
      <c r="O252" s="282"/>
      <c r="P252" s="283"/>
      <c r="Q252" s="286">
        <f>Q251/P251</f>
        <v>0.19061929108105208</v>
      </c>
      <c r="R252" s="285"/>
      <c r="S252" s="286">
        <f>S251/Q251</f>
        <v>0.41815228960915823</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176</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503</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504</v>
      </c>
      <c r="B255" s="41" t="s">
        <v>176</v>
      </c>
      <c r="C255" s="311" t="s">
        <v>120</v>
      </c>
      <c r="D255" s="41"/>
      <c r="E255" s="41"/>
      <c r="F255" s="253">
        <f>+INDEX('Budget original'!$A$2:$AO$502,MATCH($A255,'Budget original'!$A$2:$A$502,0),MATCH(F$2,'Budget original'!$A$2:$AO$2,0))</f>
        <v>0</v>
      </c>
      <c r="G255" s="252"/>
      <c r="H255" s="41"/>
      <c r="I255" s="253"/>
      <c r="J255" s="252"/>
      <c r="K255" s="41"/>
      <c r="L255" s="255">
        <f>SUMIFS(BV_Data_An_Cour!$O:$O,BV_Data_An_Cour!$U:$U,$B255,BV_Data_An_Cour!$V:$V,$C255,BV_Data_An_Cour!$W:$W,$L$2)</f>
        <v>70</v>
      </c>
      <c r="M255" s="252"/>
      <c r="N255" s="275">
        <f t="shared" ref="N255:N285" si="25">L255-F255</f>
        <v>70</v>
      </c>
      <c r="O255" s="252"/>
      <c r="P255" s="41"/>
      <c r="Q255" s="255">
        <f t="array" ref="Q255">+INDEX('Réel 2024'!$A$2:$AO$502,MATCH($A255,'Réel 2024'!$A$2:$A$502,0),MATCH(Q$2,'Réel 2024'!$A$2:$AO$2,0))</f>
        <v>901.88</v>
      </c>
      <c r="R255" s="252"/>
      <c r="S255" s="255">
        <f t="shared" ref="S255:S286" si="26">L255-Q255</f>
        <v>-831.88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505</v>
      </c>
      <c r="B256" s="41" t="s">
        <v>176</v>
      </c>
      <c r="C256" s="312" t="s">
        <v>121</v>
      </c>
      <c r="D256" s="296"/>
      <c r="E256" s="41"/>
      <c r="F256" s="247">
        <f>+INDEX('Budget original'!$A$2:$AO$502,MATCH($A256,'Budget original'!$A$2:$A$502,0),MATCH(F$2,'Budget original'!$A$2:$AO$2,0))</f>
        <v>7002.8670184333323</v>
      </c>
      <c r="G256" s="297"/>
      <c r="H256" s="41"/>
      <c r="I256" s="247"/>
      <c r="J256" s="252"/>
      <c r="K256" s="41"/>
      <c r="L256" s="255">
        <f>SUMIFS(BV_Data_An_Cour!$O:$O,BV_Data_An_Cour!$U:$U,$B256,BV_Data_An_Cour!$V:$V,$C256,BV_Data_An_Cour!$W:$W,$L$2)</f>
        <v>5985.66</v>
      </c>
      <c r="M256" s="252"/>
      <c r="N256" s="275">
        <f t="shared" si="25"/>
        <v>-1017.2070184333325</v>
      </c>
      <c r="O256" s="252"/>
      <c r="P256" s="41"/>
      <c r="Q256" s="255">
        <f t="array" ref="Q256">+INDEX('Réel 2024'!$A$2:$AO$502,MATCH($A256,'Réel 2024'!$A$2:$A$502,0),MATCH(Q$2,'Réel 2024'!$A$2:$AO$2,0))</f>
        <v>1523.66</v>
      </c>
      <c r="R256" s="252"/>
      <c r="S256" s="275">
        <f t="shared" si="26"/>
        <v>4462</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506</v>
      </c>
      <c r="B257" s="41" t="s">
        <v>176</v>
      </c>
      <c r="C257" s="311" t="s">
        <v>122</v>
      </c>
      <c r="D257" s="313"/>
      <c r="E257" s="314"/>
      <c r="F257" s="253">
        <f>+INDEX('Budget original'!$A$2:$AO$502,MATCH($A257,'Budget original'!$A$2:$A$502,0),MATCH(F$2,'Budget original'!$A$2:$AO$2,0))</f>
        <v>0</v>
      </c>
      <c r="G257" s="315"/>
      <c r="H257" s="314"/>
      <c r="I257" s="253"/>
      <c r="J257" s="240"/>
      <c r="K257" s="314"/>
      <c r="L257" s="271">
        <f>SUMIFS(BV_Data_An_Cour!$O:$O,BV_Data_An_Cour!$U:$U,$B257,BV_Data_An_Cour!$V:$V,$C257,BV_Data_An_Cour!$W:$W,$L$2)</f>
        <v>0</v>
      </c>
      <c r="M257" s="240"/>
      <c r="N257" s="316">
        <f t="shared" si="25"/>
        <v>0</v>
      </c>
      <c r="O257" s="240"/>
      <c r="P257" s="314"/>
      <c r="Q257" s="271">
        <f t="array" ref="Q257">+INDEX('Réel 2024'!$A$2:$AO$502,MATCH($A257,'Réel 2024'!$A$2:$A$502,0),MATCH(Q$2,'Réel 2024'!$A$2:$AO$2,0))</f>
        <v>0.08</v>
      </c>
      <c r="R257" s="240"/>
      <c r="S257" s="316">
        <f t="shared" si="26"/>
        <v>-0.08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
        <v>507</v>
      </c>
      <c r="B258" s="41" t="s">
        <v>176</v>
      </c>
      <c r="C258" s="311" t="s">
        <v>123</v>
      </c>
      <c r="D258" s="296"/>
      <c r="E258" s="41"/>
      <c r="F258" s="253">
        <f>+INDEX('Budget original'!$A$2:$AO$502,MATCH($A258,'Budget original'!$A$2:$A$502,0),MATCH(F$2,'Budget original'!$A$2:$AO$2,0))</f>
        <v>0</v>
      </c>
      <c r="G258" s="297"/>
      <c r="H258" s="41"/>
      <c r="I258" s="253"/>
      <c r="J258" s="252"/>
      <c r="K258" s="41"/>
      <c r="L258" s="255">
        <f>SUMIFS(BV_Data_An_Cour!$O:$O,BV_Data_An_Cour!$U:$U,$B258,BV_Data_An_Cour!$V:$V,$C258,BV_Data_An_Cour!$W:$W,$L$2)</f>
        <v>0</v>
      </c>
      <c r="M258" s="252"/>
      <c r="N258" s="275">
        <f t="shared" si="25"/>
        <v>0</v>
      </c>
      <c r="O258" s="252"/>
      <c r="P258" s="41"/>
      <c r="Q258" s="255">
        <f t="array" ref="Q258">+INDEX('Réel 2024'!$A$2:$AO$502,MATCH($A258,'Réel 2024'!$A$2:$A$502,0),MATCH(Q$2,'Réel 2024'!$A$2:$AO$2,0))</f>
        <v>0</v>
      </c>
      <c r="R258" s="252"/>
      <c r="S258" s="275">
        <f t="shared" si="26"/>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508</v>
      </c>
      <c r="B259" s="41" t="s">
        <v>176</v>
      </c>
      <c r="C259" s="252" t="s">
        <v>59</v>
      </c>
      <c r="D259" s="296"/>
      <c r="E259" s="41"/>
      <c r="F259" s="253">
        <f>+INDEX('Budget original'!$A$2:$AO$502,MATCH($A259,'Budget original'!$A$2:$A$502,0),MATCH(F$2,'Budget original'!$A$2:$AO$2,0))</f>
        <v>0</v>
      </c>
      <c r="G259" s="297"/>
      <c r="H259" s="41"/>
      <c r="I259" s="253"/>
      <c r="J259" s="252"/>
      <c r="K259" s="41"/>
      <c r="L259" s="255">
        <f>SUMIFS(BV_Data_An_Cour!$O:$O,BV_Data_An_Cour!$U:$U,$B259,BV_Data_An_Cour!$V:$V,$C259,BV_Data_An_Cour!$W:$W,$L$2)</f>
        <v>0</v>
      </c>
      <c r="M259" s="252"/>
      <c r="N259" s="275">
        <f t="shared" si="25"/>
        <v>0</v>
      </c>
      <c r="O259" s="252"/>
      <c r="P259" s="41"/>
      <c r="Q259" s="255">
        <f t="array" ref="Q259">+INDEX('Réel 2024'!$A$2:$AO$502,MATCH($A259,'Réel 2024'!$A$2:$A$502,0),MATCH(Q$2,'Réel 2024'!$A$2:$AO$2,0))</f>
        <v>0</v>
      </c>
      <c r="R259" s="252"/>
      <c r="S259" s="275">
        <f t="shared" si="26"/>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508</v>
      </c>
      <c r="B260" s="41" t="s">
        <v>176</v>
      </c>
      <c r="C260" s="252" t="s">
        <v>59</v>
      </c>
      <c r="D260" s="296"/>
      <c r="E260" s="41"/>
      <c r="F260" s="253">
        <f>+INDEX('Budget original'!$A$2:$AO$502,MATCH($A260,'Budget original'!$A$2:$A$502,0),MATCH(F$2,'Budget original'!$A$2:$AO$2,0))</f>
        <v>0</v>
      </c>
      <c r="G260" s="297"/>
      <c r="H260" s="41"/>
      <c r="I260" s="253"/>
      <c r="J260" s="252"/>
      <c r="K260" s="41"/>
      <c r="L260" s="255">
        <f>SUMIFS(BV_Data_An_Cour!$O:$O,BV_Data_An_Cour!$U:$U,$B260,BV_Data_An_Cour!$V:$V,$C260,BV_Data_An_Cour!$W:$W,$L$2)</f>
        <v>0</v>
      </c>
      <c r="M260" s="252"/>
      <c r="N260" s="275">
        <f t="shared" si="25"/>
        <v>0</v>
      </c>
      <c r="O260" s="252"/>
      <c r="P260" s="41"/>
      <c r="Q260" s="255">
        <f t="array" ref="Q260">+INDEX('Réel 2024'!$A$2:$AO$502,MATCH($A260,'Réel 2024'!$A$2:$A$502,0),MATCH(Q$2,'Réel 2024'!$A$2:$AO$2,0))</f>
        <v>0</v>
      </c>
      <c r="R260" s="252"/>
      <c r="S260" s="275">
        <f t="shared" si="26"/>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508</v>
      </c>
      <c r="B261" s="41" t="s">
        <v>176</v>
      </c>
      <c r="C261" s="252" t="s">
        <v>59</v>
      </c>
      <c r="D261" s="296"/>
      <c r="E261" s="41"/>
      <c r="F261" s="253">
        <f>+INDEX('Budget original'!$A$2:$AO$502,MATCH($A261,'Budget original'!$A$2:$A$502,0),MATCH(F$2,'Budget original'!$A$2:$AO$2,0))</f>
        <v>0</v>
      </c>
      <c r="G261" s="297"/>
      <c r="H261" s="41"/>
      <c r="I261" s="253"/>
      <c r="J261" s="252"/>
      <c r="K261" s="41"/>
      <c r="L261" s="255">
        <f>SUMIFS(BV_Data_An_Cour!$O:$O,BV_Data_An_Cour!$U:$U,$B261,BV_Data_An_Cour!$V:$V,$C261,BV_Data_An_Cour!$W:$W,$L$2)</f>
        <v>0</v>
      </c>
      <c r="M261" s="252"/>
      <c r="N261" s="275">
        <f t="shared" si="25"/>
        <v>0</v>
      </c>
      <c r="O261" s="252"/>
      <c r="P261" s="41"/>
      <c r="Q261" s="255">
        <f t="array" ref="Q261">+INDEX('Réel 2024'!$A$2:$AO$502,MATCH($A261,'Réel 2024'!$A$2:$A$502,0),MATCH(Q$2,'Réel 2024'!$A$2:$AO$2,0))</f>
        <v>0</v>
      </c>
      <c r="R261" s="252"/>
      <c r="S261" s="275">
        <f t="shared" si="26"/>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509</v>
      </c>
      <c r="B262" s="41" t="s">
        <v>176</v>
      </c>
      <c r="C262" s="312" t="s">
        <v>124</v>
      </c>
      <c r="D262" s="296"/>
      <c r="E262" s="41"/>
      <c r="F262" s="247">
        <f>+INDEX('Budget original'!$A$2:$AO$502,MATCH($A262,'Budget original'!$A$2:$A$502,0),MATCH(F$2,'Budget original'!$A$2:$AO$2,0))</f>
        <v>841.12366359939483</v>
      </c>
      <c r="G262" s="297"/>
      <c r="H262" s="41"/>
      <c r="I262" s="247"/>
      <c r="J262" s="252"/>
      <c r="K262" s="41"/>
      <c r="L262" s="255">
        <f>SUMIFS(BV_Data_An_Cour!$O:$O,BV_Data_An_Cour!$U:$U,$B262,BV_Data_An_Cour!$V:$V,$C262,BV_Data_An_Cour!$W:$W,$L$2)</f>
        <v>928.39</v>
      </c>
      <c r="M262" s="252"/>
      <c r="N262" s="275">
        <f t="shared" si="25"/>
        <v>87.266336400605155</v>
      </c>
      <c r="O262" s="252"/>
      <c r="P262" s="41"/>
      <c r="Q262" s="255">
        <f t="array" ref="Q262">+INDEX('Réel 2024'!$A$2:$AO$502,MATCH($A262,'Réel 2024'!$A$2:$A$502,0),MATCH(Q$2,'Réel 2024'!$A$2:$AO$2,0))</f>
        <v>810.54</v>
      </c>
      <c r="R262" s="252"/>
      <c r="S262" s="275">
        <f t="shared" si="26"/>
        <v>117.85000000000002</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510</v>
      </c>
      <c r="B263" s="41" t="s">
        <v>176</v>
      </c>
      <c r="C263" s="311" t="s">
        <v>125</v>
      </c>
      <c r="D263" s="313"/>
      <c r="E263" s="314"/>
      <c r="F263" s="253">
        <f>+INDEX('Budget original'!$A$2:$AO$502,MATCH($A263,'Budget original'!$A$2:$A$502,0),MATCH(F$2,'Budget original'!$A$2:$AO$2,0))</f>
        <v>1022.6878024380308</v>
      </c>
      <c r="G263" s="315"/>
      <c r="H263" s="314"/>
      <c r="I263" s="253"/>
      <c r="J263" s="240"/>
      <c r="K263" s="314"/>
      <c r="L263" s="271">
        <f>SUMIFS(BV_Data_An_Cour!$O:$O,BV_Data_An_Cour!$U:$U,$B263,BV_Data_An_Cour!$V:$V,$C263,BV_Data_An_Cour!$W:$W,$L$2)</f>
        <v>1028.6199999999999</v>
      </c>
      <c r="M263" s="240"/>
      <c r="N263" s="316">
        <f t="shared" si="25"/>
        <v>5.9321975619691329</v>
      </c>
      <c r="O263" s="240"/>
      <c r="P263" s="314"/>
      <c r="Q263" s="271">
        <f t="array" ref="Q263">+INDEX('Réel 2024'!$A$2:$AO$502,MATCH($A263,'Réel 2024'!$A$2:$A$502,0),MATCH(Q$2,'Réel 2024'!$A$2:$AO$2,0))</f>
        <v>1273.5999999999999</v>
      </c>
      <c r="R263" s="240"/>
      <c r="S263" s="316">
        <f t="shared" si="26"/>
        <v>-244.98000000000002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511</v>
      </c>
      <c r="B264" s="41" t="s">
        <v>176</v>
      </c>
      <c r="C264" s="311" t="s">
        <v>126</v>
      </c>
      <c r="D264" s="296"/>
      <c r="E264" s="41"/>
      <c r="F264" s="253">
        <f>+INDEX('Budget original'!$A$2:$AO$502,MATCH($A264,'Budget original'!$A$2:$A$502,0),MATCH(F$2,'Budget original'!$A$2:$AO$2,0))</f>
        <v>526.90654169089839</v>
      </c>
      <c r="G264" s="297"/>
      <c r="H264" s="41"/>
      <c r="I264" s="253"/>
      <c r="J264" s="252"/>
      <c r="K264" s="41"/>
      <c r="L264" s="255">
        <f>SUMIFS(BV_Data_An_Cour!$O:$O,BV_Data_An_Cour!$U:$U,$B264,BV_Data_An_Cour!$V:$V,$C264,BV_Data_An_Cour!$W:$W,$L$2)</f>
        <v>282.95</v>
      </c>
      <c r="M264" s="252"/>
      <c r="N264" s="275">
        <f t="shared" si="25"/>
        <v>-243.9565416908984</v>
      </c>
      <c r="O264" s="252"/>
      <c r="P264" s="41"/>
      <c r="Q264" s="255">
        <f t="array" ref="Q264">+INDEX('Réel 2024'!$A$2:$AO$502,MATCH($A264,'Réel 2024'!$A$2:$A$502,0),MATCH(Q$2,'Réel 2024'!$A$2:$AO$2,0))</f>
        <v>111.41</v>
      </c>
      <c r="R264" s="252"/>
      <c r="S264" s="275">
        <f t="shared" si="26"/>
        <v>171.54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512</v>
      </c>
      <c r="B265" s="41" t="s">
        <v>176</v>
      </c>
      <c r="C265" s="311" t="s">
        <v>127</v>
      </c>
      <c r="D265" s="296"/>
      <c r="E265" s="41"/>
      <c r="F265" s="253">
        <f>+INDEX('Budget original'!$A$2:$AO$502,MATCH($A265,'Budget original'!$A$2:$A$502,0),MATCH(F$2,'Budget original'!$A$2:$AO$2,0))</f>
        <v>229.73421648970253</v>
      </c>
      <c r="G265" s="297"/>
      <c r="H265" s="41"/>
      <c r="I265" s="253"/>
      <c r="J265" s="252"/>
      <c r="K265" s="41"/>
      <c r="L265" s="255">
        <f>SUMIFS(BV_Data_An_Cour!$O:$O,BV_Data_An_Cour!$U:$U,$B265,BV_Data_An_Cour!$V:$V,$C265,BV_Data_An_Cour!$W:$W,$L$2)</f>
        <v>348.28</v>
      </c>
      <c r="M265" s="252"/>
      <c r="N265" s="275">
        <f t="shared" si="25"/>
        <v>118.54578351029744</v>
      </c>
      <c r="O265" s="252"/>
      <c r="P265" s="41"/>
      <c r="Q265" s="255">
        <f t="array" ref="Q265">+INDEX('Réel 2024'!$A$2:$AO$502,MATCH($A265,'Réel 2024'!$A$2:$A$502,0),MATCH(Q$2,'Réel 2024'!$A$2:$AO$2,0))</f>
        <v>299.07</v>
      </c>
      <c r="R265" s="252"/>
      <c r="S265" s="275">
        <f t="shared" si="26"/>
        <v>49.20999999999998</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508</v>
      </c>
      <c r="B266" s="41" t="s">
        <v>176</v>
      </c>
      <c r="C266" s="252" t="s">
        <v>59</v>
      </c>
      <c r="D266" s="298"/>
      <c r="E266" s="317"/>
      <c r="F266" s="253">
        <f>+INDEX('Budget original'!$A$2:$AO$502,MATCH($A266,'Budget original'!$A$2:$A$502,0),MATCH(F$2,'Budget original'!$A$2:$AO$2,0))</f>
        <v>0</v>
      </c>
      <c r="G266" s="299"/>
      <c r="H266" s="317"/>
      <c r="I266" s="253"/>
      <c r="J266" s="245"/>
      <c r="K266" s="317"/>
      <c r="L266" s="255">
        <f>SUMIFS(BV_Data_An_Cour!$O:$O,BV_Data_An_Cour!$U:$U,$B266,BV_Data_An_Cour!$V:$V,$C266,BV_Data_An_Cour!$W:$W,$L$2)</f>
        <v>0</v>
      </c>
      <c r="M266" s="245"/>
      <c r="N266" s="295">
        <f t="shared" si="25"/>
        <v>0</v>
      </c>
      <c r="O266" s="245"/>
      <c r="P266" s="317"/>
      <c r="Q266" s="255">
        <f t="array" ref="Q266">+INDEX('Réel 2024'!$A$2:$AO$502,MATCH($A266,'Réel 2024'!$A$2:$A$502,0),MATCH(Q$2,'Réel 2024'!$A$2:$AO$2,0))</f>
        <v>0</v>
      </c>
      <c r="R266" s="245"/>
      <c r="S266" s="295">
        <f t="shared" si="26"/>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513</v>
      </c>
      <c r="B267" s="41" t="s">
        <v>176</v>
      </c>
      <c r="C267" s="303" t="s">
        <v>128</v>
      </c>
      <c r="D267" s="304" t="s">
        <v>119</v>
      </c>
      <c r="E267" s="305">
        <f>F267/F$251</f>
        <v>0.6961313109556827</v>
      </c>
      <c r="F267" s="306">
        <f>+SUM(F255:F266)</f>
        <v>9623.3192426513579</v>
      </c>
      <c r="G267" s="307"/>
      <c r="H267" s="305"/>
      <c r="I267" s="306"/>
      <c r="J267" s="307" t="s">
        <v>119</v>
      </c>
      <c r="K267" s="305">
        <f>IF(L251=0,0,L267/L$251)</f>
        <v>0.63171765022286452</v>
      </c>
      <c r="L267" s="306">
        <f>+SUM(L255:L266)</f>
        <v>8643.9000000000015</v>
      </c>
      <c r="M267" s="354"/>
      <c r="N267" s="319">
        <f t="shared" si="25"/>
        <v>-979.4192426513564</v>
      </c>
      <c r="O267" s="307" t="s">
        <v>119</v>
      </c>
      <c r="P267" s="305">
        <f>IF(Q245=0,0,Q267/Q$245)</f>
        <v>0</v>
      </c>
      <c r="Q267" s="306">
        <f>+SUM(Q255:Q266)</f>
        <v>4920.24</v>
      </c>
      <c r="R267" s="354"/>
      <c r="S267" s="319">
        <f t="shared" si="26"/>
        <v>3723.6600000000017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514</v>
      </c>
      <c r="B268" s="41" t="s">
        <v>176</v>
      </c>
      <c r="C268" s="405" t="s">
        <v>129</v>
      </c>
      <c r="D268" s="296"/>
      <c r="E268" s="41"/>
      <c r="F268" s="253">
        <f>+INDEX('Budget original'!$A$2:$AO$502,MATCH($A268,'Budget original'!$A$2:$A$502,0),MATCH(F$2,'Budget original'!$A$2:$AO$2,0))</f>
        <v>0</v>
      </c>
      <c r="G268" s="297"/>
      <c r="H268" s="41"/>
      <c r="I268" s="253"/>
      <c r="J268" s="252"/>
      <c r="K268" s="41"/>
      <c r="L268" s="255">
        <f>SUMIFS(BV_Data_An_Cour!$O:$O,BV_Data_An_Cour!$U:$U,$B268,BV_Data_An_Cour!$V:$V,$C268,BV_Data_An_Cour!$W:$W,$L$2)</f>
        <v>63</v>
      </c>
      <c r="M268" s="252"/>
      <c r="N268" s="275">
        <f t="shared" si="25"/>
        <v>63</v>
      </c>
      <c r="O268" s="252"/>
      <c r="P268" s="41"/>
      <c r="Q268" s="275">
        <f t="array" ref="Q268">+INDEX('Réel 2024'!$A$2:$AO$502,MATCH($A268,'Réel 2024'!$A$2:$A$502,0),MATCH(Q$2,'Réel 2024'!$A$2:$AO$2,0))</f>
        <v>89.88</v>
      </c>
      <c r="R268" s="252"/>
      <c r="S268" s="275">
        <f t="shared" si="26"/>
        <v>-26.879999999999995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515</v>
      </c>
      <c r="B269" s="41" t="s">
        <v>176</v>
      </c>
      <c r="C269" s="311" t="s">
        <v>130</v>
      </c>
      <c r="D269" s="296"/>
      <c r="E269" s="41"/>
      <c r="F269" s="253">
        <f>+INDEX('Budget original'!$A$2:$AO$502,MATCH($A269,'Budget original'!$A$2:$A$502,0),MATCH(F$2,'Budget original'!$A$2:$AO$2,0))</f>
        <v>561.67798128057109</v>
      </c>
      <c r="G269" s="297"/>
      <c r="H269" s="41"/>
      <c r="I269" s="253"/>
      <c r="J269" s="252"/>
      <c r="K269" s="41"/>
      <c r="L269" s="255">
        <f>SUMIFS(BV_Data_An_Cour!$O:$O,BV_Data_An_Cour!$U:$U,$B269,BV_Data_An_Cour!$V:$V,$C269,BV_Data_An_Cour!$W:$W,$L$2)</f>
        <v>2020.4</v>
      </c>
      <c r="M269" s="252"/>
      <c r="N269" s="275">
        <f t="shared" si="25"/>
        <v>1458.7220187194289</v>
      </c>
      <c r="O269" s="252"/>
      <c r="P269" s="41"/>
      <c r="Q269" s="275">
        <f t="array" ref="Q269">+INDEX('Réel 2024'!$A$2:$AO$502,MATCH($A269,'Réel 2024'!$A$2:$A$502,0),MATCH(Q$2,'Réel 2024'!$A$2:$AO$2,0))</f>
        <v>0</v>
      </c>
      <c r="R269" s="252"/>
      <c r="S269" s="275">
        <f t="shared" si="26"/>
        <v>2020.4</v>
      </c>
      <c r="T269" s="41"/>
      <c r="U269" s="999"/>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516</v>
      </c>
      <c r="B270" s="41" t="s">
        <v>176</v>
      </c>
      <c r="C270" s="312" t="s">
        <v>131</v>
      </c>
      <c r="D270" s="298"/>
      <c r="E270" s="317"/>
      <c r="F270" s="247">
        <f>+INDEX('Budget original'!$A$2:$AO$502,MATCH($A270,'Budget original'!$A$2:$A$502,0),MATCH(F$2,'Budget original'!$A$2:$AO$2,0))</f>
        <v>124.50360000000001</v>
      </c>
      <c r="G270" s="299"/>
      <c r="H270" s="317"/>
      <c r="I270" s="247"/>
      <c r="J270" s="245"/>
      <c r="K270" s="317"/>
      <c r="L270" s="255">
        <f>SUMIFS(BV_Data_An_Cour!$O:$O,BV_Data_An_Cour!$U:$U,$B270,BV_Data_An_Cour!$V:$V,$C270,BV_Data_An_Cour!$W:$W,$L$2)</f>
        <v>166.72</v>
      </c>
      <c r="M270" s="245"/>
      <c r="N270" s="295">
        <f t="shared" si="25"/>
        <v>42.216399999999993</v>
      </c>
      <c r="O270" s="245"/>
      <c r="P270" s="317"/>
      <c r="Q270" s="295">
        <f t="array" ref="Q270">+INDEX('Réel 2024'!$A$2:$AO$502,MATCH($A270,'Réel 2024'!$A$2:$A$502,0),MATCH(Q$2,'Réel 2024'!$A$2:$AO$2,0))</f>
        <v>157.77000000000001</v>
      </c>
      <c r="R270" s="245"/>
      <c r="S270" s="295">
        <f t="shared" si="26"/>
        <v>8.9499999999999886</v>
      </c>
      <c r="T270" s="41"/>
      <c r="U270" s="41" t="s">
        <v>337</v>
      </c>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517</v>
      </c>
      <c r="B271" s="41" t="s">
        <v>176</v>
      </c>
      <c r="C271" s="311" t="s">
        <v>132</v>
      </c>
      <c r="D271" s="296"/>
      <c r="E271" s="41"/>
      <c r="F271" s="253">
        <f>+INDEX('Budget original'!$A$2:$AO$502,MATCH($A271,'Budget original'!$A$2:$A$502,0),MATCH(F$2,'Budget original'!$A$2:$AO$2,0))</f>
        <v>1690</v>
      </c>
      <c r="G271" s="297"/>
      <c r="H271" s="41"/>
      <c r="I271" s="253"/>
      <c r="J271" s="252"/>
      <c r="K271" s="41"/>
      <c r="L271" s="271">
        <f>SUMIFS(BV_Data_An_Cour!$O:$O,BV_Data_An_Cour!$U:$U,$B271,BV_Data_An_Cour!$V:$V,$C271,BV_Data_An_Cour!$W:$W,$L$2)</f>
        <v>1838.88</v>
      </c>
      <c r="M271" s="252"/>
      <c r="N271" s="275">
        <f t="shared" si="25"/>
        <v>148.88000000000011</v>
      </c>
      <c r="O271" s="252"/>
      <c r="P271" s="41"/>
      <c r="Q271" s="275">
        <f t="array" ref="Q271">+INDEX('Réel 2024'!$A$2:$AO$502,MATCH($A271,'Réel 2024'!$A$2:$A$502,0),MATCH(Q$2,'Réel 2024'!$A$2:$AO$2,0))</f>
        <v>1544.79</v>
      </c>
      <c r="R271" s="252"/>
      <c r="S271" s="275">
        <f t="shared" si="26"/>
        <v>294.09000000000015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518</v>
      </c>
      <c r="B272" s="41" t="s">
        <v>176</v>
      </c>
      <c r="C272" s="311" t="s">
        <v>133</v>
      </c>
      <c r="D272" s="296"/>
      <c r="E272" s="41"/>
      <c r="F272" s="253">
        <f>+INDEX('Budget original'!$A$2:$AO$502,MATCH($A272,'Budget original'!$A$2:$A$502,0),MATCH(F$2,'Budget original'!$A$2:$AO$2,0))</f>
        <v>250</v>
      </c>
      <c r="G272" s="297"/>
      <c r="H272" s="41"/>
      <c r="I272" s="253"/>
      <c r="J272" s="252"/>
      <c r="K272" s="41"/>
      <c r="L272" s="255">
        <f>SUMIFS(BV_Data_An_Cour!$O:$O,BV_Data_An_Cour!$U:$U,$B272,BV_Data_An_Cour!$V:$V,$C272,BV_Data_An_Cour!$W:$W,$L$2)</f>
        <v>69.23</v>
      </c>
      <c r="M272" s="252"/>
      <c r="N272" s="275">
        <f t="shared" si="25"/>
        <v>-180.76999999999998</v>
      </c>
      <c r="O272" s="252"/>
      <c r="P272" s="41"/>
      <c r="Q272" s="275">
        <f t="array" ref="Q272">+INDEX('Réel 2024'!$A$2:$AO$502,MATCH($A272,'Réel 2024'!$A$2:$A$502,0),MATCH(Q$2,'Réel 2024'!$A$2:$AO$2,0))</f>
        <v>179.64</v>
      </c>
      <c r="R272" s="252"/>
      <c r="S272" s="275">
        <f t="shared" si="26"/>
        <v>-110.40999999999998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519</v>
      </c>
      <c r="B273" s="41" t="s">
        <v>176</v>
      </c>
      <c r="C273" s="311" t="s">
        <v>134</v>
      </c>
      <c r="D273" s="298"/>
      <c r="E273" s="317"/>
      <c r="F273" s="247">
        <f>+INDEX('Budget original'!$A$2:$AO$502,MATCH($A273,'Budget original'!$A$2:$A$502,0),MATCH(F$2,'Budget original'!$A$2:$AO$2,0))</f>
        <v>793.87000000000012</v>
      </c>
      <c r="G273" s="299"/>
      <c r="H273" s="317"/>
      <c r="I273" s="247"/>
      <c r="J273" s="245"/>
      <c r="K273" s="317"/>
      <c r="L273" s="255">
        <f>SUMIFS(BV_Data_An_Cour!$O:$O,BV_Data_An_Cour!$U:$U,$B273,BV_Data_An_Cour!$V:$V,$C273,BV_Data_An_Cour!$W:$W,$L$2)</f>
        <v>781.21</v>
      </c>
      <c r="M273" s="245"/>
      <c r="N273" s="295">
        <f t="shared" si="25"/>
        <v>-12.660000000000082</v>
      </c>
      <c r="O273" s="245"/>
      <c r="P273" s="317"/>
      <c r="Q273" s="295">
        <f t="array" ref="Q273">+INDEX('Réel 2024'!$A$2:$AO$502,MATCH($A273,'Réel 2024'!$A$2:$A$502,0),MATCH(Q$2,'Réel 2024'!$A$2:$AO$2,0))</f>
        <v>987.01</v>
      </c>
      <c r="R273" s="245"/>
      <c r="S273" s="295">
        <f t="shared" si="26"/>
        <v>-205.79999999999995</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520</v>
      </c>
      <c r="B274" s="41" t="s">
        <v>176</v>
      </c>
      <c r="C274" s="405" t="s">
        <v>489</v>
      </c>
      <c r="D274" s="296"/>
      <c r="E274" s="41"/>
      <c r="F274" s="253"/>
      <c r="G274" s="297"/>
      <c r="H274" s="41"/>
      <c r="I274" s="253"/>
      <c r="J274" s="252"/>
      <c r="K274" s="41"/>
      <c r="L274" s="271">
        <f>SUMIFS(BV_Data_An_Cour!$O:$O,BV_Data_An_Cour!$U:$U,$B274,BV_Data_An_Cour!$V:$V,$C274,BV_Data_An_Cour!$W:$W,$L$2)</f>
        <v>0</v>
      </c>
      <c r="M274" s="252"/>
      <c r="N274" s="275">
        <f t="shared" si="25"/>
        <v>0</v>
      </c>
      <c r="O274" s="252"/>
      <c r="P274" s="41"/>
      <c r="Q274" s="275">
        <f t="array" ref="Q274">+INDEX('Réel 2024'!$A$2:$AO$502,MATCH($A274,'Réel 2024'!$A$2:$A$502,0),MATCH(Q$2,'Réel 2024'!$A$2:$AO$2,0))</f>
        <v>0</v>
      </c>
      <c r="R274" s="252"/>
      <c r="S274" s="275">
        <f t="shared" si="26"/>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521</v>
      </c>
      <c r="B275" s="41" t="s">
        <v>176</v>
      </c>
      <c r="C275" s="311" t="s">
        <v>135</v>
      </c>
      <c r="D275" s="296"/>
      <c r="E275" s="41"/>
      <c r="F275" s="253">
        <f>+INDEX('Budget original'!$A$2:$AO$502,MATCH($A275,'Budget original'!$A$2:$A$502,0),MATCH(F$2,'Budget original'!$A$2:$AO$2,0))</f>
        <v>0</v>
      </c>
      <c r="G275" s="297"/>
      <c r="H275" s="41"/>
      <c r="I275" s="253"/>
      <c r="J275" s="252"/>
      <c r="K275" s="41"/>
      <c r="L275" s="255">
        <f>SUMIFS(BV_Data_An_Cour!$O:$O,BV_Data_An_Cour!$U:$U,$B275,BV_Data_An_Cour!$V:$V,$C275,BV_Data_An_Cour!$W:$W,$L$2)</f>
        <v>0</v>
      </c>
      <c r="M275" s="252"/>
      <c r="N275" s="275">
        <f t="shared" si="25"/>
        <v>0</v>
      </c>
      <c r="O275" s="252"/>
      <c r="P275" s="41"/>
      <c r="Q275" s="275">
        <f t="array" ref="Q275">+INDEX('Réel 2024'!$A$2:$AO$502,MATCH($A275,'Réel 2024'!$A$2:$A$502,0),MATCH(Q$2,'Réel 2024'!$A$2:$AO$2,0))</f>
        <v>0</v>
      </c>
      <c r="R275" s="252"/>
      <c r="S275" s="275">
        <f t="shared" si="26"/>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522</v>
      </c>
      <c r="B276" s="41" t="s">
        <v>176</v>
      </c>
      <c r="C276" s="311" t="s">
        <v>136</v>
      </c>
      <c r="D276" s="296"/>
      <c r="E276" s="41"/>
      <c r="F276" s="253">
        <f>+INDEX('Budget original'!$A$2:$AO$502,MATCH($A276,'Budget original'!$A$2:$A$502,0),MATCH(F$2,'Budget original'!$A$2:$AO$2,0))</f>
        <v>0</v>
      </c>
      <c r="G276" s="297"/>
      <c r="H276" s="41"/>
      <c r="I276" s="253"/>
      <c r="J276" s="252"/>
      <c r="K276" s="41"/>
      <c r="L276" s="255">
        <f>SUMIFS(BV_Data_An_Cour!$O:$O,BV_Data_An_Cour!$U:$U,$B276,BV_Data_An_Cour!$V:$V,$C276,BV_Data_An_Cour!$W:$W,$L$2)</f>
        <v>0</v>
      </c>
      <c r="M276" s="252"/>
      <c r="N276" s="275">
        <f t="shared" si="25"/>
        <v>0</v>
      </c>
      <c r="O276" s="252"/>
      <c r="P276" s="41"/>
      <c r="Q276" s="275">
        <f t="array" ref="Q276">+INDEX('Réel 2024'!$A$2:$AO$502,MATCH($A276,'Réel 2024'!$A$2:$A$502,0),MATCH(Q$2,'Réel 2024'!$A$2:$AO$2,0))</f>
        <v>0</v>
      </c>
      <c r="R276" s="252"/>
      <c r="S276" s="275">
        <f t="shared" si="26"/>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523</v>
      </c>
      <c r="B277" s="41" t="s">
        <v>176</v>
      </c>
      <c r="C277" s="311" t="s">
        <v>137</v>
      </c>
      <c r="D277" s="296"/>
      <c r="E277" s="41"/>
      <c r="F277" s="253">
        <f>+INDEX('Budget original'!$A$2:$AO$502,MATCH($A277,'Budget original'!$A$2:$A$502,0),MATCH(F$2,'Budget original'!$A$2:$AO$2,0))</f>
        <v>119</v>
      </c>
      <c r="G277" s="297"/>
      <c r="H277" s="41"/>
      <c r="I277" s="253"/>
      <c r="J277" s="252"/>
      <c r="K277" s="41"/>
      <c r="L277" s="255">
        <f>SUMIFS(BV_Data_An_Cour!$O:$O,BV_Data_An_Cour!$U:$U,$B277,BV_Data_An_Cour!$V:$V,$C277,BV_Data_An_Cour!$W:$W,$L$2)</f>
        <v>107.47</v>
      </c>
      <c r="M277" s="252"/>
      <c r="N277" s="275">
        <f t="shared" si="25"/>
        <v>-11.530000000000001</v>
      </c>
      <c r="O277" s="252"/>
      <c r="P277" s="41"/>
      <c r="Q277" s="275">
        <f t="array" ref="Q277">+INDEX('Réel 2024'!$A$2:$AO$502,MATCH($A277,'Réel 2024'!$A$2:$A$502,0),MATCH(Q$2,'Réel 2024'!$A$2:$AO$2,0))</f>
        <v>47.8</v>
      </c>
      <c r="R277" s="252"/>
      <c r="S277" s="275">
        <f t="shared" si="26"/>
        <v>59.67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524</v>
      </c>
      <c r="B278" s="41" t="s">
        <v>176</v>
      </c>
      <c r="C278" s="311" t="s">
        <v>138</v>
      </c>
      <c r="D278" s="296"/>
      <c r="E278" s="41"/>
      <c r="F278" s="253">
        <f>+INDEX('Budget original'!$A$2:$AO$502,MATCH($A278,'Budget original'!$A$2:$A$502,0),MATCH(F$2,'Budget original'!$A$2:$AO$2,0))</f>
        <v>30.625</v>
      </c>
      <c r="G278" s="297"/>
      <c r="H278" s="41"/>
      <c r="I278" s="253"/>
      <c r="J278" s="252"/>
      <c r="K278" s="41"/>
      <c r="L278" s="255">
        <f>SUMIFS(BV_Data_An_Cour!$O:$O,BV_Data_An_Cour!$U:$U,$B278,BV_Data_An_Cour!$V:$V,$C278,BV_Data_An_Cour!$W:$W,$L$2)</f>
        <v>19.41</v>
      </c>
      <c r="M278" s="252"/>
      <c r="N278" s="275">
        <f t="shared" si="25"/>
        <v>-11.215</v>
      </c>
      <c r="O278" s="252"/>
      <c r="P278" s="41"/>
      <c r="Q278" s="275">
        <f t="array" ref="Q278">+INDEX('Réel 2024'!$A$2:$AO$502,MATCH($A278,'Réel 2024'!$A$2:$A$502,0),MATCH(Q$2,'Réel 2024'!$A$2:$AO$2,0))</f>
        <v>17.43</v>
      </c>
      <c r="R278" s="252"/>
      <c r="S278" s="275">
        <f t="shared" si="26"/>
        <v>1.9800000000000004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525</v>
      </c>
      <c r="B279" s="41" t="s">
        <v>176</v>
      </c>
      <c r="C279" s="311" t="s">
        <v>139</v>
      </c>
      <c r="D279" s="296"/>
      <c r="E279" s="41"/>
      <c r="F279" s="253">
        <f>+INDEX('Budget original'!$A$2:$AO$502,MATCH($A279,'Budget original'!$A$2:$A$502,0),MATCH(F$2,'Budget original'!$A$2:$AO$2,0))</f>
        <v>49.857500000000009</v>
      </c>
      <c r="G279" s="297"/>
      <c r="H279" s="41"/>
      <c r="I279" s="253"/>
      <c r="J279" s="252"/>
      <c r="K279" s="41"/>
      <c r="L279" s="255">
        <f>SUMIFS(BV_Data_An_Cour!$O:$O,BV_Data_An_Cour!$U:$U,$B279,BV_Data_An_Cour!$V:$V,$C279,BV_Data_An_Cour!$W:$W,$L$2)</f>
        <v>19.86</v>
      </c>
      <c r="M279" s="252"/>
      <c r="N279" s="275">
        <f t="shared" si="25"/>
        <v>-29.997500000000009</v>
      </c>
      <c r="O279" s="252"/>
      <c r="P279" s="41"/>
      <c r="Q279" s="275">
        <f t="array" ref="Q279">+INDEX('Réel 2024'!$A$2:$AO$502,MATCH($A279,'Réel 2024'!$A$2:$A$502,0),MATCH(Q$2,'Réel 2024'!$A$2:$AO$2,0))</f>
        <v>11.94</v>
      </c>
      <c r="R279" s="252"/>
      <c r="S279" s="275">
        <f t="shared" si="26"/>
        <v>7.92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526</v>
      </c>
      <c r="B280" s="41" t="s">
        <v>176</v>
      </c>
      <c r="C280" s="311" t="s">
        <v>140</v>
      </c>
      <c r="D280" s="296"/>
      <c r="E280" s="41"/>
      <c r="F280" s="253">
        <f>+INDEX('Budget original'!$A$2:$AO$502,MATCH($A280,'Budget original'!$A$2:$A$502,0),MATCH(F$2,'Budget original'!$A$2:$AO$2,0))</f>
        <v>26.250000000000004</v>
      </c>
      <c r="G280" s="297"/>
      <c r="H280" s="41"/>
      <c r="I280" s="253"/>
      <c r="J280" s="252"/>
      <c r="K280" s="41"/>
      <c r="L280" s="255">
        <f>SUMIFS(BV_Data_An_Cour!$O:$O,BV_Data_An_Cour!$U:$U,$B280,BV_Data_An_Cour!$V:$V,$C280,BV_Data_An_Cour!$W:$W,$L$2)</f>
        <v>4.12</v>
      </c>
      <c r="M280" s="252"/>
      <c r="N280" s="275">
        <f t="shared" si="25"/>
        <v>-22.130000000000003</v>
      </c>
      <c r="O280" s="252"/>
      <c r="P280" s="41"/>
      <c r="Q280" s="275">
        <f t="array" ref="Q280">+INDEX('Réel 2024'!$A$2:$AO$502,MATCH($A280,'Réel 2024'!$A$2:$A$502,0),MATCH(Q$2,'Réel 2024'!$A$2:$AO$2,0))</f>
        <v>13.72</v>
      </c>
      <c r="R280" s="252"/>
      <c r="S280" s="275">
        <f t="shared" si="26"/>
        <v>-9.6000000000000014</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527</v>
      </c>
      <c r="B281" s="41" t="s">
        <v>176</v>
      </c>
      <c r="C281" s="311" t="s">
        <v>141</v>
      </c>
      <c r="D281" s="296"/>
      <c r="E281" s="41"/>
      <c r="F281" s="253">
        <f>+INDEX('Budget original'!$A$2:$AO$502,MATCH($A281,'Budget original'!$A$2:$A$502,0),MATCH(F$2,'Budget original'!$A$2:$AO$2,0))</f>
        <v>166.66666666666666</v>
      </c>
      <c r="G281" s="297"/>
      <c r="H281" s="41"/>
      <c r="I281" s="253"/>
      <c r="J281" s="252"/>
      <c r="K281" s="41"/>
      <c r="L281" s="255">
        <f>SUMIFS(BV_Data_An_Cour!$O:$O,BV_Data_An_Cour!$U:$U,$B281,BV_Data_An_Cour!$V:$V,$C281,BV_Data_An_Cour!$W:$W,$L$2)</f>
        <v>0</v>
      </c>
      <c r="M281" s="252"/>
      <c r="N281" s="275">
        <f t="shared" si="25"/>
        <v>-166.66666666666666</v>
      </c>
      <c r="O281" s="252"/>
      <c r="P281" s="41"/>
      <c r="Q281" s="275">
        <f t="array" ref="Q281">+INDEX('Réel 2024'!$A$2:$AO$502,MATCH($A281,'Réel 2024'!$A$2:$A$502,0),MATCH(Q$2,'Réel 2024'!$A$2:$AO$2,0))</f>
        <v>131.96</v>
      </c>
      <c r="R281" s="252"/>
      <c r="S281" s="275">
        <f t="shared" si="26"/>
        <v>-131.96</v>
      </c>
      <c r="T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
        <v>528</v>
      </c>
      <c r="B282" s="41" t="s">
        <v>176</v>
      </c>
      <c r="C282" s="311" t="s">
        <v>142</v>
      </c>
      <c r="D282" s="296"/>
      <c r="E282" s="41"/>
      <c r="F282" s="253">
        <f>+INDEX('Budget original'!$A$2:$AO$502,MATCH($A282,'Budget original'!$A$2:$A$502,0),MATCH(F$2,'Budget original'!$A$2:$AO$2,0))</f>
        <v>215.75700630747684</v>
      </c>
      <c r="G282" s="297"/>
      <c r="H282" s="41"/>
      <c r="I282" s="253"/>
      <c r="J282" s="252"/>
      <c r="K282" s="41"/>
      <c r="L282" s="255">
        <f>SUMIFS(BV_Data_An_Cour!$O:$O,BV_Data_An_Cour!$U:$U,$B282,BV_Data_An_Cour!$V:$V,$C282,BV_Data_An_Cour!$W:$W,$L$2)</f>
        <v>233.56</v>
      </c>
      <c r="M282" s="252"/>
      <c r="N282" s="275">
        <f t="shared" si="25"/>
        <v>17.80299369252316</v>
      </c>
      <c r="O282" s="252"/>
      <c r="P282" s="41"/>
      <c r="Q282" s="275">
        <f t="array" ref="Q282">+INDEX('Réel 2024'!$A$2:$AO$502,MATCH($A282,'Réel 2024'!$A$2:$A$502,0),MATCH(Q$2,'Réel 2024'!$A$2:$AO$2,0))</f>
        <v>216.81</v>
      </c>
      <c r="R282" s="252"/>
      <c r="S282" s="275">
        <f t="shared" si="26"/>
        <v>16.75</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508</v>
      </c>
      <c r="B283" s="41" t="s">
        <v>176</v>
      </c>
      <c r="C283" s="311" t="s">
        <v>59</v>
      </c>
      <c r="D283" s="296"/>
      <c r="E283" s="41"/>
      <c r="F283" s="253">
        <f>+INDEX('Budget original'!$A$2:$AO$502,MATCH($A283,'Budget original'!$A$2:$A$502,0),MATCH(F$2,'Budget original'!$A$2:$AO$2,0))</f>
        <v>0</v>
      </c>
      <c r="G283" s="297"/>
      <c r="H283" s="41"/>
      <c r="I283" s="253"/>
      <c r="J283" s="252"/>
      <c r="K283" s="41"/>
      <c r="L283" s="255">
        <f>SUMIFS(BV_Data_An_Cour!$O:$O,BV_Data_An_Cour!$U:$U,$B283,BV_Data_An_Cour!$V:$V,$C283,BV_Data_An_Cour!$W:$W,$L$2)</f>
        <v>0</v>
      </c>
      <c r="M283" s="252"/>
      <c r="N283" s="275">
        <f t="shared" si="25"/>
        <v>0</v>
      </c>
      <c r="O283" s="252"/>
      <c r="P283" s="41"/>
      <c r="Q283" s="255">
        <f t="array" ref="Q283">+INDEX('Réel 2024'!$A$2:$AO$502,MATCH($A283,'Réel 2024'!$A$2:$A$502,0),MATCH(Q$2,'Réel 2024'!$A$2:$AO$2,0))</f>
        <v>0</v>
      </c>
      <c r="R283" s="252"/>
      <c r="S283" s="275">
        <f t="shared" si="26"/>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508</v>
      </c>
      <c r="B284" s="41" t="s">
        <v>176</v>
      </c>
      <c r="C284" s="311" t="s">
        <v>59</v>
      </c>
      <c r="D284" s="296"/>
      <c r="E284" s="41"/>
      <c r="F284" s="253">
        <f>+INDEX('Budget original'!$A$2:$AO$502,MATCH($A284,'Budget original'!$A$2:$A$502,0),MATCH(F$2,'Budget original'!$A$2:$AO$2,0))</f>
        <v>0</v>
      </c>
      <c r="G284" s="297"/>
      <c r="H284" s="41"/>
      <c r="I284" s="253"/>
      <c r="J284" s="252"/>
      <c r="K284" s="41"/>
      <c r="L284" s="255">
        <f>SUMIFS(BV_Data_An_Cour!$O:$O,BV_Data_An_Cour!$U:$U,$B284,BV_Data_An_Cour!$V:$V,$C284,BV_Data_An_Cour!$W:$W,$L$2)</f>
        <v>0</v>
      </c>
      <c r="M284" s="252"/>
      <c r="N284" s="275">
        <f t="shared" si="25"/>
        <v>0</v>
      </c>
      <c r="O284" s="252"/>
      <c r="P284" s="41"/>
      <c r="Q284" s="255">
        <f t="array" ref="Q284">+INDEX('Réel 2024'!$A$2:$AO$502,MATCH($A284,'Réel 2024'!$A$2:$A$502,0),MATCH(Q$2,'Réel 2024'!$A$2:$AO$2,0))</f>
        <v>0</v>
      </c>
      <c r="R284" s="252"/>
      <c r="S284" s="275">
        <f t="shared" si="26"/>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508</v>
      </c>
      <c r="B285" s="41" t="s">
        <v>176</v>
      </c>
      <c r="C285" s="311" t="s">
        <v>59</v>
      </c>
      <c r="D285" s="296"/>
      <c r="E285" s="41"/>
      <c r="F285" s="253">
        <f>+INDEX('Budget original'!$A$2:$AO$502,MATCH($A285,'Budget original'!$A$2:$A$502,0),MATCH(F$2,'Budget original'!$A$2:$AO$2,0))</f>
        <v>0</v>
      </c>
      <c r="G285" s="297"/>
      <c r="H285" s="41"/>
      <c r="I285" s="253"/>
      <c r="J285" s="252"/>
      <c r="K285" s="41"/>
      <c r="L285" s="255">
        <f>SUMIFS(BV_Data_An_Cour!$O:$O,BV_Data_An_Cour!$U:$U,$B285,BV_Data_An_Cour!$V:$V,$C285,BV_Data_An_Cour!$W:$W,$L$2)</f>
        <v>0</v>
      </c>
      <c r="M285" s="252"/>
      <c r="N285" s="275">
        <f t="shared" si="25"/>
        <v>0</v>
      </c>
      <c r="O285" s="252"/>
      <c r="P285" s="41"/>
      <c r="Q285" s="255">
        <f t="array" ref="Q285">+INDEX('Réel 2024'!$A$2:$AO$502,MATCH($A285,'Réel 2024'!$A$2:$A$502,0),MATCH(Q$2,'Réel 2024'!$A$2:$AO$2,0))</f>
        <v>0</v>
      </c>
      <c r="R285" s="252"/>
      <c r="S285" s="275">
        <f t="shared" si="26"/>
        <v>0</v>
      </c>
      <c r="T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t="e">
        <f>F286/F$245</f>
        <v>#DIV/0!</v>
      </c>
      <c r="F286" s="306">
        <f>+SUM(F268:F285)</f>
        <v>4028.2077542547149</v>
      </c>
      <c r="G286" s="307"/>
      <c r="H286" s="305"/>
      <c r="I286" s="306"/>
      <c r="J286" s="307" t="s">
        <v>119</v>
      </c>
      <c r="K286" s="305">
        <f>L286/L$251</f>
        <v>0.38908089280481017</v>
      </c>
      <c r="L286" s="306">
        <f>+SUM(L268:L285)</f>
        <v>5323.86</v>
      </c>
      <c r="M286" s="310"/>
      <c r="N286" s="306">
        <f>+SUM(N268:N285)</f>
        <v>1295.6522457452854</v>
      </c>
      <c r="O286" s="307" t="s">
        <v>119</v>
      </c>
      <c r="P286" s="305">
        <f>IF(Q$245=0,0,Q286/Q$245)</f>
        <v>0</v>
      </c>
      <c r="Q286" s="306">
        <f>+SUM(Q268:Q285)</f>
        <v>3398.75</v>
      </c>
      <c r="R286" s="310"/>
      <c r="S286" s="306">
        <f t="shared" si="26"/>
        <v>1925.1099999999997</v>
      </c>
      <c r="T286" s="1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t="e">
        <f>F288/F$245</f>
        <v>#DIV/0!</v>
      </c>
      <c r="F288" s="306">
        <f>F267+F286</f>
        <v>13651.526996906072</v>
      </c>
      <c r="G288" s="307"/>
      <c r="H288" s="305"/>
      <c r="I288" s="306"/>
      <c r="J288" s="307" t="s">
        <v>119</v>
      </c>
      <c r="K288" s="305">
        <f>L288/L$251</f>
        <v>1.0207985430276747</v>
      </c>
      <c r="L288" s="306">
        <f>L267+L286</f>
        <v>13967.760000000002</v>
      </c>
      <c r="M288" s="310"/>
      <c r="N288" s="319">
        <f>L288-F288</f>
        <v>316.23300309393017</v>
      </c>
      <c r="O288" s="307" t="s">
        <v>119</v>
      </c>
      <c r="P288" s="305">
        <f>IF(Q$245=0,0,Q288/Q$245)</f>
        <v>0</v>
      </c>
      <c r="Q288" s="306">
        <f>Q267+Q286</f>
        <v>8318.99</v>
      </c>
      <c r="R288" s="310"/>
      <c r="S288" s="319">
        <f>L288-Q288</f>
        <v>5648.7700000000023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customHeight="1">
      <c r="B290" s="41"/>
      <c r="C290" s="331" t="s">
        <v>151</v>
      </c>
      <c r="D290" s="359"/>
      <c r="E290" s="332"/>
      <c r="F290" s="334">
        <f>F251-F288</f>
        <v>172.47300309392813</v>
      </c>
      <c r="G290" s="360"/>
      <c r="H290" s="332"/>
      <c r="I290" s="334"/>
      <c r="J290" s="331"/>
      <c r="K290" s="333"/>
      <c r="L290" s="334">
        <f>L251-L288</f>
        <v>-284.58999999998923</v>
      </c>
      <c r="M290" s="331"/>
      <c r="N290" s="334">
        <f>L290-F290</f>
        <v>-457.06300309391736</v>
      </c>
      <c r="O290" s="331"/>
      <c r="P290" s="981">
        <f>+Q290/P251</f>
        <v>2.6267818346656365E-2</v>
      </c>
      <c r="Q290" s="334">
        <f>Q251-Q288</f>
        <v>1329.5999999999894</v>
      </c>
      <c r="R290" s="331"/>
      <c r="S290" s="334">
        <f>L290-Q290</f>
        <v>-1614.1899999999787</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8" t="str">
        <f>C1</f>
        <v>Volks</v>
      </c>
      <c r="D292" s="231"/>
      <c r="E292" s="231"/>
      <c r="F292" s="231"/>
      <c r="G292" s="231"/>
      <c r="H292" s="36"/>
      <c r="I292" s="36"/>
      <c r="J292" s="36"/>
      <c r="K292" s="9" t="s">
        <v>180</v>
      </c>
      <c r="L292" s="231"/>
      <c r="M292" s="231"/>
      <c r="N292" s="36"/>
      <c r="O292" s="36"/>
      <c r="P292" s="231"/>
      <c r="Q292" s="36"/>
      <c r="R292" s="231"/>
      <c r="S292" s="10" t="str">
        <f>$S$1</f>
        <v>Réalisé, Juillet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78" t="s">
        <v>343</v>
      </c>
      <c r="E294" s="1179"/>
      <c r="F294" s="1180"/>
      <c r="G294" s="1181"/>
      <c r="H294" s="1179"/>
      <c r="I294" s="1180"/>
      <c r="J294" s="1181" t="s">
        <v>344</v>
      </c>
      <c r="K294" s="1179"/>
      <c r="L294" s="1180"/>
      <c r="M294" s="1181" t="s">
        <v>3255</v>
      </c>
      <c r="N294" s="1180"/>
      <c r="O294" s="1178" t="s">
        <v>345</v>
      </c>
      <c r="P294" s="1179"/>
      <c r="Q294" s="1180"/>
      <c r="R294" s="1182" t="s">
        <v>3257</v>
      </c>
      <c r="S294" s="118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180</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530</v>
      </c>
      <c r="B296" s="41" t="s">
        <v>180</v>
      </c>
      <c r="C296" s="252" t="s">
        <v>182</v>
      </c>
      <c r="D296" s="290">
        <f>+INDEX('Budget original'!$A$2:$AO$502,MATCH($A296,'Budget original'!$A$2:$A$502,0),MATCH(D$2,'Budget original'!$A$2:$AO$2,0))</f>
        <v>96068.004417132979</v>
      </c>
      <c r="E296" s="352">
        <f>IF(D296=0,0,F296/D296)</f>
        <v>0.35</v>
      </c>
      <c r="F296" s="275">
        <f>+INDEX('Budget original'!$A$2:$AO$502,MATCH($A296,'Budget original'!$A$2:$A$502,0),MATCH(F$2,'Budget original'!$A$2:$AO$2,0))</f>
        <v>33623.801545996539</v>
      </c>
      <c r="G296" s="290"/>
      <c r="H296" s="352"/>
      <c r="I296" s="275"/>
      <c r="J296" s="253">
        <f>-SUMIFS(BV_Data_An_Cour!$O:$O,BV_Data_An_Cour!$X:$X,"Oui",BV_Data_An_Cour!$U:$U,$B296,BV_Data_An_Cour!$V:$V,$C296)</f>
        <v>110185.62999999999</v>
      </c>
      <c r="K296" s="352">
        <f t="shared" ref="K296:K305" si="27">IF(J296&lt;=0,0,L296/J296)</f>
        <v>0.36545228266154128</v>
      </c>
      <c r="L296" s="275">
        <f>-SUMIFS(BV_Data_An_Cour!$O:$O,BV_Data_An_Cour!$U:$U,$B296,BV_Data_An_Cour!$V:$V,$C296,BV_Data_An_Cour!$W:$W,$L$2)</f>
        <v>40267.589999999997</v>
      </c>
      <c r="M296" s="291">
        <f t="shared" ref="M296:M302" si="28">(+J296-D296)/D296</f>
        <v>0.14695450028885207</v>
      </c>
      <c r="N296" s="275">
        <f t="shared" ref="N296:N305" si="29">L296-F296</f>
        <v>6643.7884540034574</v>
      </c>
      <c r="O296" s="253">
        <f t="array" ref="O296">+INDEX('Réel 2024'!$A$2:$AO$502,MATCH($A296,'Réel 2024'!$A$2:$A$502,0),MATCH(O$2,'Réel 2024'!$A$2:$AO$2,0))</f>
        <v>87058.76</v>
      </c>
      <c r="P296" s="352">
        <f t="shared" ref="P296:P304" si="30">IF(O296=0,0,Q296/O296)</f>
        <v>0.34657282047205706</v>
      </c>
      <c r="Q296" s="275">
        <f t="array" ref="Q296">+INDEX('Réel 2024'!$A$2:$AO$502,MATCH($A296,'Réel 2024'!$A$2:$A$502,0),MATCH(Q$2,'Réel 2024'!$A$2:$AO$2,0))</f>
        <v>30172.199999999899</v>
      </c>
      <c r="R296" s="291">
        <f t="shared" ref="R296:R305" si="31">IF(O296=0,0,(J296-O296)/O296)</f>
        <v>0.26564667358000499</v>
      </c>
      <c r="S296" s="275">
        <f t="shared" ref="S296:S305" si="32">L296-Q296</f>
        <v>10095.390000000098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531</v>
      </c>
      <c r="B297" s="41" t="s">
        <v>180</v>
      </c>
      <c r="C297" s="252" t="s">
        <v>183</v>
      </c>
      <c r="D297" s="290">
        <f>+INDEX('Budget original'!$A$2:$AO$502,MATCH($A297,'Budget original'!$A$2:$A$502,0),MATCH(D$2,'Budget original'!$A$2:$AO$2,0))</f>
        <v>48000</v>
      </c>
      <c r="E297" s="352">
        <f t="shared" ref="E297:E304" si="33">IF(D297=0,0,F297/D297)</f>
        <v>0.23400000000000001</v>
      </c>
      <c r="F297" s="275">
        <f>+INDEX('Budget original'!$A$2:$AO$502,MATCH($A297,'Budget original'!$A$2:$A$502,0),MATCH(F$2,'Budget original'!$A$2:$AO$2,0))</f>
        <v>11232</v>
      </c>
      <c r="G297" s="290"/>
      <c r="H297" s="352"/>
      <c r="I297" s="275"/>
      <c r="J297" s="253">
        <f>-SUMIFS(BV_Data_An_Cour!$O:$O,BV_Data_An_Cour!$X:$X,"Oui",BV_Data_An_Cour!$U:$U,$B297,BV_Data_An_Cour!$V:$V,$C297)</f>
        <v>54655.420000000006</v>
      </c>
      <c r="K297" s="352">
        <f t="shared" si="27"/>
        <v>0.24030041302399649</v>
      </c>
      <c r="L297" s="275">
        <f>-SUMIFS(BV_Data_An_Cour!$O:$O,BV_Data_An_Cour!$U:$U,$B297,BV_Data_An_Cour!$V:$V,$C297,BV_Data_An_Cour!$W:$W,$L$2)</f>
        <v>13133.72</v>
      </c>
      <c r="M297" s="291">
        <f t="shared" si="28"/>
        <v>0.13865458333333344</v>
      </c>
      <c r="N297" s="275">
        <f t="shared" si="29"/>
        <v>1901.7199999999993</v>
      </c>
      <c r="O297" s="253">
        <f t="array" ref="O297">+INDEX('Réel 2024'!$A$2:$AO$502,MATCH($A297,'Réel 2024'!$A$2:$A$502,0),MATCH(O$2,'Réel 2024'!$A$2:$AO$2,0))</f>
        <v>18886.29</v>
      </c>
      <c r="P297" s="352">
        <f t="shared" si="30"/>
        <v>0.23393848130045655</v>
      </c>
      <c r="Q297" s="275">
        <f t="array" ref="Q297">+INDEX('Réel 2024'!$A$2:$AO$502,MATCH($A297,'Réel 2024'!$A$2:$A$502,0),MATCH(Q$2,'Réel 2024'!$A$2:$AO$2,0))</f>
        <v>4418.2299999999996</v>
      </c>
      <c r="R297" s="291">
        <f t="shared" si="31"/>
        <v>1.8939204046956815</v>
      </c>
      <c r="S297" s="275">
        <f t="shared" si="32"/>
        <v>8715.49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532</v>
      </c>
      <c r="B298" s="41" t="s">
        <v>180</v>
      </c>
      <c r="C298" s="252" t="s">
        <v>184</v>
      </c>
      <c r="D298" s="290">
        <f>+INDEX('Budget original'!$A$2:$AO$502,MATCH($A298,'Budget original'!$A$2:$A$502,0),MATCH(D$2,'Budget original'!$A$2:$AO$2,0))</f>
        <v>69585.891939010864</v>
      </c>
      <c r="E298" s="352">
        <f t="shared" si="33"/>
        <v>0.23300000000000001</v>
      </c>
      <c r="F298" s="275">
        <f>+INDEX('Budget original'!$A$2:$AO$502,MATCH($A298,'Budget original'!$A$2:$A$502,0),MATCH(F$2,'Budget original'!$A$2:$AO$2,0))</f>
        <v>16213.512821789533</v>
      </c>
      <c r="G298" s="290"/>
      <c r="H298" s="352"/>
      <c r="I298" s="275"/>
      <c r="J298" s="253">
        <f>-SUMIFS(BV_Data_An_Cour!$O:$O,BV_Data_An_Cour!$X:$X,"Oui",BV_Data_An_Cour!$U:$U,$B298,BV_Data_An_Cour!$V:$V,$C298)</f>
        <v>62954.92</v>
      </c>
      <c r="K298" s="352">
        <f t="shared" si="27"/>
        <v>0.23292889578765244</v>
      </c>
      <c r="L298" s="275">
        <f>-SUMIFS(BV_Data_An_Cour!$O:$O,BV_Data_An_Cour!$U:$U,$B298,BV_Data_An_Cour!$V:$V,$C298,BV_Data_An_Cour!$W:$W,$L$2)</f>
        <v>14664.019999999997</v>
      </c>
      <c r="M298" s="291">
        <f t="shared" si="28"/>
        <v>-9.5291901192020884E-2</v>
      </c>
      <c r="N298" s="275">
        <f t="shared" si="29"/>
        <v>-1549.4928217895358</v>
      </c>
      <c r="O298" s="253">
        <f t="array" ref="O298">+INDEX('Réel 2024'!$A$2:$AO$502,MATCH($A298,'Réel 2024'!$A$2:$A$502,0),MATCH(O$2,'Réel 2024'!$A$2:$AO$2,0))</f>
        <v>95506.71</v>
      </c>
      <c r="P298" s="352">
        <f t="shared" si="30"/>
        <v>0.23560993777295858</v>
      </c>
      <c r="Q298" s="275">
        <f t="array" ref="Q298">+INDEX('Réel 2024'!$A$2:$AO$502,MATCH($A298,'Réel 2024'!$A$2:$A$502,0),MATCH(Q$2,'Réel 2024'!$A$2:$AO$2,0))</f>
        <v>22502.33</v>
      </c>
      <c r="R298" s="291">
        <f t="shared" si="31"/>
        <v>-0.34083249229294993</v>
      </c>
      <c r="S298" s="275">
        <f t="shared" si="32"/>
        <v>-7838.3100000000049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533</v>
      </c>
      <c r="B299" s="41" t="s">
        <v>180</v>
      </c>
      <c r="C299" s="252" t="s">
        <v>185</v>
      </c>
      <c r="D299" s="290">
        <f>+INDEX('Budget original'!$A$2:$AO$502,MATCH($A299,'Budget original'!$A$2:$A$502,0),MATCH(D$2,'Budget original'!$A$2:$AO$2,0))</f>
        <v>81982.141147775255</v>
      </c>
      <c r="E299" s="352">
        <f t="shared" si="33"/>
        <v>0.28499999999999998</v>
      </c>
      <c r="F299" s="275">
        <f>+INDEX('Budget original'!$A$2:$AO$502,MATCH($A299,'Budget original'!$A$2:$A$502,0),MATCH(F$2,'Budget original'!$A$2:$AO$2,0))</f>
        <v>23364.910227115946</v>
      </c>
      <c r="G299" s="290"/>
      <c r="H299" s="352"/>
      <c r="I299" s="275"/>
      <c r="J299" s="253">
        <f>-SUMIFS(BV_Data_An_Cour!$O:$O,BV_Data_An_Cour!$X:$X,"Oui",BV_Data_An_Cour!$U:$U,$B299,BV_Data_An_Cour!$V:$V,$C299)</f>
        <v>46969.1</v>
      </c>
      <c r="K299" s="352">
        <f t="shared" si="27"/>
        <v>0.28727503826984113</v>
      </c>
      <c r="L299" s="275">
        <f>-SUMIFS(BV_Data_An_Cour!$O:$O,BV_Data_An_Cour!$U:$U,$B299,BV_Data_An_Cour!$V:$V,$C299,BV_Data_An_Cour!$W:$W,$L$2)</f>
        <v>13493.049999999996</v>
      </c>
      <c r="M299" s="291">
        <f t="shared" si="28"/>
        <v>-0.42708132109727659</v>
      </c>
      <c r="N299" s="275">
        <f t="shared" si="29"/>
        <v>-9871.8602271159507</v>
      </c>
      <c r="O299" s="253">
        <f t="array" ref="O299">+INDEX('Réel 2024'!$A$2:$AO$502,MATCH($A299,'Réel 2024'!$A$2:$A$502,0),MATCH(O$2,'Réel 2024'!$A$2:$AO$2,0))</f>
        <v>73676.91</v>
      </c>
      <c r="P299" s="352">
        <f t="shared" si="30"/>
        <v>0.28959995743578282</v>
      </c>
      <c r="Q299" s="275">
        <f t="array" ref="Q299">+INDEX('Réel 2024'!$A$2:$AO$502,MATCH($A299,'Réel 2024'!$A$2:$A$502,0),MATCH(Q$2,'Réel 2024'!$A$2:$AO$2,0))</f>
        <v>21336.83</v>
      </c>
      <c r="R299" s="291">
        <f t="shared" si="31"/>
        <v>-0.36249905160246276</v>
      </c>
      <c r="S299" s="275">
        <f t="shared" si="32"/>
        <v>-7843.7800000000061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534</v>
      </c>
      <c r="B300" s="41" t="s">
        <v>180</v>
      </c>
      <c r="C300" s="252" t="s">
        <v>186</v>
      </c>
      <c r="D300" s="290">
        <f>+INDEX('Budget original'!$A$2:$AO$502,MATCH($A300,'Budget original'!$A$2:$A$502,0),MATCH(D$2,'Budget original'!$A$2:$AO$2,0))</f>
        <v>16976.693761963077</v>
      </c>
      <c r="E300" s="352">
        <f t="shared" si="33"/>
        <v>0.28499999999999998</v>
      </c>
      <c r="F300" s="275">
        <f>+INDEX('Budget original'!$A$2:$AO$502,MATCH($A300,'Budget original'!$A$2:$A$502,0),MATCH(F$2,'Budget original'!$A$2:$AO$2,0))</f>
        <v>4838.3577221594769</v>
      </c>
      <c r="G300" s="290"/>
      <c r="H300" s="352"/>
      <c r="I300" s="275"/>
      <c r="J300" s="253">
        <f>-SUMIFS(BV_Data_An_Cour!$O:$O,BV_Data_An_Cour!$X:$X,"Oui",BV_Data_An_Cour!$U:$U,$B300,BV_Data_An_Cour!$V:$V,$C300)</f>
        <v>11521.28</v>
      </c>
      <c r="K300" s="352">
        <f t="shared" si="27"/>
        <v>0.33979471030996561</v>
      </c>
      <c r="L300" s="275">
        <f>-SUMIFS(BV_Data_An_Cour!$O:$O,BV_Data_An_Cour!$U:$U,$B300,BV_Data_An_Cour!$V:$V,$C300,BV_Data_An_Cour!$W:$W,$L$2)</f>
        <v>3914.8700000000008</v>
      </c>
      <c r="M300" s="291">
        <f t="shared" si="28"/>
        <v>-0.32134724454923824</v>
      </c>
      <c r="N300" s="275">
        <f t="shared" si="29"/>
        <v>-923.48772215947611</v>
      </c>
      <c r="O300" s="253">
        <f t="array" ref="O300">+INDEX('Réel 2024'!$A$2:$AO$502,MATCH($A300,'Réel 2024'!$A$2:$A$502,0),MATCH(O$2,'Réel 2024'!$A$2:$AO$2,0))</f>
        <v>15743.02</v>
      </c>
      <c r="P300" s="352">
        <f t="shared" si="30"/>
        <v>0.29404713962124163</v>
      </c>
      <c r="Q300" s="275">
        <f t="array" ref="Q300">+INDEX('Réel 2024'!$A$2:$AO$502,MATCH($A300,'Réel 2024'!$A$2:$A$502,0),MATCH(Q$2,'Réel 2024'!$A$2:$AO$2,0))</f>
        <v>4629.1899999999996</v>
      </c>
      <c r="R300" s="291">
        <f t="shared" si="31"/>
        <v>-0.26816582841157538</v>
      </c>
      <c r="S300" s="275">
        <f t="shared" si="32"/>
        <v>-714.3199999999988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535</v>
      </c>
      <c r="B301" s="41" t="s">
        <v>180</v>
      </c>
      <c r="C301" s="252" t="s">
        <v>187</v>
      </c>
      <c r="D301" s="290">
        <f>+INDEX('Budget original'!$A$2:$AO$502,MATCH($A301,'Budget original'!$A$2:$A$502,0),MATCH(D$2,'Budget original'!$A$2:$AO$2,0))</f>
        <v>158824.7935810585</v>
      </c>
      <c r="E301" s="352">
        <f t="shared" si="33"/>
        <v>0.13500000000000001</v>
      </c>
      <c r="F301" s="275">
        <f>+INDEX('Budget original'!$A$2:$AO$502,MATCH($A301,'Budget original'!$A$2:$A$502,0),MATCH(F$2,'Budget original'!$A$2:$AO$2,0))</f>
        <v>21441.347133442898</v>
      </c>
      <c r="G301" s="290"/>
      <c r="H301" s="352"/>
      <c r="I301" s="275"/>
      <c r="J301" s="253">
        <f>-SUMIFS(BV_Data_An_Cour!$O:$O,BV_Data_An_Cour!$X:$X,"Oui",BV_Data_An_Cour!$U:$U,$B301,BV_Data_An_Cour!$V:$V,$C301)</f>
        <v>257011.99</v>
      </c>
      <c r="K301" s="352">
        <f t="shared" si="27"/>
        <v>0.12518314807025144</v>
      </c>
      <c r="L301" s="275">
        <f>-SUMIFS(BV_Data_An_Cour!$O:$O,BV_Data_An_Cour!$U:$U,$B301,BV_Data_An_Cour!$V:$V,$C301,BV_Data_An_Cour!$W:$W,$L$2)</f>
        <v>32173.569999999978</v>
      </c>
      <c r="M301" s="291">
        <f t="shared" si="28"/>
        <v>0.61821076045554724</v>
      </c>
      <c r="N301" s="275">
        <f t="shared" si="29"/>
        <v>10732.22286655708</v>
      </c>
      <c r="O301" s="253">
        <f t="array" ref="O301">+INDEX('Réel 2024'!$A$2:$AO$502,MATCH($A301,'Réel 2024'!$A$2:$A$502,0),MATCH(O$2,'Réel 2024'!$A$2:$AO$2,0))</f>
        <v>186492.61</v>
      </c>
      <c r="P301" s="352">
        <f t="shared" si="30"/>
        <v>0.13094845956630616</v>
      </c>
      <c r="Q301" s="275">
        <f t="array" ref="Q301">+INDEX('Réel 2024'!$A$2:$AO$502,MATCH($A301,'Réel 2024'!$A$2:$A$502,0),MATCH(Q$2,'Réel 2024'!$A$2:$AO$2,0))</f>
        <v>24420.9199999999</v>
      </c>
      <c r="R301" s="291">
        <f t="shared" si="31"/>
        <v>0.37813498347199931</v>
      </c>
      <c r="S301" s="275">
        <f t="shared" si="32"/>
        <v>7752.6500000000779</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536</v>
      </c>
      <c r="B302" s="41" t="s">
        <v>180</v>
      </c>
      <c r="C302" s="252" t="s">
        <v>59</v>
      </c>
      <c r="D302" s="290">
        <f>+INDEX('Budget original'!$A$2:$AO$502,MATCH($A302,'Budget original'!$A$2:$A$502,0),MATCH(D$2,'Budget original'!$A$2:$AO$2,0))</f>
        <v>0</v>
      </c>
      <c r="E302" s="352">
        <f>IF(D302=0,0,F302/D302)</f>
        <v>0</v>
      </c>
      <c r="F302" s="275">
        <f>+INDEX('Budget original'!$A$2:$AO$502,MATCH($A302,'Budget original'!$A$2:$A$502,0),MATCH(F$2,'Budget original'!$A$2:$AO$2,0))</f>
        <v>0</v>
      </c>
      <c r="G302" s="290"/>
      <c r="H302" s="352"/>
      <c r="I302" s="275"/>
      <c r="J302" s="253">
        <f>-SUMIFS(BV_Data_An_Cour!$O:$O,BV_Data_An_Cour!$X:$X,"Oui",BV_Data_An_Cour!$U:$U,$B302,BV_Data_An_Cour!$V:$V,$C302)</f>
        <v>0</v>
      </c>
      <c r="K302" s="352">
        <f t="shared" si="27"/>
        <v>0</v>
      </c>
      <c r="L302" s="275">
        <f>-SUMIFS(BV_Data_An_Cour!$O:$O,BV_Data_An_Cour!$U:$U,$B302,BV_Data_An_Cour!$V:$V,$C302,BV_Data_An_Cour!$W:$W,$L$2)</f>
        <v>0</v>
      </c>
      <c r="M302" s="291" t="e">
        <f t="shared" si="28"/>
        <v>#DIV/0!</v>
      </c>
      <c r="N302" s="275">
        <f t="shared" si="29"/>
        <v>0</v>
      </c>
      <c r="O302" s="253">
        <f t="array" ref="O302">+INDEX('Réel 2024'!$A$2:$AO$502,MATCH($A302,'Réel 2024'!$A$2:$A$502,0),MATCH(O$2,'Réel 2024'!$A$2:$AO$2,0))</f>
        <v>0</v>
      </c>
      <c r="P302" s="352">
        <f t="shared" si="30"/>
        <v>0</v>
      </c>
      <c r="Q302" s="275">
        <f t="array" ref="Q302">+INDEX('Réel 2024'!$A$2:$AO$502,MATCH($A302,'Réel 2024'!$A$2:$A$502,0),MATCH(Q$2,'Réel 2024'!$A$2:$AO$2,0))</f>
        <v>0</v>
      </c>
      <c r="R302" s="291">
        <f t="shared" si="31"/>
        <v>0</v>
      </c>
      <c r="S302" s="275">
        <f t="shared" si="32"/>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537</v>
      </c>
      <c r="B303" s="41" t="s">
        <v>180</v>
      </c>
      <c r="C303" s="252" t="s">
        <v>188</v>
      </c>
      <c r="D303" s="290">
        <f>+INDEX('Budget original'!$A$2:$AO$502,MATCH($A303,'Budget original'!$A$2:$A$502,0),MATCH(D$2,'Budget original'!$A$2:$AO$2,0))</f>
        <v>0</v>
      </c>
      <c r="E303" s="352">
        <f t="shared" si="33"/>
        <v>0</v>
      </c>
      <c r="F303" s="275">
        <f>+INDEX('Budget original'!$A$2:$AO$502,MATCH($A303,'Budget original'!$A$2:$A$502,0),MATCH(F$2,'Budget original'!$A$2:$AO$2,0))</f>
        <v>6600.125347857168</v>
      </c>
      <c r="G303" s="290"/>
      <c r="H303" s="352"/>
      <c r="I303" s="275"/>
      <c r="J303" s="253">
        <f>-SUMIFS(BV_Data_An_Cour!$O:$O,BV_Data_An_Cour!$X:$X,"Oui",BV_Data_An_Cour!$U:$U,$B303,BV_Data_An_Cour!$V:$V,$C303)</f>
        <v>0</v>
      </c>
      <c r="K303" s="352">
        <f t="shared" si="27"/>
        <v>0</v>
      </c>
      <c r="L303" s="275">
        <f>-SUMIFS(BV_Data_An_Cour!$O:$O,BV_Data_An_Cour!$U:$U,$B303,BV_Data_An_Cour!$V:$V,$C303,BV_Data_An_Cour!$W:$W,$L$2)</f>
        <v>4302.3599999999997</v>
      </c>
      <c r="M303" s="291"/>
      <c r="N303" s="275">
        <f t="shared" si="29"/>
        <v>-2297.7653478571683</v>
      </c>
      <c r="O303" s="253">
        <f t="array" ref="O303">+INDEX('Réel 2024'!$A$2:$AO$502,MATCH($A303,'Réel 2024'!$A$2:$A$502,0),MATCH(O$2,'Réel 2024'!$A$2:$AO$2,0))</f>
        <v>0</v>
      </c>
      <c r="P303" s="352">
        <f t="shared" si="30"/>
        <v>0</v>
      </c>
      <c r="Q303" s="275">
        <f t="array" ref="Q303">+INDEX('Réel 2024'!$A$2:$AO$502,MATCH($A303,'Réel 2024'!$A$2:$A$502,0),MATCH(Q$2,'Réel 2024'!$A$2:$AO$2,0))</f>
        <v>4672.6899999999996</v>
      </c>
      <c r="R303" s="291">
        <f t="shared" si="31"/>
        <v>0</v>
      </c>
      <c r="S303" s="275">
        <f t="shared" si="32"/>
        <v>-370.32999999999993</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538</v>
      </c>
      <c r="B304" s="41" t="s">
        <v>180</v>
      </c>
      <c r="C304" s="245" t="s">
        <v>189</v>
      </c>
      <c r="D304" s="290">
        <f>+INDEX('Budget original'!$A$2:$AO$502,MATCH($A304,'Budget original'!$A$2:$A$502,0),MATCH(D$2,'Budget original'!$A$2:$AO$2,0))</f>
        <v>0</v>
      </c>
      <c r="E304" s="352">
        <f t="shared" si="33"/>
        <v>0</v>
      </c>
      <c r="F304" s="275">
        <f>+INDEX('Budget original'!$A$2:$AO$502,MATCH($A304,'Budget original'!$A$2:$A$502,0),MATCH(F$2,'Budget original'!$A$2:$AO$2,0))</f>
        <v>0</v>
      </c>
      <c r="G304" s="290"/>
      <c r="H304" s="352"/>
      <c r="I304" s="275"/>
      <c r="J304" s="253">
        <f>-SUMIFS(BV_Data_An_Cour!$O:$O,BV_Data_An_Cour!$X:$X,"Oui",BV_Data_An_Cour!$U:$U,$B304,BV_Data_An_Cour!$V:$V,$C304)</f>
        <v>0</v>
      </c>
      <c r="K304" s="352">
        <f t="shared" si="27"/>
        <v>0</v>
      </c>
      <c r="L304" s="275">
        <f>-SUMIFS(BV_Data_An_Cour!$O:$O,BV_Data_An_Cour!$U:$U,$B304,BV_Data_An_Cour!$V:$V,$C304,BV_Data_An_Cour!$W:$W,$L$2)</f>
        <v>0</v>
      </c>
      <c r="M304" s="291"/>
      <c r="N304" s="275">
        <f t="shared" si="29"/>
        <v>0</v>
      </c>
      <c r="O304" s="253">
        <f t="array" ref="O304">+INDEX('Réel 2024'!$A$2:$AO$502,MATCH($A304,'Réel 2024'!$A$2:$A$502,0),MATCH(O$2,'Réel 2024'!$A$2:$AO$2,0))</f>
        <v>0</v>
      </c>
      <c r="P304" s="352">
        <f t="shared" si="30"/>
        <v>0</v>
      </c>
      <c r="Q304" s="275">
        <f t="array" ref="Q304">+INDEX('Réel 2024'!$A$2:$AO$502,MATCH($A304,'Réel 2024'!$A$2:$A$502,0),MATCH(Q$2,'Réel 2024'!$A$2:$AO$2,0))</f>
        <v>0</v>
      </c>
      <c r="R304" s="291">
        <f t="shared" si="31"/>
        <v>0</v>
      </c>
      <c r="S304" s="275">
        <f t="shared" si="32"/>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539</v>
      </c>
      <c r="B305" s="41" t="s">
        <v>180</v>
      </c>
      <c r="C305" s="269" t="s">
        <v>190</v>
      </c>
      <c r="D305" s="389">
        <f>SUM(D296:D304)</f>
        <v>471437.52484694065</v>
      </c>
      <c r="E305" s="406">
        <f>IF(D305&lt;=0,0,F305/D305)</f>
        <v>0.24884326897068568</v>
      </c>
      <c r="F305" s="391">
        <f>SUM(F296:F304)</f>
        <v>117314.05479836157</v>
      </c>
      <c r="G305" s="389"/>
      <c r="H305" s="406"/>
      <c r="I305" s="391"/>
      <c r="J305" s="389">
        <f>SUM(J296:J304)</f>
        <v>543298.34</v>
      </c>
      <c r="K305" s="406">
        <f t="shared" si="27"/>
        <v>0.22446079993544607</v>
      </c>
      <c r="L305" s="391">
        <f>SUM(L296:L304)</f>
        <v>121949.17999999995</v>
      </c>
      <c r="M305" s="407">
        <f>(+J305-D305)/D305</f>
        <v>0.15242913719350198</v>
      </c>
      <c r="N305" s="391">
        <f t="shared" si="29"/>
        <v>4635.1252016383805</v>
      </c>
      <c r="O305" s="389">
        <f>SUM(O296:O304)</f>
        <v>477364.30000000005</v>
      </c>
      <c r="P305" s="406">
        <f>IF(O305&lt;=0,0,Q305/O305)</f>
        <v>0.23494088267597682</v>
      </c>
      <c r="Q305" s="391">
        <f>SUM(Q296:Q304)</f>
        <v>112152.38999999981</v>
      </c>
      <c r="R305" s="407">
        <f t="shared" si="31"/>
        <v>0.13812101156286702</v>
      </c>
      <c r="S305" s="391">
        <f t="shared" si="32"/>
        <v>9796.7900000001391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52"/>
      <c r="D306" s="41"/>
      <c r="E306" s="41"/>
      <c r="F306" s="262"/>
      <c r="G306" s="252"/>
      <c r="H306" s="41"/>
      <c r="I306" s="262"/>
      <c r="J306" s="252"/>
      <c r="K306" s="41"/>
      <c r="L306" s="262"/>
      <c r="M306" s="252"/>
      <c r="N306" s="264">
        <f>N305/F305</f>
        <v>3.9510399752230842E-2</v>
      </c>
      <c r="O306" s="252"/>
      <c r="P306" s="41"/>
      <c r="Q306" s="262"/>
      <c r="R306" s="252"/>
      <c r="S306" s="264">
        <f>IF(Q305=0,0,S305/Q305)</f>
        <v>8.7352485310390221E-2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180</v>
      </c>
      <c r="B307" s="41" t="s">
        <v>180</v>
      </c>
      <c r="C307" s="245"/>
      <c r="D307" s="317"/>
      <c r="E307" s="317"/>
      <c r="F307" s="408"/>
      <c r="G307" s="245"/>
      <c r="H307" s="317"/>
      <c r="I307" s="408"/>
      <c r="J307" s="245"/>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540</v>
      </c>
      <c r="B308" s="41" t="s">
        <v>180</v>
      </c>
      <c r="C308" s="252" t="s">
        <v>191</v>
      </c>
      <c r="D308" s="290">
        <f>+INDEX('Budget original'!$A$2:$AO$502,MATCH($A308,'Budget original'!$A$2:$A$502,0),MATCH(D$2,'Budget original'!$A$2:$AO$2,0))</f>
        <v>33620.760948270363</v>
      </c>
      <c r="E308" s="352">
        <f>IF(D308=0,0,F308/D308)</f>
        <v>0.17100000000000001</v>
      </c>
      <c r="F308" s="316">
        <f>+INDEX('Budget original'!$A$2:$AO$502,MATCH($A308,'Budget original'!$A$2:$A$502,0),MATCH(F$2,'Budget original'!$A$2:$AO$2,0))</f>
        <v>5749.1501221542321</v>
      </c>
      <c r="G308" s="290"/>
      <c r="H308" s="352"/>
      <c r="I308" s="316"/>
      <c r="J308" s="253">
        <f>-SUMIFS(BV_Data_An_Cour!$O:$O,BV_Data_An_Cour!$X:$X,"Oui",BV_Data_An_Cour!$U:$U,$B308,BV_Data_An_Cour!$V:$V,$C308)</f>
        <v>23678.97</v>
      </c>
      <c r="K308" s="352">
        <f>IF(J308&lt;=0,0,L308/J308)</f>
        <v>0.2016586870121462</v>
      </c>
      <c r="L308" s="316">
        <f>-SUMIFS(BV_Data_An_Cour!$O:$O,BV_Data_An_Cour!$U:$U,$B308,BV_Data_An_Cour!$V:$V,$C308,BV_Data_An_Cour!$W:$W,$L$2)</f>
        <v>4775.07</v>
      </c>
      <c r="M308" s="291">
        <f>(+J308-D308)/D308</f>
        <v>-0.29570392423797365</v>
      </c>
      <c r="N308" s="275">
        <f>L308-F308</f>
        <v>-974.08012215423241</v>
      </c>
      <c r="O308" s="253">
        <f t="array" ref="O308">+INDEX('Réel 2024'!$A$2:$AO$502,MATCH($A308,'Réel 2024'!$A$2:$A$502,0),MATCH(O$2,'Réel 2024'!$A$2:$AO$2,0))</f>
        <v>32612.16</v>
      </c>
      <c r="P308" s="352">
        <f>IF(O308=0,0,Q308/O308)</f>
        <v>0.17193372042820837</v>
      </c>
      <c r="Q308" s="316">
        <f t="array" ref="Q308">+INDEX('Réel 2024'!$A$2:$AO$502,MATCH($A308,'Réel 2024'!$A$2:$A$502,0),MATCH(Q$2,'Réel 2024'!$A$2:$AO$2,0))</f>
        <v>5607.13</v>
      </c>
      <c r="R308" s="291">
        <f>IF(O308=0,0,(J308-O308)/O308)</f>
        <v>-0.27392205852050272</v>
      </c>
      <c r="S308" s="275">
        <f>L308-Q308</f>
        <v>-832.0600000000004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541</v>
      </c>
      <c r="B309" s="41" t="s">
        <v>180</v>
      </c>
      <c r="C309" s="245" t="s">
        <v>192</v>
      </c>
      <c r="D309" s="290">
        <f>+INDEX('Budget original'!$A$2:$AO$502,MATCH($A309,'Budget original'!$A$2:$A$502,0),MATCH(D$2,'Budget original'!$A$2:$AO$2,0))</f>
        <v>24023.989005338593</v>
      </c>
      <c r="E309" s="352">
        <f>IF(D309=0,0,F309/D309)</f>
        <v>0.27</v>
      </c>
      <c r="F309" s="295">
        <f>+INDEX('Budget original'!$A$2:$AO$502,MATCH($A309,'Budget original'!$A$2:$A$502,0),MATCH(F$2,'Budget original'!$A$2:$AO$2,0))</f>
        <v>6486.4770314414209</v>
      </c>
      <c r="G309" s="290"/>
      <c r="H309" s="352"/>
      <c r="I309" s="295"/>
      <c r="J309" s="253">
        <f>-SUMIFS(BV_Data_An_Cour!$O:$O,BV_Data_An_Cour!$X:$X,"Oui",BV_Data_An_Cour!$U:$U,$B309,BV_Data_An_Cour!$V:$V,$C309)</f>
        <v>24155.37</v>
      </c>
      <c r="K309" s="352">
        <f>IF(J309&lt;=0,0,L309/J309)</f>
        <v>0.27256920510842925</v>
      </c>
      <c r="L309" s="295">
        <f>-SUMIFS(BV_Data_An_Cour!$O:$O,BV_Data_An_Cour!$U:$U,$B309,BV_Data_An_Cour!$V:$V,$C309,BV_Data_An_Cour!$W:$W,$L$2)</f>
        <v>6584.0099999999984</v>
      </c>
      <c r="M309" s="291">
        <f>(+J309-D309)/D309</f>
        <v>5.4687418743078085E-3</v>
      </c>
      <c r="N309" s="275">
        <f>L309-F309</f>
        <v>97.532968558577522</v>
      </c>
      <c r="O309" s="253">
        <f t="array" ref="O309">+INDEX('Réel 2024'!$A$2:$AO$502,MATCH($A309,'Réel 2024'!$A$2:$A$502,0),MATCH(O$2,'Réel 2024'!$A$2:$AO$2,0))</f>
        <v>25642.9</v>
      </c>
      <c r="P309" s="352">
        <f>IF(O309=0,0,Q309/O309)</f>
        <v>0.28574459207031966</v>
      </c>
      <c r="Q309" s="295">
        <f t="array" ref="Q309">+INDEX('Réel 2024'!$A$2:$AO$502,MATCH($A309,'Réel 2024'!$A$2:$A$502,0),MATCH(Q$2,'Réel 2024'!$A$2:$AO$2,0))</f>
        <v>7327.32</v>
      </c>
      <c r="R309" s="291">
        <f>IF(O309=0,0,(J309-O309)/O309)</f>
        <v>-5.8009429510702863E-2</v>
      </c>
      <c r="S309" s="275">
        <f>L309-Q309</f>
        <v>-743.31000000000131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542</v>
      </c>
      <c r="B310" s="41" t="s">
        <v>180</v>
      </c>
      <c r="C310" s="269" t="s">
        <v>193</v>
      </c>
      <c r="D310" s="389">
        <f>D305+D308+D309</f>
        <v>529082.27480054961</v>
      </c>
      <c r="E310" s="406">
        <f>IF(D310&lt;=0,0,F310/D310)</f>
        <v>0.24485734662117364</v>
      </c>
      <c r="F310" s="391">
        <f>F305+F308+F309</f>
        <v>129549.68195195722</v>
      </c>
      <c r="G310" s="392"/>
      <c r="H310" s="406"/>
      <c r="I310" s="391"/>
      <c r="J310" s="392">
        <f>J305+J308+J309</f>
        <v>591132.67999999993</v>
      </c>
      <c r="K310" s="406">
        <f>IF(J310&lt;=0,0,L310/J310)</f>
        <v>0.22551326379045727</v>
      </c>
      <c r="L310" s="391">
        <f>L305+L308+L309</f>
        <v>133308.25999999995</v>
      </c>
      <c r="M310" s="407">
        <f>(+J310-D310)/D310</f>
        <v>0.11727931203675597</v>
      </c>
      <c r="N310" s="391">
        <f>L310-F310</f>
        <v>3758.5780480427347</v>
      </c>
      <c r="O310" s="392">
        <f>O305+O308+O309</f>
        <v>535619.36</v>
      </c>
      <c r="P310" s="406">
        <f>IF(O310&lt;=0,0,Q310/O310)</f>
        <v>0.23353681614495755</v>
      </c>
      <c r="Q310" s="391">
        <f>Q305+Q308+Q309</f>
        <v>125086.83999999982</v>
      </c>
      <c r="R310" s="407">
        <f>IF(O310=0,0,(J310-O310)/O310)</f>
        <v>0.10364322902741968</v>
      </c>
      <c r="S310" s="391">
        <f>L310-Q310</f>
        <v>8221.4200000001292</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f>N310/F310</f>
        <v>2.9012638174106691E-2</v>
      </c>
      <c r="O311" s="252"/>
      <c r="P311" s="41"/>
      <c r="Q311" s="262"/>
      <c r="R311" s="252"/>
      <c r="S311" s="264">
        <f>IF(Q310=0,0,S310/Q310)</f>
        <v>6.5725699042362418E-2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543</v>
      </c>
      <c r="B313" s="41" t="s">
        <v>180</v>
      </c>
      <c r="C313" s="245" t="s">
        <v>194</v>
      </c>
      <c r="D313" s="293">
        <f>+INDEX('Budget original'!$A$2:$AO$502,MATCH($A313,'Budget original'!$A$2:$A$502,0),MATCH(D$2,'Budget original'!$A$2:$AO$2,0))</f>
        <v>0</v>
      </c>
      <c r="E313" s="353">
        <f>IF(D313=0,0,F313/D313)</f>
        <v>0</v>
      </c>
      <c r="F313" s="295">
        <f>+INDEX('Budget original'!$A$2:$AO$502,MATCH($A313,'Budget original'!$A$2:$A$502,0),MATCH(F$2,'Budget original'!$A$2:$AO$2,0))</f>
        <v>0</v>
      </c>
      <c r="G313" s="364"/>
      <c r="H313" s="353"/>
      <c r="I313" s="295"/>
      <c r="J313" s="266">
        <f>-SUMIFS(BV_Data_An_Cour!$O:$O,BV_Data_An_Cour!$X:$X,"Oui",BV_Data_An_Cour!$U:$U,$B313,BV_Data_An_Cour!$V:$V,$C313)</f>
        <v>0</v>
      </c>
      <c r="K313" s="353">
        <f>IF(J313&lt;=0,0,L313/J313)</f>
        <v>0</v>
      </c>
      <c r="L313" s="247">
        <f>-SUMIFS(BV_Data_An_Cour!$O:$O,BV_Data_An_Cour!$U:$U,$B313,BV_Data_An_Cour!$V:$V,$C313,BV_Data_An_Cour!$W:$W,$L$2)</f>
        <v>0</v>
      </c>
      <c r="M313" s="353">
        <f>IF(F313=0,0,(+L313-F313)/F313)</f>
        <v>0</v>
      </c>
      <c r="N313" s="295">
        <f>L313-F313</f>
        <v>0</v>
      </c>
      <c r="O313" s="266">
        <f t="array" ref="O313">+INDEX('Réel 2024'!$A$2:$AO$502,MATCH($A313,'Réel 2024'!$A$2:$A$502,0),MATCH(O$2,'Réel 2024'!$A$2:$AO$2,0))</f>
        <v>0</v>
      </c>
      <c r="P313" s="353">
        <f>IF(O313=0,0,Q313/O313)</f>
        <v>0</v>
      </c>
      <c r="Q313" s="247">
        <f t="array" ref="Q313">+INDEX('Réel 2024'!$A$2:$AO$502,MATCH($A313,'Réel 2024'!$A$2:$A$502,0),MATCH(Q$2,'Réel 2024'!$A$2:$AO$2,0))</f>
        <v>0</v>
      </c>
      <c r="R313" s="353">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544</v>
      </c>
      <c r="B315" s="41" t="s">
        <v>180</v>
      </c>
      <c r="C315" s="277" t="s">
        <v>195</v>
      </c>
      <c r="D315" s="278">
        <f>D310+D313</f>
        <v>529082.27480054961</v>
      </c>
      <c r="E315" s="409">
        <f>IF(D315&lt;=0,0,F315/D315)</f>
        <v>0.24485734662117364</v>
      </c>
      <c r="F315" s="280">
        <f>F310+F313</f>
        <v>129549.68195195722</v>
      </c>
      <c r="G315" s="281"/>
      <c r="H315" s="409"/>
      <c r="I315" s="280"/>
      <c r="J315" s="281">
        <f>J310+J313</f>
        <v>591132.67999999993</v>
      </c>
      <c r="K315" s="409">
        <f>IF(J315&lt;=0,0,L315/J315)</f>
        <v>0.22551326379045727</v>
      </c>
      <c r="L315" s="280">
        <f>L310+L313</f>
        <v>133308.25999999995</v>
      </c>
      <c r="M315" s="410">
        <f>(+J315-D315)/D315</f>
        <v>0.11727931203675597</v>
      </c>
      <c r="N315" s="411">
        <f>L315-F315</f>
        <v>3758.5780480427347</v>
      </c>
      <c r="O315" s="281">
        <f>O310+O313</f>
        <v>535619.36</v>
      </c>
      <c r="P315" s="409">
        <f>IF(O315&lt;=0,0,Q315/O315)</f>
        <v>0.23353681614495755</v>
      </c>
      <c r="Q315" s="280">
        <f>Q310+Q313</f>
        <v>125086.83999999982</v>
      </c>
      <c r="R315" s="410">
        <f>IF(O315=0,0,(J315-O315)/O315)</f>
        <v>0.10364322902741968</v>
      </c>
      <c r="S315" s="411">
        <f>L315-Q315</f>
        <v>8221.4200000001292</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331"/>
      <c r="D316" s="412"/>
      <c r="E316" s="413"/>
      <c r="F316" s="334"/>
      <c r="G316" s="414"/>
      <c r="H316" s="413"/>
      <c r="I316" s="334"/>
      <c r="J316" s="414"/>
      <c r="K316" s="413"/>
      <c r="L316" s="852">
        <f>L315/F315</f>
        <v>1.0290126381741067</v>
      </c>
      <c r="M316" s="415"/>
      <c r="N316" s="286">
        <f>N315/F315</f>
        <v>2.9012638174106691E-2</v>
      </c>
      <c r="O316" s="414"/>
      <c r="P316" s="413"/>
      <c r="Q316" s="334"/>
      <c r="R316" s="415"/>
      <c r="S316" s="286">
        <f>IF(Q315=0,0,S315/Q315)</f>
        <v>6.5725699042362418E-2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180</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545</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546</v>
      </c>
      <c r="B319" s="41" t="s">
        <v>180</v>
      </c>
      <c r="C319" s="311" t="s">
        <v>120</v>
      </c>
      <c r="D319" s="41"/>
      <c r="E319" s="41"/>
      <c r="F319" s="253">
        <f>+INDEX('Budget original'!$A$2:$AO$502,MATCH($A319,'Budget original'!$A$2:$A$502,0),MATCH(F$2,'Budget original'!$A$2:$AO$2,0))</f>
        <v>5461.538461538461</v>
      </c>
      <c r="G319" s="252"/>
      <c r="H319" s="41"/>
      <c r="I319" s="253"/>
      <c r="J319" s="252"/>
      <c r="K319" s="41"/>
      <c r="L319" s="255">
        <f>SUMIFS(BV_Data_An_Cour!$O:$O,BV_Data_An_Cour!$U:$U,$B319,BV_Data_An_Cour!$V:$V,$C319,BV_Data_An_Cour!$W:$W,$L$2)</f>
        <v>4178.83</v>
      </c>
      <c r="M319" s="252"/>
      <c r="N319" s="255">
        <f t="shared" ref="N319:N349" si="34">L319-F319</f>
        <v>-1282.7084615384611</v>
      </c>
      <c r="O319" s="252"/>
      <c r="P319" s="41"/>
      <c r="Q319" s="255">
        <f t="array" ref="Q319">+INDEX('Réel 2024'!$A$2:$AO$502,MATCH($A319,'Réel 2024'!$A$2:$A$502,0),MATCH(Q$2,'Réel 2024'!$A$2:$AO$2,0))</f>
        <v>8530.26</v>
      </c>
      <c r="R319" s="252"/>
      <c r="S319" s="255">
        <f t="shared" ref="S319:S349" si="35">L319-Q319</f>
        <v>-4351.43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547</v>
      </c>
      <c r="B320" s="41" t="s">
        <v>180</v>
      </c>
      <c r="C320" s="312" t="s">
        <v>121</v>
      </c>
      <c r="D320" s="296"/>
      <c r="E320" s="41"/>
      <c r="F320" s="247">
        <f>+INDEX('Budget original'!$A$2:$AO$502,MATCH($A320,'Budget original'!$A$2:$A$502,0),MATCH(F$2,'Budget original'!$A$2:$AO$2,0))</f>
        <v>36686.839084005122</v>
      </c>
      <c r="G320" s="297"/>
      <c r="H320" s="41"/>
      <c r="I320" s="247"/>
      <c r="J320" s="252"/>
      <c r="K320" s="41"/>
      <c r="L320" s="255">
        <f>SUMIFS(BV_Data_An_Cour!$O:$O,BV_Data_An_Cour!$U:$U,$B320,BV_Data_An_Cour!$V:$V,$C320,BV_Data_An_Cour!$W:$W,$L$2)</f>
        <v>22353.200000000001</v>
      </c>
      <c r="M320" s="252"/>
      <c r="N320" s="275">
        <f t="shared" si="34"/>
        <v>-14333.639084005121</v>
      </c>
      <c r="O320" s="252"/>
      <c r="P320" s="41"/>
      <c r="Q320" s="255">
        <f t="array" ref="Q320">+INDEX('Réel 2024'!$A$2:$AO$502,MATCH($A320,'Réel 2024'!$A$2:$A$502,0),MATCH(Q$2,'Réel 2024'!$A$2:$AO$2,0))</f>
        <v>22650.76</v>
      </c>
      <c r="R320" s="252"/>
      <c r="S320" s="275">
        <f t="shared" si="35"/>
        <v>-297.55999999999767</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548</v>
      </c>
      <c r="B321" s="41" t="s">
        <v>180</v>
      </c>
      <c r="C321" s="311" t="s">
        <v>122</v>
      </c>
      <c r="D321" s="313"/>
      <c r="E321" s="314"/>
      <c r="F321" s="253">
        <f>+INDEX('Budget original'!$A$2:$AO$502,MATCH($A321,'Budget original'!$A$2:$A$502,0),MATCH(F$2,'Budget original'!$A$2:$AO$2,0))</f>
        <v>0</v>
      </c>
      <c r="G321" s="315"/>
      <c r="H321" s="314"/>
      <c r="I321" s="253"/>
      <c r="J321" s="240"/>
      <c r="K321" s="314"/>
      <c r="L321" s="271">
        <f>SUMIFS(BV_Data_An_Cour!$O:$O,BV_Data_An_Cour!$U:$U,$B321,BV_Data_An_Cour!$V:$V,$C321,BV_Data_An_Cour!$W:$W,$L$2)</f>
        <v>6463.13</v>
      </c>
      <c r="M321" s="240"/>
      <c r="N321" s="316">
        <f t="shared" si="34"/>
        <v>6463.13</v>
      </c>
      <c r="O321" s="240"/>
      <c r="P321" s="314"/>
      <c r="Q321" s="271">
        <f t="array" ref="Q321">+INDEX('Réel 2024'!$A$2:$AO$502,MATCH($A321,'Réel 2024'!$A$2:$A$502,0),MATCH(Q$2,'Réel 2024'!$A$2:$AO$2,0))</f>
        <v>113.92</v>
      </c>
      <c r="R321" s="240"/>
      <c r="S321" s="316">
        <f t="shared" si="35"/>
        <v>6349.21</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549</v>
      </c>
      <c r="B322" s="41" t="s">
        <v>180</v>
      </c>
      <c r="C322" s="311" t="s">
        <v>123</v>
      </c>
      <c r="D322" s="296"/>
      <c r="E322" s="41"/>
      <c r="F322" s="253">
        <f>+INDEX('Budget original'!$A$2:$AO$502,MATCH($A322,'Budget original'!$A$2:$A$502,0),MATCH(F$2,'Budget original'!$A$2:$AO$2,0))</f>
        <v>0</v>
      </c>
      <c r="G322" s="297"/>
      <c r="H322" s="41"/>
      <c r="I322" s="253"/>
      <c r="J322" s="252"/>
      <c r="K322" s="41"/>
      <c r="L322" s="255">
        <f>SUMIFS(BV_Data_An_Cour!$O:$O,BV_Data_An_Cour!$U:$U,$B322,BV_Data_An_Cour!$V:$V,$C322,BV_Data_An_Cour!$W:$W,$L$2)</f>
        <v>0</v>
      </c>
      <c r="M322" s="252"/>
      <c r="N322" s="275">
        <f t="shared" si="34"/>
        <v>0</v>
      </c>
      <c r="O322" s="252"/>
      <c r="P322" s="41"/>
      <c r="Q322" s="255">
        <f t="array" ref="Q322">+INDEX('Réel 2024'!$A$2:$AO$502,MATCH($A322,'Réel 2024'!$A$2:$A$502,0),MATCH(Q$2,'Réel 2024'!$A$2:$AO$2,0))</f>
        <v>0</v>
      </c>
      <c r="R322" s="252"/>
      <c r="S322" s="275">
        <f t="shared" si="35"/>
        <v>0</v>
      </c>
      <c r="T322" s="41"/>
      <c r="U322" s="1160"/>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536</v>
      </c>
      <c r="B323" s="41" t="s">
        <v>180</v>
      </c>
      <c r="C323" s="252" t="s">
        <v>59</v>
      </c>
      <c r="D323" s="296"/>
      <c r="E323" s="41"/>
      <c r="F323" s="253">
        <f>+INDEX('Budget original'!$A$2:$AO$502,MATCH($A323,'Budget original'!$A$2:$A$502,0),MATCH(F$2,'Budget original'!$A$2:$AO$2,0))</f>
        <v>0</v>
      </c>
      <c r="G323" s="297"/>
      <c r="H323" s="41"/>
      <c r="I323" s="253"/>
      <c r="J323" s="252"/>
      <c r="K323" s="41"/>
      <c r="L323" s="255">
        <f>SUMIFS(BV_Data_An_Cour!$O:$O,BV_Data_An_Cour!$U:$U,$B323,BV_Data_An_Cour!$V:$V,$C323,BV_Data_An_Cour!$W:$W,$L$2)</f>
        <v>0</v>
      </c>
      <c r="M323" s="252"/>
      <c r="N323" s="275">
        <f t="shared" si="34"/>
        <v>0</v>
      </c>
      <c r="O323" s="252"/>
      <c r="P323" s="41"/>
      <c r="Q323" s="255">
        <f t="array" ref="Q323">+INDEX('Réel 2024'!$A$2:$AO$502,MATCH($A323,'Réel 2024'!$A$2:$A$502,0),MATCH(Q$2,'Réel 2024'!$A$2:$AO$2,0))</f>
        <v>0</v>
      </c>
      <c r="R323" s="252"/>
      <c r="S323" s="275">
        <f t="shared" si="35"/>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536</v>
      </c>
      <c r="B324" s="41" t="s">
        <v>180</v>
      </c>
      <c r="C324" s="252" t="s">
        <v>59</v>
      </c>
      <c r="D324" s="296"/>
      <c r="E324" s="41"/>
      <c r="F324" s="253">
        <f>+INDEX('Budget original'!$A$2:$AO$502,MATCH($A324,'Budget original'!$A$2:$A$502,0),MATCH(F$2,'Budget original'!$A$2:$AO$2,0))</f>
        <v>0</v>
      </c>
      <c r="G324" s="297"/>
      <c r="H324" s="41"/>
      <c r="I324" s="253"/>
      <c r="J324" s="252"/>
      <c r="K324" s="41"/>
      <c r="L324" s="255">
        <f>SUMIFS(BV_Data_An_Cour!$O:$O,BV_Data_An_Cour!$U:$U,$B324,BV_Data_An_Cour!$V:$V,$C324,BV_Data_An_Cour!$W:$W,$L$2)</f>
        <v>0</v>
      </c>
      <c r="M324" s="252"/>
      <c r="N324" s="275">
        <f t="shared" si="34"/>
        <v>0</v>
      </c>
      <c r="O324" s="252"/>
      <c r="P324" s="41"/>
      <c r="Q324" s="255">
        <f t="array" ref="Q324">+INDEX('Réel 2024'!$A$2:$AO$502,MATCH($A324,'Réel 2024'!$A$2:$A$502,0),MATCH(Q$2,'Réel 2024'!$A$2:$AO$2,0))</f>
        <v>0</v>
      </c>
      <c r="R324" s="252"/>
      <c r="S324" s="275">
        <f t="shared" si="35"/>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536</v>
      </c>
      <c r="B325" s="41" t="s">
        <v>180</v>
      </c>
      <c r="C325" s="252" t="s">
        <v>59</v>
      </c>
      <c r="D325" s="296"/>
      <c r="E325" s="41"/>
      <c r="F325" s="253">
        <f>+INDEX('Budget original'!$A$2:$AO$502,MATCH($A325,'Budget original'!$A$2:$A$502,0),MATCH(F$2,'Budget original'!$A$2:$AO$2,0))</f>
        <v>0</v>
      </c>
      <c r="G325" s="297"/>
      <c r="H325" s="41"/>
      <c r="I325" s="253"/>
      <c r="J325" s="252"/>
      <c r="K325" s="41"/>
      <c r="L325" s="255">
        <f>SUMIFS(BV_Data_An_Cour!$O:$O,BV_Data_An_Cour!$U:$U,$B325,BV_Data_An_Cour!$V:$V,$C325,BV_Data_An_Cour!$W:$W,$L$2)</f>
        <v>0</v>
      </c>
      <c r="M325" s="252"/>
      <c r="N325" s="275">
        <f t="shared" si="34"/>
        <v>0</v>
      </c>
      <c r="O325" s="252"/>
      <c r="P325" s="41"/>
      <c r="Q325" s="255">
        <f t="array" ref="Q325">+INDEX('Réel 2024'!$A$2:$AO$502,MATCH($A325,'Réel 2024'!$A$2:$A$502,0),MATCH(Q$2,'Réel 2024'!$A$2:$AO$2,0))</f>
        <v>0</v>
      </c>
      <c r="R325" s="252"/>
      <c r="S325" s="275">
        <f t="shared" si="35"/>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550</v>
      </c>
      <c r="B326" s="41" t="s">
        <v>180</v>
      </c>
      <c r="C326" s="312" t="s">
        <v>124</v>
      </c>
      <c r="D326" s="296"/>
      <c r="E326" s="41"/>
      <c r="F326" s="247">
        <f>+INDEX('Budget original'!$A$2:$AO$502,MATCH($A326,'Budget original'!$A$2:$A$502,0),MATCH(F$2,'Budget original'!$A$2:$AO$2,0))</f>
        <v>5154.2269074768892</v>
      </c>
      <c r="G326" s="297"/>
      <c r="H326" s="41"/>
      <c r="I326" s="247"/>
      <c r="J326" s="252"/>
      <c r="K326" s="41"/>
      <c r="L326" s="255">
        <f>SUMIFS(BV_Data_An_Cour!$O:$O,BV_Data_An_Cour!$U:$U,$B326,BV_Data_An_Cour!$V:$V,$C326,BV_Data_An_Cour!$W:$W,$L$2)</f>
        <v>4178.4399999999996</v>
      </c>
      <c r="M326" s="252"/>
      <c r="N326" s="275">
        <f t="shared" si="34"/>
        <v>-975.78690747688961</v>
      </c>
      <c r="O326" s="252"/>
      <c r="P326" s="41"/>
      <c r="Q326" s="255">
        <f t="array" ref="Q326">+INDEX('Réel 2024'!$A$2:$AO$502,MATCH($A326,'Réel 2024'!$A$2:$A$502,0),MATCH(Q$2,'Réel 2024'!$A$2:$AO$2,0))</f>
        <v>3917.79</v>
      </c>
      <c r="R326" s="252"/>
      <c r="S326" s="275">
        <f t="shared" si="35"/>
        <v>260.64999999999964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551</v>
      </c>
      <c r="B327" s="41" t="s">
        <v>180</v>
      </c>
      <c r="C327" s="311" t="s">
        <v>125</v>
      </c>
      <c r="D327" s="313"/>
      <c r="E327" s="314"/>
      <c r="F327" s="253">
        <f>+INDEX('Budget original'!$A$2:$AO$502,MATCH($A327,'Budget original'!$A$2:$A$502,0),MATCH(F$2,'Budget original'!$A$2:$AO$2,0))</f>
        <v>6266.8133324388609</v>
      </c>
      <c r="G327" s="315"/>
      <c r="H327" s="314"/>
      <c r="I327" s="253"/>
      <c r="J327" s="240"/>
      <c r="K327" s="314"/>
      <c r="L327" s="271">
        <f>SUMIFS(BV_Data_An_Cour!$O:$O,BV_Data_An_Cour!$U:$U,$B327,BV_Data_An_Cour!$V:$V,$C327,BV_Data_An_Cour!$W:$W,$L$2)</f>
        <v>4836.12</v>
      </c>
      <c r="M327" s="240"/>
      <c r="N327" s="316">
        <f t="shared" si="34"/>
        <v>-1430.693332438861</v>
      </c>
      <c r="O327" s="240"/>
      <c r="P327" s="314"/>
      <c r="Q327" s="271">
        <f t="array" ref="Q327">+INDEX('Réel 2024'!$A$2:$AO$502,MATCH($A327,'Réel 2024'!$A$2:$A$502,0),MATCH(Q$2,'Réel 2024'!$A$2:$AO$2,0))</f>
        <v>6835.35</v>
      </c>
      <c r="R327" s="240"/>
      <c r="S327" s="316">
        <f t="shared" si="35"/>
        <v>-1999.2300000000005</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552</v>
      </c>
      <c r="B328" s="41" t="s">
        <v>180</v>
      </c>
      <c r="C328" s="311" t="s">
        <v>126</v>
      </c>
      <c r="D328" s="296"/>
      <c r="E328" s="41"/>
      <c r="F328" s="253">
        <f>+INDEX('Budget original'!$A$2:$AO$502,MATCH($A328,'Budget original'!$A$2:$A$502,0),MATCH(F$2,'Budget original'!$A$2:$AO$2,0))</f>
        <v>3228.7712169304564</v>
      </c>
      <c r="G328" s="297"/>
      <c r="H328" s="41"/>
      <c r="I328" s="253"/>
      <c r="J328" s="252"/>
      <c r="K328" s="41"/>
      <c r="L328" s="255">
        <f>SUMIFS(BV_Data_An_Cour!$O:$O,BV_Data_An_Cour!$U:$U,$B328,BV_Data_An_Cour!$V:$V,$C328,BV_Data_An_Cour!$W:$W,$L$2)</f>
        <v>1981.69</v>
      </c>
      <c r="M328" s="252"/>
      <c r="N328" s="275">
        <f t="shared" si="34"/>
        <v>-1247.0812169304563</v>
      </c>
      <c r="O328" s="252"/>
      <c r="P328" s="41"/>
      <c r="Q328" s="255">
        <f t="array" ref="Q328">+INDEX('Réel 2024'!$A$2:$AO$502,MATCH($A328,'Réel 2024'!$A$2:$A$502,0),MATCH(Q$2,'Réel 2024'!$A$2:$AO$2,0))</f>
        <v>756.55</v>
      </c>
      <c r="R328" s="252"/>
      <c r="S328" s="275">
        <f t="shared" si="35"/>
        <v>1225.1400000000001</v>
      </c>
      <c r="T328" s="41"/>
      <c r="U328" s="1160"/>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553</v>
      </c>
      <c r="B329" s="41" t="s">
        <v>180</v>
      </c>
      <c r="C329" s="311" t="s">
        <v>127</v>
      </c>
      <c r="D329" s="296"/>
      <c r="E329" s="41"/>
      <c r="F329" s="253">
        <f>+INDEX('Budget original'!$A$2:$AO$502,MATCH($A329,'Budget original'!$A$2:$A$502,0),MATCH(F$2,'Budget original'!$A$2:$AO$2,0))</f>
        <v>1407.7624152580049</v>
      </c>
      <c r="G329" s="297"/>
      <c r="H329" s="41"/>
      <c r="I329" s="253"/>
      <c r="J329" s="252"/>
      <c r="K329" s="41"/>
      <c r="L329" s="255">
        <f>SUMIFS(BV_Data_An_Cour!$O:$O,BV_Data_An_Cour!$U:$U,$B329,BV_Data_An_Cour!$V:$V,$C329,BV_Data_An_Cour!$W:$W,$L$2)</f>
        <v>1656.22</v>
      </c>
      <c r="M329" s="252"/>
      <c r="N329" s="275">
        <f t="shared" si="34"/>
        <v>248.45758474199511</v>
      </c>
      <c r="O329" s="252"/>
      <c r="P329" s="41"/>
      <c r="Q329" s="255">
        <f t="array" ref="Q329">+INDEX('Réel 2024'!$A$2:$AO$502,MATCH($A329,'Réel 2024'!$A$2:$A$502,0),MATCH(Q$2,'Réel 2024'!$A$2:$AO$2,0))</f>
        <v>1425.7</v>
      </c>
      <c r="R329" s="252"/>
      <c r="S329" s="275">
        <f t="shared" si="35"/>
        <v>230.51999999999998</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536</v>
      </c>
      <c r="B330" s="41" t="s">
        <v>180</v>
      </c>
      <c r="C330" s="252" t="s">
        <v>59</v>
      </c>
      <c r="D330" s="298"/>
      <c r="E330" s="317"/>
      <c r="F330" s="253">
        <f>+INDEX('Budget original'!$A$2:$AO$502,MATCH($A330,'Budget original'!$A$2:$A$502,0),MATCH(F$2,'Budget original'!$A$2:$AO$2,0))</f>
        <v>0</v>
      </c>
      <c r="G330" s="299"/>
      <c r="H330" s="317"/>
      <c r="I330" s="253"/>
      <c r="J330" s="245"/>
      <c r="K330" s="317"/>
      <c r="L330" s="255">
        <f>SUMIFS(BV_Data_An_Cour!$O:$O,BV_Data_An_Cour!$U:$U,$B330,BV_Data_An_Cour!$V:$V,$C330,BV_Data_An_Cour!$W:$W,$L$2)</f>
        <v>0</v>
      </c>
      <c r="M330" s="245"/>
      <c r="N330" s="295">
        <f t="shared" si="34"/>
        <v>0</v>
      </c>
      <c r="O330" s="245"/>
      <c r="P330" s="317"/>
      <c r="Q330" s="255">
        <f t="array" ref="Q330">+INDEX('Réel 2024'!$A$2:$AO$502,MATCH($A330,'Réel 2024'!$A$2:$A$502,0),MATCH(Q$2,'Réel 2024'!$A$2:$AO$2,0))</f>
        <v>0</v>
      </c>
      <c r="R330" s="245"/>
      <c r="S330" s="295">
        <f t="shared" si="35"/>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554</v>
      </c>
      <c r="B331" s="41" t="s">
        <v>180</v>
      </c>
      <c r="C331" s="303" t="s">
        <v>128</v>
      </c>
      <c r="D331" s="304" t="s">
        <v>119</v>
      </c>
      <c r="E331" s="305">
        <f>F331/F$315</f>
        <v>0.44929443701168753</v>
      </c>
      <c r="F331" s="306">
        <f>+SUM(F319:F330)</f>
        <v>58205.951417647797</v>
      </c>
      <c r="G331" s="307"/>
      <c r="H331" s="305"/>
      <c r="I331" s="306"/>
      <c r="J331" s="307" t="s">
        <v>119</v>
      </c>
      <c r="K331" s="305">
        <f>L331/L$315</f>
        <v>0.34242161738514942</v>
      </c>
      <c r="L331" s="306">
        <f>+SUM(L319:L330)</f>
        <v>45647.630000000005</v>
      </c>
      <c r="M331" s="354"/>
      <c r="N331" s="319">
        <f t="shared" si="34"/>
        <v>-12558.321417647792</v>
      </c>
      <c r="O331" s="307" t="s">
        <v>119</v>
      </c>
      <c r="P331" s="305">
        <f>Q331/Q$315</f>
        <v>0.35359698909973308</v>
      </c>
      <c r="Q331" s="306">
        <f>+SUM(Q319:Q330)</f>
        <v>44230.329999999994</v>
      </c>
      <c r="R331" s="354"/>
      <c r="S331" s="319">
        <f t="shared" si="35"/>
        <v>1417.3000000000102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555</v>
      </c>
      <c r="B332" s="41" t="s">
        <v>180</v>
      </c>
      <c r="C332" s="405" t="s">
        <v>129</v>
      </c>
      <c r="D332" s="296"/>
      <c r="E332" s="41"/>
      <c r="F332" s="253">
        <f>+INDEX('Budget original'!$A$2:$AO$502,MATCH($A332,'Budget original'!$A$2:$A$502,0),MATCH(F$2,'Budget original'!$A$2:$AO$2,0))</f>
        <v>5830</v>
      </c>
      <c r="G332" s="297"/>
      <c r="H332" s="41"/>
      <c r="I332" s="253"/>
      <c r="J332" s="252"/>
      <c r="K332" s="41"/>
      <c r="L332" s="255">
        <f>SUMIFS(BV_Data_An_Cour!$O:$O,BV_Data_An_Cour!$U:$U,$B332,BV_Data_An_Cour!$V:$V,$C332,BV_Data_An_Cour!$W:$W,$L$2)</f>
        <v>6768.8</v>
      </c>
      <c r="M332" s="252"/>
      <c r="N332" s="275">
        <f t="shared" si="34"/>
        <v>938.80000000000018</v>
      </c>
      <c r="O332" s="252"/>
      <c r="P332" s="41"/>
      <c r="Q332" s="255">
        <f t="array" ref="Q332">+INDEX('Réel 2024'!$A$2:$AO$502,MATCH($A332,'Réel 2024'!$A$2:$A$502,0),MATCH(Q$2,'Réel 2024'!$A$2:$AO$2,0))</f>
        <v>2995.28</v>
      </c>
      <c r="R332" s="252"/>
      <c r="S332" s="275">
        <f t="shared" si="35"/>
        <v>3773.52</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556</v>
      </c>
      <c r="B333" s="41" t="s">
        <v>180</v>
      </c>
      <c r="C333" s="311" t="s">
        <v>130</v>
      </c>
      <c r="D333" s="296"/>
      <c r="E333" s="41"/>
      <c r="F333" s="253">
        <f>+INDEX('Budget original'!$A$2:$AO$502,MATCH($A333,'Budget original'!$A$2:$A$502,0),MATCH(F$2,'Budget original'!$A$2:$AO$2,0))</f>
        <v>561.52577820142733</v>
      </c>
      <c r="G333" s="297"/>
      <c r="H333" s="41"/>
      <c r="I333" s="253"/>
      <c r="J333" s="252"/>
      <c r="K333" s="41"/>
      <c r="L333" s="255">
        <f>SUMIFS(BV_Data_An_Cour!$O:$O,BV_Data_An_Cour!$U:$U,$B333,BV_Data_An_Cour!$V:$V,$C333,BV_Data_An_Cour!$W:$W,$L$2)</f>
        <v>374.68</v>
      </c>
      <c r="M333" s="252"/>
      <c r="N333" s="275">
        <f t="shared" si="34"/>
        <v>-186.84577820142732</v>
      </c>
      <c r="O333" s="252"/>
      <c r="P333" s="41"/>
      <c r="Q333" s="255">
        <f t="array" ref="Q333">+INDEX('Réel 2024'!$A$2:$AO$502,MATCH($A333,'Réel 2024'!$A$2:$A$502,0),MATCH(Q$2,'Réel 2024'!$A$2:$AO$2,0))</f>
        <v>517.6</v>
      </c>
      <c r="R333" s="252"/>
      <c r="S333" s="275">
        <f t="shared" si="35"/>
        <v>-142.92000000000002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557</v>
      </c>
      <c r="B334" s="41" t="s">
        <v>180</v>
      </c>
      <c r="C334" s="312" t="s">
        <v>131</v>
      </c>
      <c r="D334" s="298"/>
      <c r="E334" s="317"/>
      <c r="F334" s="247">
        <f>+INDEX('Budget original'!$A$2:$AO$502,MATCH($A334,'Budget original'!$A$2:$A$502,0),MATCH(F$2,'Budget original'!$A$2:$AO$2,0))</f>
        <v>1264.3204888888893</v>
      </c>
      <c r="G334" s="299"/>
      <c r="H334" s="317"/>
      <c r="I334" s="247"/>
      <c r="J334" s="245"/>
      <c r="K334" s="317"/>
      <c r="L334" s="255">
        <f>SUMIFS(BV_Data_An_Cour!$O:$O,BV_Data_An_Cour!$U:$U,$B334,BV_Data_An_Cour!$V:$V,$C334,BV_Data_An_Cour!$W:$W,$L$2)</f>
        <v>2149.75</v>
      </c>
      <c r="M334" s="245"/>
      <c r="N334" s="295">
        <f t="shared" si="34"/>
        <v>885.42951111111074</v>
      </c>
      <c r="O334" s="245"/>
      <c r="P334" s="317"/>
      <c r="Q334" s="255">
        <f t="array" ref="Q334">+INDEX('Réel 2024'!$A$2:$AO$502,MATCH($A334,'Réel 2024'!$A$2:$A$502,0),MATCH(Q$2,'Réel 2024'!$A$2:$AO$2,0))</f>
        <v>1088.69</v>
      </c>
      <c r="R334" s="245"/>
      <c r="S334" s="295">
        <f t="shared" si="35"/>
        <v>1061.06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558</v>
      </c>
      <c r="B335" s="41" t="s">
        <v>180</v>
      </c>
      <c r="C335" s="311" t="s">
        <v>132</v>
      </c>
      <c r="D335" s="296"/>
      <c r="E335" s="41"/>
      <c r="F335" s="253">
        <f>+INDEX('Budget original'!$A$2:$AO$502,MATCH($A335,'Budget original'!$A$2:$A$502,0),MATCH(F$2,'Budget original'!$A$2:$AO$2,0))</f>
        <v>6290</v>
      </c>
      <c r="G335" s="297"/>
      <c r="H335" s="41"/>
      <c r="I335" s="253"/>
      <c r="J335" s="252"/>
      <c r="K335" s="41"/>
      <c r="L335" s="271">
        <f>SUMIFS(BV_Data_An_Cour!$O:$O,BV_Data_An_Cour!$U:$U,$B335,BV_Data_An_Cour!$V:$V,$C335,BV_Data_An_Cour!$W:$W,$L$2)</f>
        <v>7449.99</v>
      </c>
      <c r="M335" s="252"/>
      <c r="N335" s="275">
        <f t="shared" si="34"/>
        <v>1159.9899999999998</v>
      </c>
      <c r="O335" s="252"/>
      <c r="P335" s="41"/>
      <c r="Q335" s="271">
        <f t="array" ref="Q335">+INDEX('Réel 2024'!$A$2:$AO$502,MATCH($A335,'Réel 2024'!$A$2:$A$502,0),MATCH(Q$2,'Réel 2024'!$A$2:$AO$2,0))</f>
        <v>5753.09</v>
      </c>
      <c r="R335" s="252"/>
      <c r="S335" s="275">
        <f t="shared" si="35"/>
        <v>1696.8999999999996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559</v>
      </c>
      <c r="B336" s="41" t="s">
        <v>180</v>
      </c>
      <c r="C336" s="311" t="s">
        <v>133</v>
      </c>
      <c r="D336" s="296"/>
      <c r="E336" s="41"/>
      <c r="F336" s="253">
        <f>+INDEX('Budget original'!$A$2:$AO$502,MATCH($A336,'Budget original'!$A$2:$A$502,0),MATCH(F$2,'Budget original'!$A$2:$AO$2,0))</f>
        <v>1000</v>
      </c>
      <c r="G336" s="297"/>
      <c r="H336" s="41"/>
      <c r="I336" s="253"/>
      <c r="J336" s="252"/>
      <c r="K336" s="41"/>
      <c r="L336" s="255">
        <f>SUMIFS(BV_Data_An_Cour!$O:$O,BV_Data_An_Cour!$U:$U,$B336,BV_Data_An_Cour!$V:$V,$C336,BV_Data_An_Cour!$W:$W,$L$2)</f>
        <v>247.26</v>
      </c>
      <c r="M336" s="252"/>
      <c r="N336" s="275">
        <f t="shared" si="34"/>
        <v>-752.74</v>
      </c>
      <c r="O336" s="252"/>
      <c r="P336" s="41"/>
      <c r="Q336" s="255">
        <f t="array" ref="Q336">+INDEX('Réel 2024'!$A$2:$AO$502,MATCH($A336,'Réel 2024'!$A$2:$A$502,0),MATCH(Q$2,'Réel 2024'!$A$2:$AO$2,0))</f>
        <v>641.58000000000004</v>
      </c>
      <c r="R336" s="252"/>
      <c r="S336" s="275">
        <f t="shared" si="35"/>
        <v>-394.32000000000005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560</v>
      </c>
      <c r="B337" s="41" t="s">
        <v>180</v>
      </c>
      <c r="C337" s="312" t="s">
        <v>134</v>
      </c>
      <c r="D337" s="298"/>
      <c r="E337" s="317"/>
      <c r="F337" s="247">
        <f>+INDEX('Budget original'!$A$2:$AO$502,MATCH($A337,'Budget original'!$A$2:$A$502,0),MATCH(F$2,'Budget original'!$A$2:$AO$2,0))</f>
        <v>14429.878112932751</v>
      </c>
      <c r="G337" s="299"/>
      <c r="H337" s="317"/>
      <c r="I337" s="247"/>
      <c r="J337" s="245"/>
      <c r="K337" s="317"/>
      <c r="L337" s="247">
        <f>SUMIFS(BV_Data_An_Cour!$O:$O,BV_Data_An_Cour!$U:$U,$B337,BV_Data_An_Cour!$V:$V,$C337,BV_Data_An_Cour!$W:$W,$L$2)</f>
        <v>6481.2800000000007</v>
      </c>
      <c r="M337" s="245"/>
      <c r="N337" s="295">
        <f t="shared" si="34"/>
        <v>-7948.5981129327502</v>
      </c>
      <c r="O337" s="245"/>
      <c r="P337" s="317"/>
      <c r="Q337" s="247">
        <f t="array" ref="Q337">+INDEX('Réel 2024'!$A$2:$AO$502,MATCH($A337,'Réel 2024'!$A$2:$A$502,0),MATCH(Q$2,'Réel 2024'!$A$2:$AO$2,0))</f>
        <v>15111.77</v>
      </c>
      <c r="R337" s="245"/>
      <c r="S337" s="295">
        <f t="shared" si="35"/>
        <v>-8630.49</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561</v>
      </c>
      <c r="B338" s="41" t="s">
        <v>180</v>
      </c>
      <c r="C338" s="311" t="s">
        <v>489</v>
      </c>
      <c r="D338" s="296"/>
      <c r="E338" s="41"/>
      <c r="F338" s="253"/>
      <c r="G338" s="297"/>
      <c r="H338" s="41"/>
      <c r="I338" s="253"/>
      <c r="J338" s="252"/>
      <c r="K338" s="41"/>
      <c r="L338" s="255">
        <f>SUMIFS(BV_Data_An_Cour!$O:$O,BV_Data_An_Cour!$U:$U,$B338,BV_Data_An_Cour!$V:$V,$C338,BV_Data_An_Cour!$W:$W,$L$2)</f>
        <v>0</v>
      </c>
      <c r="M338" s="252"/>
      <c r="N338" s="275">
        <f t="shared" si="34"/>
        <v>0</v>
      </c>
      <c r="O338" s="252"/>
      <c r="P338" s="41"/>
      <c r="Q338" s="255">
        <f>+INDEX('Réel 2024'!$A$2:$AO$502,MATCH($A338,'Réel 2024'!$A$2:$A$502,0),MATCH(Q$2,'Réel 2024'!$A$2:$AO$2,0))</f>
        <v>0</v>
      </c>
      <c r="R338" s="252"/>
      <c r="S338" s="275">
        <f t="shared" si="35"/>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562</v>
      </c>
      <c r="B339" s="41" t="s">
        <v>180</v>
      </c>
      <c r="C339" s="311" t="s">
        <v>135</v>
      </c>
      <c r="D339" s="296"/>
      <c r="E339" s="41"/>
      <c r="F339" s="253">
        <f>+INDEX('Budget original'!$A$2:$AO$502,MATCH($A339,'Budget original'!$A$2:$A$502,0),MATCH(F$2,'Budget original'!$A$2:$AO$2,0))</f>
        <v>50</v>
      </c>
      <c r="G339" s="297"/>
      <c r="H339" s="41"/>
      <c r="I339" s="253"/>
      <c r="J339" s="252"/>
      <c r="K339" s="41"/>
      <c r="L339" s="255">
        <f>SUMIFS(BV_Data_An_Cour!$O:$O,BV_Data_An_Cour!$U:$U,$B339,BV_Data_An_Cour!$V:$V,$C339,BV_Data_An_Cour!$W:$W,$L$2)</f>
        <v>0</v>
      </c>
      <c r="M339" s="252"/>
      <c r="N339" s="275">
        <f t="shared" si="34"/>
        <v>-50</v>
      </c>
      <c r="O339" s="252"/>
      <c r="P339" s="41"/>
      <c r="Q339" s="255">
        <f t="array" ref="Q339">+INDEX('Réel 2024'!$A$2:$AO$502,MATCH($A339,'Réel 2024'!$A$2:$A$502,0),MATCH(Q$2,'Réel 2024'!$A$2:$AO$2,0))</f>
        <v>0</v>
      </c>
      <c r="R339" s="252"/>
      <c r="S339" s="275">
        <f t="shared" si="35"/>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563</v>
      </c>
      <c r="B340" s="41" t="s">
        <v>180</v>
      </c>
      <c r="C340" s="311" t="s">
        <v>136</v>
      </c>
      <c r="D340" s="296"/>
      <c r="E340" s="41"/>
      <c r="F340" s="253">
        <f>+INDEX('Budget original'!$A$2:$AO$502,MATCH($A340,'Budget original'!$A$2:$A$502,0),MATCH(F$2,'Budget original'!$A$2:$AO$2,0))</f>
        <v>0</v>
      </c>
      <c r="G340" s="297"/>
      <c r="H340" s="41"/>
      <c r="I340" s="253"/>
      <c r="J340" s="252"/>
      <c r="K340" s="41"/>
      <c r="L340" s="255">
        <f>SUMIFS(BV_Data_An_Cour!$O:$O,BV_Data_An_Cour!$U:$U,$B340,BV_Data_An_Cour!$V:$V,$C340,BV_Data_An_Cour!$W:$W,$L$2)</f>
        <v>0</v>
      </c>
      <c r="M340" s="252"/>
      <c r="N340" s="275">
        <f t="shared" si="34"/>
        <v>0</v>
      </c>
      <c r="O340" s="252"/>
      <c r="P340" s="41"/>
      <c r="Q340" s="255">
        <f t="array" ref="Q340">+INDEX('Réel 2024'!$A$2:$AO$502,MATCH($A340,'Réel 2024'!$A$2:$A$502,0),MATCH(Q$2,'Réel 2024'!$A$2:$AO$2,0))</f>
        <v>0</v>
      </c>
      <c r="R340" s="252"/>
      <c r="S340" s="275">
        <f t="shared" si="35"/>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564</v>
      </c>
      <c r="B341" s="41" t="s">
        <v>180</v>
      </c>
      <c r="C341" s="311" t="s">
        <v>137</v>
      </c>
      <c r="D341" s="296"/>
      <c r="E341" s="41"/>
      <c r="F341" s="253">
        <f>+INDEX('Budget original'!$A$2:$AO$502,MATCH($A341,'Budget original'!$A$2:$A$502,0),MATCH(F$2,'Budget original'!$A$2:$AO$2,0))</f>
        <v>484.5</v>
      </c>
      <c r="G341" s="297"/>
      <c r="H341" s="41"/>
      <c r="I341" s="253"/>
      <c r="J341" s="252"/>
      <c r="K341" s="41"/>
      <c r="L341" s="255">
        <f>SUMIFS(BV_Data_An_Cour!$O:$O,BV_Data_An_Cour!$U:$U,$B341,BV_Data_An_Cour!$V:$V,$C341,BV_Data_An_Cour!$W:$W,$L$2)</f>
        <v>489.23</v>
      </c>
      <c r="M341" s="252"/>
      <c r="N341" s="275">
        <f t="shared" si="34"/>
        <v>4.7300000000000182</v>
      </c>
      <c r="O341" s="252"/>
      <c r="P341" s="41"/>
      <c r="Q341" s="255">
        <f t="array" ref="Q341">+INDEX('Réel 2024'!$A$2:$AO$502,MATCH($A341,'Réel 2024'!$A$2:$A$502,0),MATCH(Q$2,'Réel 2024'!$A$2:$AO$2,0))</f>
        <v>799.65</v>
      </c>
      <c r="R341" s="252"/>
      <c r="S341" s="275">
        <f t="shared" si="35"/>
        <v>-310.41999999999996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565</v>
      </c>
      <c r="B342" s="41" t="s">
        <v>180</v>
      </c>
      <c r="C342" s="311" t="s">
        <v>138</v>
      </c>
      <c r="D342" s="296"/>
      <c r="E342" s="41"/>
      <c r="F342" s="253">
        <f>+INDEX('Budget original'!$A$2:$AO$502,MATCH($A342,'Budget original'!$A$2:$A$502,0),MATCH(F$2,'Budget original'!$A$2:$AO$2,0))</f>
        <v>113.75</v>
      </c>
      <c r="G342" s="297"/>
      <c r="H342" s="41"/>
      <c r="I342" s="253"/>
      <c r="J342" s="252"/>
      <c r="K342" s="41"/>
      <c r="L342" s="255">
        <f>SUMIFS(BV_Data_An_Cour!$O:$O,BV_Data_An_Cour!$U:$U,$B342,BV_Data_An_Cour!$V:$V,$C342,BV_Data_An_Cour!$W:$W,$L$2)</f>
        <v>69.22</v>
      </c>
      <c r="M342" s="252"/>
      <c r="N342" s="275">
        <f t="shared" si="34"/>
        <v>-44.53</v>
      </c>
      <c r="O342" s="252"/>
      <c r="P342" s="41"/>
      <c r="Q342" s="255">
        <f t="array" ref="Q342">+INDEX('Réel 2024'!$A$2:$AO$502,MATCH($A342,'Réel 2024'!$A$2:$A$502,0),MATCH(Q$2,'Réel 2024'!$A$2:$AO$2,0))</f>
        <v>62.25</v>
      </c>
      <c r="R342" s="252"/>
      <c r="S342" s="275">
        <f t="shared" si="35"/>
        <v>6.9699999999999989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566</v>
      </c>
      <c r="B343" s="41" t="s">
        <v>180</v>
      </c>
      <c r="C343" s="311" t="s">
        <v>139</v>
      </c>
      <c r="D343" s="296"/>
      <c r="E343" s="41"/>
      <c r="F343" s="253">
        <f>+INDEX('Budget original'!$A$2:$AO$502,MATCH($A343,'Budget original'!$A$2:$A$502,0),MATCH(F$2,'Budget original'!$A$2:$AO$2,0))</f>
        <v>178.0625</v>
      </c>
      <c r="G343" s="297"/>
      <c r="H343" s="41"/>
      <c r="I343" s="253"/>
      <c r="J343" s="252"/>
      <c r="K343" s="41"/>
      <c r="L343" s="255">
        <f>SUMIFS(BV_Data_An_Cour!$O:$O,BV_Data_An_Cour!$U:$U,$B343,BV_Data_An_Cour!$V:$V,$C343,BV_Data_An_Cour!$W:$W,$L$2)</f>
        <v>935.92</v>
      </c>
      <c r="M343" s="252"/>
      <c r="N343" s="275">
        <f t="shared" si="34"/>
        <v>757.85749999999996</v>
      </c>
      <c r="O343" s="252"/>
      <c r="P343" s="41"/>
      <c r="Q343" s="255">
        <f t="array" ref="Q343">+INDEX('Réel 2024'!$A$2:$AO$502,MATCH($A343,'Réel 2024'!$A$2:$A$502,0),MATCH(Q$2,'Réel 2024'!$A$2:$AO$2,0))</f>
        <v>-335.96</v>
      </c>
      <c r="R343" s="252"/>
      <c r="S343" s="275">
        <f t="shared" si="35"/>
        <v>1271.8799999999999</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567</v>
      </c>
      <c r="B344" s="41" t="s">
        <v>180</v>
      </c>
      <c r="C344" s="311" t="s">
        <v>140</v>
      </c>
      <c r="D344" s="296"/>
      <c r="E344" s="41"/>
      <c r="F344" s="253">
        <f>+INDEX('Budget original'!$A$2:$AO$502,MATCH($A344,'Budget original'!$A$2:$A$502,0),MATCH(F$2,'Budget original'!$A$2:$AO$2,0))</f>
        <v>93.75</v>
      </c>
      <c r="G344" s="297"/>
      <c r="H344" s="41"/>
      <c r="I344" s="253"/>
      <c r="J344" s="252"/>
      <c r="K344" s="41"/>
      <c r="L344" s="255">
        <f>SUMIFS(BV_Data_An_Cour!$O:$O,BV_Data_An_Cour!$U:$U,$B344,BV_Data_An_Cour!$V:$V,$C344,BV_Data_An_Cour!$W:$W,$L$2)</f>
        <v>14.74</v>
      </c>
      <c r="M344" s="252"/>
      <c r="N344" s="275">
        <f t="shared" si="34"/>
        <v>-79.010000000000005</v>
      </c>
      <c r="O344" s="252"/>
      <c r="P344" s="41"/>
      <c r="Q344" s="255">
        <f t="array" ref="Q344">+INDEX('Réel 2024'!$A$2:$AO$502,MATCH($A344,'Réel 2024'!$A$2:$A$502,0),MATCH(Q$2,'Réel 2024'!$A$2:$AO$2,0))</f>
        <v>49</v>
      </c>
      <c r="R344" s="252"/>
      <c r="S344" s="275">
        <f t="shared" si="35"/>
        <v>-34.26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568</v>
      </c>
      <c r="B345" s="41" t="s">
        <v>180</v>
      </c>
      <c r="C345" s="311" t="s">
        <v>141</v>
      </c>
      <c r="D345" s="296"/>
      <c r="E345" s="41"/>
      <c r="F345" s="253">
        <f>+INDEX('Budget original'!$A$2:$AO$502,MATCH($A345,'Budget original'!$A$2:$A$502,0),MATCH(F$2,'Budget original'!$A$2:$AO$2,0))</f>
        <v>333.33333333333331</v>
      </c>
      <c r="G345" s="297"/>
      <c r="H345" s="41"/>
      <c r="I345" s="253"/>
      <c r="J345" s="252"/>
      <c r="K345" s="41"/>
      <c r="L345" s="255">
        <f>SUMIFS(BV_Data_An_Cour!$O:$O,BV_Data_An_Cour!$U:$U,$B345,BV_Data_An_Cour!$V:$V,$C345,BV_Data_An_Cour!$W:$W,$L$2)</f>
        <v>0</v>
      </c>
      <c r="M345" s="252"/>
      <c r="N345" s="275">
        <f t="shared" si="34"/>
        <v>-333.33333333333331</v>
      </c>
      <c r="O345" s="252"/>
      <c r="P345" s="41"/>
      <c r="Q345" s="255">
        <f t="array" ref="Q345">+INDEX('Réel 2024'!$A$2:$AO$502,MATCH($A345,'Réel 2024'!$A$2:$A$502,0),MATCH(Q$2,'Réel 2024'!$A$2:$AO$2,0))</f>
        <v>471.28</v>
      </c>
      <c r="R345" s="252"/>
      <c r="S345" s="275">
        <f t="shared" si="35"/>
        <v>-471.28</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569</v>
      </c>
      <c r="B346" s="41" t="s">
        <v>180</v>
      </c>
      <c r="C346" s="311" t="s">
        <v>142</v>
      </c>
      <c r="D346" s="296"/>
      <c r="E346" s="41"/>
      <c r="F346" s="253">
        <f>+INDEX('Budget original'!$A$2:$AO$502,MATCH($A346,'Budget original'!$A$2:$A$502,0),MATCH(F$2,'Budget original'!$A$2:$AO$2,0))</f>
        <v>1667.553314705272</v>
      </c>
      <c r="G346" s="297"/>
      <c r="H346" s="41"/>
      <c r="I346" s="253"/>
      <c r="J346" s="252"/>
      <c r="K346" s="41"/>
      <c r="L346" s="255">
        <f>SUMIFS(BV_Data_An_Cour!$O:$O,BV_Data_An_Cour!$U:$U,$B346,BV_Data_An_Cour!$V:$V,$C346,BV_Data_An_Cour!$W:$W,$L$2)</f>
        <v>1891.27</v>
      </c>
      <c r="M346" s="252"/>
      <c r="N346" s="275">
        <f t="shared" si="34"/>
        <v>223.71668529472799</v>
      </c>
      <c r="O346" s="252"/>
      <c r="P346" s="41"/>
      <c r="Q346" s="255">
        <f t="array" ref="Q346">+INDEX('Réel 2024'!$A$2:$AO$502,MATCH($A346,'Réel 2024'!$A$2:$A$502,0),MATCH(Q$2,'Réel 2024'!$A$2:$AO$2,0))</f>
        <v>1733.14</v>
      </c>
      <c r="R346" s="252"/>
      <c r="S346" s="275">
        <f t="shared" si="35"/>
        <v>158.12999999999988</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536</v>
      </c>
      <c r="B347" s="41" t="s">
        <v>180</v>
      </c>
      <c r="C347" s="311" t="s">
        <v>59</v>
      </c>
      <c r="D347" s="296"/>
      <c r="E347" s="41"/>
      <c r="F347" s="253">
        <f>+INDEX('Budget original'!$A$2:$AO$502,MATCH($A347,'Budget original'!$A$2:$A$502,0),MATCH(F$2,'Budget original'!$A$2:$AO$2,0))</f>
        <v>0</v>
      </c>
      <c r="G347" s="297"/>
      <c r="H347" s="41"/>
      <c r="I347" s="253"/>
      <c r="J347" s="252"/>
      <c r="K347" s="41"/>
      <c r="L347" s="255">
        <f>SUMIFS(BV_Data_An_Cour!$O:$O,BV_Data_An_Cour!$U:$U,$B347,BV_Data_An_Cour!$V:$V,$C347,BV_Data_An_Cour!$W:$W,$L$2)</f>
        <v>0</v>
      </c>
      <c r="M347" s="252"/>
      <c r="N347" s="275">
        <f t="shared" si="34"/>
        <v>0</v>
      </c>
      <c r="O347" s="252"/>
      <c r="P347" s="41"/>
      <c r="Q347" s="255">
        <f t="array" ref="Q347">+INDEX('Réel 2024'!$A$2:$AO$502,MATCH($A347,'Réel 2024'!$A$2:$A$502,0),MATCH(Q$2,'Réel 2024'!$A$2:$AO$2,0))</f>
        <v>0</v>
      </c>
      <c r="R347" s="252"/>
      <c r="S347" s="275">
        <f t="shared" si="35"/>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536</v>
      </c>
      <c r="B348" s="41" t="s">
        <v>180</v>
      </c>
      <c r="C348" s="311" t="s">
        <v>59</v>
      </c>
      <c r="D348" s="296"/>
      <c r="E348" s="41"/>
      <c r="F348" s="253">
        <f>+INDEX('Budget original'!$A$2:$AO$502,MATCH($A348,'Budget original'!$A$2:$A$502,0),MATCH(F$2,'Budget original'!$A$2:$AO$2,0))</f>
        <v>0</v>
      </c>
      <c r="G348" s="297"/>
      <c r="H348" s="41"/>
      <c r="I348" s="253"/>
      <c r="J348" s="252"/>
      <c r="K348" s="41"/>
      <c r="L348" s="255">
        <f>SUMIFS(BV_Data_An_Cour!$O:$O,BV_Data_An_Cour!$U:$U,$B348,BV_Data_An_Cour!$V:$V,$C348,BV_Data_An_Cour!$W:$W,$L$2)</f>
        <v>0</v>
      </c>
      <c r="M348" s="252"/>
      <c r="N348" s="275">
        <f t="shared" si="34"/>
        <v>0</v>
      </c>
      <c r="O348" s="252"/>
      <c r="P348" s="41"/>
      <c r="Q348" s="255">
        <f t="array" ref="Q348">+INDEX('Réel 2024'!$A$2:$AO$502,MATCH($A348,'Réel 2024'!$A$2:$A$502,0),MATCH(Q$2,'Réel 2024'!$A$2:$AO$2,0))</f>
        <v>0</v>
      </c>
      <c r="R348" s="252"/>
      <c r="S348" s="275">
        <f t="shared" si="35"/>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536</v>
      </c>
      <c r="B349" s="41" t="s">
        <v>180</v>
      </c>
      <c r="C349" s="311" t="s">
        <v>59</v>
      </c>
      <c r="D349" s="296"/>
      <c r="E349" s="41"/>
      <c r="F349" s="253">
        <f>+INDEX('Budget original'!$A$2:$AO$502,MATCH($A349,'Budget original'!$A$2:$A$502,0),MATCH(F$2,'Budget original'!$A$2:$AO$2,0))</f>
        <v>0</v>
      </c>
      <c r="G349" s="297"/>
      <c r="H349" s="41"/>
      <c r="I349" s="253"/>
      <c r="J349" s="252"/>
      <c r="K349" s="41"/>
      <c r="L349" s="255">
        <f>SUMIFS(BV_Data_An_Cour!$O:$O,BV_Data_An_Cour!$U:$U,$B349,BV_Data_An_Cour!$V:$V,$C349,BV_Data_An_Cour!$W:$W,$L$2)</f>
        <v>0</v>
      </c>
      <c r="M349" s="252"/>
      <c r="N349" s="275">
        <f t="shared" si="34"/>
        <v>0</v>
      </c>
      <c r="O349" s="252"/>
      <c r="P349" s="41"/>
      <c r="Q349" s="255">
        <f t="array" ref="Q349">+INDEX('Réel 2024'!$A$2:$AO$502,MATCH($A349,'Réel 2024'!$A$2:$A$502,0),MATCH(Q$2,'Réel 2024'!$A$2:$AO$2,0))</f>
        <v>0</v>
      </c>
      <c r="R349" s="252"/>
      <c r="S349" s="275">
        <f t="shared" si="35"/>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0.24929952000992725</v>
      </c>
      <c r="F350" s="306">
        <f>+SUM(F332:F349)</f>
        <v>32296.67352806167</v>
      </c>
      <c r="G350" s="307"/>
      <c r="H350" s="305"/>
      <c r="I350" s="306"/>
      <c r="J350" s="307" t="s">
        <v>119</v>
      </c>
      <c r="K350" s="305">
        <f>L350/L$315</f>
        <v>0.20157895692284944</v>
      </c>
      <c r="L350" s="306">
        <f>+SUM(L332:L349)</f>
        <v>26872.140000000003</v>
      </c>
      <c r="M350" s="310"/>
      <c r="N350" s="306">
        <f>+SUM(N332:N349)</f>
        <v>-5424.5335280616709</v>
      </c>
      <c r="O350" s="307" t="s">
        <v>119</v>
      </c>
      <c r="P350" s="305">
        <f>Q350/Q$315</f>
        <v>0.23093852238972576</v>
      </c>
      <c r="Q350" s="306">
        <f>+SUM(Q332:Q349)</f>
        <v>28887.370000000003</v>
      </c>
      <c r="R350" s="310"/>
      <c r="S350" s="306">
        <f>+SUM(S332:S349)</f>
        <v>-2015.2300000000007</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0.69859395702161486</v>
      </c>
      <c r="F352" s="306">
        <f>F331+F350</f>
        <v>90502.624945709467</v>
      </c>
      <c r="G352" s="307"/>
      <c r="H352" s="305"/>
      <c r="I352" s="306"/>
      <c r="J352" s="307" t="s">
        <v>119</v>
      </c>
      <c r="K352" s="305">
        <f>L352/L$315</f>
        <v>0.54400057430799886</v>
      </c>
      <c r="L352" s="306">
        <f>L331+L350</f>
        <v>72519.77</v>
      </c>
      <c r="M352" s="310"/>
      <c r="N352" s="319">
        <f>L352-F352</f>
        <v>-17982.854945709463</v>
      </c>
      <c r="O352" s="307" t="s">
        <v>119</v>
      </c>
      <c r="P352" s="305">
        <f>Q352/Q$315</f>
        <v>0.58453551148945881</v>
      </c>
      <c r="Q352" s="306">
        <f>Q331+Q350</f>
        <v>73117.7</v>
      </c>
      <c r="R352" s="310"/>
      <c r="S352" s="319">
        <f>L352-Q352</f>
        <v>-597.92999999999302</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c r="B354" s="3"/>
      <c r="C354" s="331" t="s">
        <v>151</v>
      </c>
      <c r="D354" s="359"/>
      <c r="E354" s="332"/>
      <c r="F354" s="334">
        <f>F315-F352</f>
        <v>39047.057006247749</v>
      </c>
      <c r="G354" s="360"/>
      <c r="H354" s="332"/>
      <c r="I354" s="334"/>
      <c r="J354" s="331"/>
      <c r="K354" s="333"/>
      <c r="L354" s="334">
        <f>L315-L352</f>
        <v>60788.489999999947</v>
      </c>
      <c r="M354" s="331"/>
      <c r="N354" s="334">
        <f>L354-F354</f>
        <v>21741.432993752198</v>
      </c>
      <c r="O354" s="331"/>
      <c r="P354" s="981">
        <f>+Q354/O315</f>
        <v>9.7026253868045073E-2</v>
      </c>
      <c r="Q354" s="334">
        <f>Q315-Q352</f>
        <v>51969.139999999825</v>
      </c>
      <c r="R354" s="331"/>
      <c r="S354" s="334">
        <f>L354-Q354</f>
        <v>8819.3500000001222</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hidden="1"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8" t="str">
        <f>+C292</f>
        <v>Volks</v>
      </c>
      <c r="D357" s="231"/>
      <c r="E357" s="231"/>
      <c r="F357" s="231"/>
      <c r="G357" s="231"/>
      <c r="H357" s="36"/>
      <c r="I357" s="36"/>
      <c r="J357" s="36"/>
      <c r="K357" s="9" t="s">
        <v>196</v>
      </c>
      <c r="L357" s="231"/>
      <c r="M357" s="231"/>
      <c r="N357" s="36"/>
      <c r="O357" s="36"/>
      <c r="P357" s="231"/>
      <c r="Q357" s="36"/>
      <c r="R357" s="231"/>
      <c r="S357" s="10" t="str">
        <f>$S$1</f>
        <v>Réalisé, Juillet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B359" s="3"/>
      <c r="C359" s="237"/>
      <c r="D359" s="1178" t="s">
        <v>343</v>
      </c>
      <c r="E359" s="1179"/>
      <c r="F359" s="1180"/>
      <c r="G359" s="1181"/>
      <c r="H359" s="1179"/>
      <c r="I359" s="1180"/>
      <c r="J359" s="1181" t="s">
        <v>344</v>
      </c>
      <c r="K359" s="1179"/>
      <c r="L359" s="1180"/>
      <c r="M359" s="1181"/>
      <c r="N359" s="1180"/>
      <c r="O359" s="1178" t="s">
        <v>345</v>
      </c>
      <c r="P359" s="1179"/>
      <c r="Q359" s="1180"/>
      <c r="R359" s="1181" t="s">
        <v>346</v>
      </c>
      <c r="S359" s="118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570</v>
      </c>
      <c r="B361" s="41" t="s">
        <v>196</v>
      </c>
      <c r="C361" s="277" t="s">
        <v>196</v>
      </c>
      <c r="D361" s="420">
        <f>+INDEX('Budget original'!$A$2:$AO$502,MATCH($A361,'Budget original'!$A$2:$A$502,0),MATCH(D$2,'Budget original'!$A$2:$AO$2,0))</f>
        <v>0</v>
      </c>
      <c r="E361" s="421">
        <f>IFERROR(F361/D361,0)</f>
        <v>0</v>
      </c>
      <c r="F361" s="422">
        <f>+INDEX('Budget original'!$A$2:$AO$502,MATCH($A361,'Budget original'!$A$2:$A$502,0),MATCH(F$2,'Budget original'!$A$2:$AO$2,0))</f>
        <v>0</v>
      </c>
      <c r="G361" s="420"/>
      <c r="H361" s="421"/>
      <c r="I361" s="420"/>
      <c r="J361" s="423">
        <f>-SUMIFS(BV_Data_An_Cour!$O:$O,BV_Data_An_Cour!$X:$X,"Oui",BV_Data_An_Cour!$U:$U,$B361,BV_Data_An_Cour!$V:$V,$C361)</f>
        <v>0</v>
      </c>
      <c r="K361" s="409">
        <f>IF(J361&lt;=0,0,L361/J361)</f>
        <v>0</v>
      </c>
      <c r="L361" s="424">
        <f>-SUMIFS(BV_Data_An_Cour!$O:$O,BV_Data_An_Cour!$X:$X,"Oui",BV_Data_An_Cour!$U:$U,$B361,BV_Data_An_Cour!$V:$V,$C361)</f>
        <v>0</v>
      </c>
      <c r="M361" s="410"/>
      <c r="N361" s="411"/>
      <c r="O361" s="423">
        <f t="array" ref="O361">+INDEX('Réel 2024'!$A$2:$AO$502,MATCH($A361,'Réel 2024'!$A$2:$A$502,0),MATCH(O$2,'Réel 2024'!$A$2:$AO$2,0))</f>
        <v>0</v>
      </c>
      <c r="P361" s="409">
        <f>IFERROR(Q361/O361,0)</f>
        <v>0</v>
      </c>
      <c r="Q361" s="424">
        <f t="array" ref="Q361">+INDEX('Réel 2024'!$A$2:$AO$502,MATCH($A361,'Réel 2024'!$A$2:$A$502,0),MATCH(Q$2,'Réel 2024'!$A$2:$AO$2,0))</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571</v>
      </c>
      <c r="B363" s="41" t="s">
        <v>196</v>
      </c>
      <c r="C363" s="269" t="s">
        <v>197</v>
      </c>
      <c r="D363" s="318">
        <f>+D361</f>
        <v>0</v>
      </c>
      <c r="E363" s="371">
        <f>IF(D363&lt;=0,0,F363/D363)</f>
        <v>0</v>
      </c>
      <c r="F363" s="373">
        <f>+F361</f>
        <v>0</v>
      </c>
      <c r="G363" s="372"/>
      <c r="H363" s="371"/>
      <c r="I363" s="373"/>
      <c r="J363" s="372">
        <f>+J361</f>
        <v>0</v>
      </c>
      <c r="K363" s="371">
        <f>IF(J363&lt;=0,0,L363/J363)</f>
        <v>0</v>
      </c>
      <c r="L363" s="373">
        <f>+L361</f>
        <v>0</v>
      </c>
      <c r="M363" s="352"/>
      <c r="N363" s="426"/>
      <c r="O363" s="372">
        <f>+O361</f>
        <v>0</v>
      </c>
      <c r="P363" s="371">
        <f>IF(O363&lt;=0,0,Q363/O363)</f>
        <v>0</v>
      </c>
      <c r="Q363" s="373">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196</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572</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573</v>
      </c>
      <c r="B366" s="41" t="s">
        <v>196</v>
      </c>
      <c r="C366" s="311" t="s">
        <v>120</v>
      </c>
      <c r="D366" s="41"/>
      <c r="E366" s="41"/>
      <c r="F366" s="253">
        <f>+INDEX('Budget original'!$A$2:$AO$502,MATCH($A366,'Budget original'!$A$2:$A$502,0),MATCH(F$2,'Budget original'!$A$2:$AO$2,0))</f>
        <v>0</v>
      </c>
      <c r="G366" s="252"/>
      <c r="H366" s="41"/>
      <c r="I366" s="253"/>
      <c r="J366" s="252"/>
      <c r="K366" s="41"/>
      <c r="L366" s="255">
        <f>-SUMIFS(BV_Data_An_Cour!$O:$O,BV_Data_An_Cour!$U:$U,$B366,BV_Data_An_Cour!$V:$V,$C366,BV_Data_An_Cour!$W:$W,$L$2)</f>
        <v>0</v>
      </c>
      <c r="M366" s="252"/>
      <c r="N366" s="262"/>
      <c r="O366" s="252"/>
      <c r="P366" s="41"/>
      <c r="Q366" s="255">
        <f t="array" ref="Q366">+INDEX('Réel 2024'!$A$2:$AO$502,MATCH($A366,'Réel 2024'!$A$2:$A$502,0),MATCH(Q$2,'Réel 2024'!$A$2:$AO$2,0))</f>
        <v>0</v>
      </c>
      <c r="R366" s="252"/>
      <c r="S366" s="255">
        <f t="shared" ref="S366:S395" si="36">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574</v>
      </c>
      <c r="B367" s="41" t="s">
        <v>196</v>
      </c>
      <c r="C367" s="312" t="s">
        <v>121</v>
      </c>
      <c r="D367" s="296"/>
      <c r="E367" s="41"/>
      <c r="F367" s="247">
        <f>+INDEX('Budget original'!$A$2:$AO$502,MATCH($A367,'Budget original'!$A$2:$A$502,0),MATCH(F$2,'Budget original'!$A$2:$AO$2,0))</f>
        <v>0</v>
      </c>
      <c r="G367" s="297"/>
      <c r="H367" s="41"/>
      <c r="I367" s="247"/>
      <c r="J367" s="252"/>
      <c r="K367" s="41"/>
      <c r="L367" s="247">
        <f>-SUMIFS(BV_Data_An_Cour!$O:$O,BV_Data_An_Cour!$U:$U,$B367,BV_Data_An_Cour!$V:$V,$C367,BV_Data_An_Cour!$W:$W,$L$2)</f>
        <v>0</v>
      </c>
      <c r="M367" s="252"/>
      <c r="N367" s="275"/>
      <c r="O367" s="252"/>
      <c r="P367" s="41"/>
      <c r="Q367" s="247">
        <f t="array" ref="Q367">+INDEX('Réel 2024'!$A$2:$AO$502,MATCH($A367,'Réel 2024'!$A$2:$A$502,0),MATCH(Q$2,'Réel 2024'!$A$2:$AO$2,0))</f>
        <v>0</v>
      </c>
      <c r="R367" s="252"/>
      <c r="S367" s="275">
        <f t="shared" si="3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575</v>
      </c>
      <c r="B368" s="41" t="s">
        <v>196</v>
      </c>
      <c r="C368" s="311" t="s">
        <v>122</v>
      </c>
      <c r="D368" s="313"/>
      <c r="E368" s="314"/>
      <c r="F368" s="253">
        <f>+INDEX('Budget original'!$A$2:$AO$502,MATCH($A368,'Budget original'!$A$2:$A$502,0),MATCH(F$2,'Budget original'!$A$2:$AO$2,0))</f>
        <v>0</v>
      </c>
      <c r="G368" s="315"/>
      <c r="H368" s="314"/>
      <c r="I368" s="253"/>
      <c r="J368" s="240"/>
      <c r="K368" s="314"/>
      <c r="L368" s="255">
        <f>-SUMIFS(BV_Data_An_Cour!$O:$O,BV_Data_An_Cour!$U:$U,$B368,BV_Data_An_Cour!$V:$V,$C368,BV_Data_An_Cour!$W:$W,$L$2)</f>
        <v>0</v>
      </c>
      <c r="M368" s="240"/>
      <c r="N368" s="316"/>
      <c r="O368" s="240"/>
      <c r="P368" s="314"/>
      <c r="Q368" s="255">
        <f t="array" ref="Q368">+INDEX('Réel 2024'!$A$2:$AO$502,MATCH($A368,'Réel 2024'!$A$2:$A$502,0),MATCH(Q$2,'Réel 2024'!$A$2:$AO$2,0))</f>
        <v>0</v>
      </c>
      <c r="R368" s="240"/>
      <c r="S368" s="316">
        <f t="shared" si="3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576</v>
      </c>
      <c r="B369" s="41" t="s">
        <v>196</v>
      </c>
      <c r="C369" s="311" t="s">
        <v>123</v>
      </c>
      <c r="D369" s="296"/>
      <c r="E369" s="41"/>
      <c r="F369" s="253">
        <f>+INDEX('Budget original'!$A$2:$AO$502,MATCH($A369,'Budget original'!$A$2:$A$502,0),MATCH(F$2,'Budget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2024'!$A$2:$AO$502,MATCH($A369,'Réel 2024'!$A$2:$A$502,0),MATCH(Q$2,'Réel 2024'!$A$2:$AO$2,0))</f>
        <v>0</v>
      </c>
      <c r="R369" s="252"/>
      <c r="S369" s="275">
        <f t="shared" si="3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577</v>
      </c>
      <c r="B370" s="41" t="s">
        <v>196</v>
      </c>
      <c r="C370" s="252" t="s">
        <v>59</v>
      </c>
      <c r="D370" s="296"/>
      <c r="E370" s="41"/>
      <c r="F370" s="253">
        <f>+INDEX('Budget original'!$A$2:$AO$502,MATCH($A370,'Budget original'!$A$2:$A$502,0),MATCH(F$2,'Budget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2024'!$A$2:$AO$502,MATCH($A370,'Réel 2024'!$A$2:$A$502,0),MATCH(Q$2,'Réel 2024'!$A$2:$AO$2,0))</f>
        <v>0</v>
      </c>
      <c r="R370" s="252"/>
      <c r="S370" s="275">
        <f t="shared" si="3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577</v>
      </c>
      <c r="B371" s="41" t="s">
        <v>196</v>
      </c>
      <c r="C371" s="252" t="s">
        <v>59</v>
      </c>
      <c r="D371" s="296"/>
      <c r="E371" s="41"/>
      <c r="F371" s="253">
        <f>+INDEX('Budget original'!$A$2:$AO$502,MATCH($A371,'Budget original'!$A$2:$A$502,0),MATCH(F$2,'Budget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2024'!$A$2:$AO$502,MATCH($A371,'Réel 2024'!$A$2:$A$502,0),MATCH(Q$2,'Réel 2024'!$A$2:$AO$2,0))</f>
        <v>0</v>
      </c>
      <c r="R371" s="252"/>
      <c r="S371" s="275">
        <f t="shared" si="3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577</v>
      </c>
      <c r="B372" s="41" t="s">
        <v>196</v>
      </c>
      <c r="C372" s="252" t="s">
        <v>59</v>
      </c>
      <c r="D372" s="296"/>
      <c r="E372" s="41"/>
      <c r="F372" s="253">
        <f>+INDEX('Budget original'!$A$2:$AO$502,MATCH($A372,'Budget original'!$A$2:$A$502,0),MATCH(F$2,'Budget original'!$A$2:$AO$2,0))</f>
        <v>0</v>
      </c>
      <c r="G372" s="297"/>
      <c r="H372" s="41"/>
      <c r="I372" s="253"/>
      <c r="J372" s="252"/>
      <c r="K372" s="41"/>
      <c r="L372" s="255">
        <f>-SUMIFS(BV_Data_An_Cour!$O:$O,BV_Data_An_Cour!$U:$U,$B372,BV_Data_An_Cour!$V:$V,$C372,BV_Data_An_Cour!$W:$W,$L$2)</f>
        <v>0</v>
      </c>
      <c r="M372" s="252"/>
      <c r="N372" s="275"/>
      <c r="O372" s="252"/>
      <c r="P372" s="41"/>
      <c r="Q372" s="255">
        <f t="array" ref="Q372">+INDEX('Réel 2024'!$A$2:$AO$502,MATCH($A372,'Réel 2024'!$A$2:$A$502,0),MATCH(Q$2,'Réel 2024'!$A$2:$AO$2,0))</f>
        <v>0</v>
      </c>
      <c r="R372" s="252"/>
      <c r="S372" s="275">
        <f t="shared" si="3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578</v>
      </c>
      <c r="B373" s="41" t="s">
        <v>196</v>
      </c>
      <c r="C373" s="312" t="s">
        <v>124</v>
      </c>
      <c r="D373" s="296"/>
      <c r="E373" s="41"/>
      <c r="F373" s="247">
        <f>+INDEX('Budget original'!$A$2:$AO$502,MATCH($A373,'Budget original'!$A$2:$A$502,0),MATCH(F$2,'Budget original'!$A$2:$AO$2,0))</f>
        <v>0</v>
      </c>
      <c r="G373" s="297"/>
      <c r="H373" s="41"/>
      <c r="I373" s="247"/>
      <c r="J373" s="252"/>
      <c r="K373" s="41"/>
      <c r="L373" s="247">
        <f>-SUMIFS(BV_Data_An_Cour!$O:$O,BV_Data_An_Cour!$U:$U,$B373,BV_Data_An_Cour!$V:$V,$C373,BV_Data_An_Cour!$W:$W,$L$2)</f>
        <v>0</v>
      </c>
      <c r="M373" s="252"/>
      <c r="N373" s="275"/>
      <c r="O373" s="252"/>
      <c r="P373" s="41"/>
      <c r="Q373" s="247">
        <f t="array" ref="Q373">+INDEX('Réel 2024'!$A$2:$AO$502,MATCH($A373,'Réel 2024'!$A$2:$A$502,0),MATCH(Q$2,'Réel 2024'!$A$2:$AO$2,0))</f>
        <v>0</v>
      </c>
      <c r="R373" s="252"/>
      <c r="S373" s="275">
        <f t="shared" si="3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579</v>
      </c>
      <c r="B374" s="41" t="s">
        <v>196</v>
      </c>
      <c r="C374" s="311" t="s">
        <v>125</v>
      </c>
      <c r="D374" s="313"/>
      <c r="E374" s="314"/>
      <c r="F374" s="253">
        <f>+INDEX('Budget original'!$A$2:$AO$502,MATCH($A374,'Budget original'!$A$2:$A$502,0),MATCH(F$2,'Budget original'!$A$2:$AO$2,0))</f>
        <v>0</v>
      </c>
      <c r="G374" s="315"/>
      <c r="H374" s="314"/>
      <c r="I374" s="253"/>
      <c r="J374" s="240"/>
      <c r="K374" s="314"/>
      <c r="L374" s="255">
        <f>-SUMIFS(BV_Data_An_Cour!$O:$O,BV_Data_An_Cour!$U:$U,$B374,BV_Data_An_Cour!$V:$V,$C374,BV_Data_An_Cour!$W:$W,$L$2)</f>
        <v>0</v>
      </c>
      <c r="M374" s="240"/>
      <c r="N374" s="316"/>
      <c r="O374" s="240"/>
      <c r="P374" s="314"/>
      <c r="Q374" s="255">
        <f t="array" ref="Q374">+INDEX('Réel 2024'!$A$2:$AO$502,MATCH($A374,'Réel 2024'!$A$2:$A$502,0),MATCH(Q$2,'Réel 2024'!$A$2:$AO$2,0))</f>
        <v>0</v>
      </c>
      <c r="R374" s="240"/>
      <c r="S374" s="316">
        <f t="shared" si="3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580</v>
      </c>
      <c r="B375" s="41" t="s">
        <v>196</v>
      </c>
      <c r="C375" s="311" t="s">
        <v>126</v>
      </c>
      <c r="D375" s="296"/>
      <c r="E375" s="41"/>
      <c r="F375" s="253">
        <f>+INDEX('Budget original'!$A$2:$AO$502,MATCH($A375,'Budget original'!$A$2:$A$502,0),MATCH(F$2,'Budget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2024'!$A$2:$AO$502,MATCH($A375,'Réel 2024'!$A$2:$A$502,0),MATCH(Q$2,'Réel 2024'!$A$2:$AO$2,0))</f>
        <v>0</v>
      </c>
      <c r="R375" s="252"/>
      <c r="S375" s="275">
        <f t="shared" si="3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581</v>
      </c>
      <c r="B376" s="41" t="s">
        <v>196</v>
      </c>
      <c r="C376" s="311" t="s">
        <v>127</v>
      </c>
      <c r="D376" s="296"/>
      <c r="E376" s="41"/>
      <c r="F376" s="253">
        <f>+INDEX('Budget original'!$A$2:$AO$502,MATCH($A376,'Budget original'!$A$2:$A$502,0),MATCH(F$2,'Budget original'!$A$2:$AO$2,0))</f>
        <v>0</v>
      </c>
      <c r="G376" s="297"/>
      <c r="H376" s="41"/>
      <c r="I376" s="253"/>
      <c r="J376" s="252"/>
      <c r="K376" s="41"/>
      <c r="L376" s="255">
        <f>-SUMIFS(BV_Data_An_Cour!$O:$O,BV_Data_An_Cour!$U:$U,$B376,BV_Data_An_Cour!$V:$V,$C376,BV_Data_An_Cour!$W:$W,$L$2)</f>
        <v>0</v>
      </c>
      <c r="M376" s="252"/>
      <c r="N376" s="275"/>
      <c r="O376" s="252"/>
      <c r="P376" s="41"/>
      <c r="Q376" s="255">
        <f t="array" ref="Q376">+INDEX('Réel 2024'!$A$2:$AO$502,MATCH($A376,'Réel 2024'!$A$2:$A$502,0),MATCH(Q$2,'Réel 2024'!$A$2:$AO$2,0))</f>
        <v>0</v>
      </c>
      <c r="R376" s="252"/>
      <c r="S376" s="275">
        <f t="shared" si="3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577</v>
      </c>
      <c r="B377" s="41" t="s">
        <v>196</v>
      </c>
      <c r="C377" s="252" t="s">
        <v>59</v>
      </c>
      <c r="D377" s="298"/>
      <c r="E377" s="317"/>
      <c r="F377" s="253">
        <f>+INDEX('Budget original'!$A$2:$AO$502,MATCH($A377,'Budget original'!$A$2:$A$502,0),MATCH(F$2,'Budget original'!$A$2:$AO$2,0))</f>
        <v>0</v>
      </c>
      <c r="G377" s="299"/>
      <c r="H377" s="317"/>
      <c r="I377" s="253"/>
      <c r="J377" s="245"/>
      <c r="K377" s="317"/>
      <c r="L377" s="255">
        <f>-SUMIFS(BV_Data_An_Cour!$O:$O,BV_Data_An_Cour!$U:$U,$B377,BV_Data_An_Cour!$V:$V,$C377,BV_Data_An_Cour!$W:$W,$L$2)</f>
        <v>0</v>
      </c>
      <c r="M377" s="245"/>
      <c r="N377" s="295"/>
      <c r="O377" s="245"/>
      <c r="P377" s="317"/>
      <c r="Q377" s="255">
        <f t="array" ref="Q377">+INDEX('Réel 2024'!$A$2:$AO$502,MATCH($A377,'Réel 2024'!$A$2:$A$502,0),MATCH(Q$2,'Réel 2024'!$A$2:$AO$2,0))</f>
        <v>0</v>
      </c>
      <c r="R377" s="245"/>
      <c r="S377" s="295">
        <f t="shared" si="3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582</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3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583</v>
      </c>
      <c r="B379" s="41" t="s">
        <v>196</v>
      </c>
      <c r="C379" s="405" t="s">
        <v>129</v>
      </c>
      <c r="D379" s="296"/>
      <c r="E379" s="41"/>
      <c r="F379" s="253">
        <f>+INDEX('Budget original'!$A$2:$AO$502,MATCH($A379,'Budget original'!$A$2:$A$502,0),MATCH(F$2,'Budget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2024'!$A$2:$AO$502,MATCH($A379,'Réel 2024'!$A$2:$A$502,0),MATCH(Q$2,'Réel 2024'!$A$2:$AO$2,0))</f>
        <v>0</v>
      </c>
      <c r="R379" s="252"/>
      <c r="S379" s="275">
        <f t="shared" si="3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584</v>
      </c>
      <c r="B380" s="41" t="s">
        <v>196</v>
      </c>
      <c r="C380" s="311" t="s">
        <v>130</v>
      </c>
      <c r="D380" s="296"/>
      <c r="E380" s="41"/>
      <c r="F380" s="253">
        <f>+INDEX('Budget original'!$A$2:$AO$502,MATCH($A380,'Budget original'!$A$2:$A$502,0),MATCH(F$2,'Budget original'!$A$2:$AO$2,0))</f>
        <v>0</v>
      </c>
      <c r="G380" s="297"/>
      <c r="H380" s="41"/>
      <c r="I380" s="253"/>
      <c r="J380" s="252"/>
      <c r="K380" s="41"/>
      <c r="L380" s="255">
        <f>-SUMIFS(BV_Data_An_Cour!$O:$O,BV_Data_An_Cour!$U:$U,$B380,BV_Data_An_Cour!$V:$V,$C380,BV_Data_An_Cour!$W:$W,$L$2)</f>
        <v>0</v>
      </c>
      <c r="M380" s="252"/>
      <c r="N380" s="275"/>
      <c r="O380" s="252"/>
      <c r="P380" s="41"/>
      <c r="Q380" s="255">
        <f t="array" ref="Q380">+INDEX('Réel 2024'!$A$2:$AO$502,MATCH($A380,'Réel 2024'!$A$2:$A$502,0),MATCH(Q$2,'Réel 2024'!$A$2:$AO$2,0))</f>
        <v>0</v>
      </c>
      <c r="R380" s="252"/>
      <c r="S380" s="275">
        <f t="shared" si="3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585</v>
      </c>
      <c r="B381" s="41" t="s">
        <v>196</v>
      </c>
      <c r="C381" s="312" t="s">
        <v>131</v>
      </c>
      <c r="D381" s="298"/>
      <c r="E381" s="317"/>
      <c r="F381" s="247">
        <f>+INDEX('Budget original'!$A$2:$AO$502,MATCH($A381,'Budget original'!$A$2:$A$502,0),MATCH(F$2,'Budget original'!$A$2:$AO$2,0))</f>
        <v>0</v>
      </c>
      <c r="G381" s="299"/>
      <c r="H381" s="317"/>
      <c r="I381" s="247"/>
      <c r="J381" s="245"/>
      <c r="K381" s="317"/>
      <c r="L381" s="247">
        <f>-SUMIFS(BV_Data_An_Cour!$O:$O,BV_Data_An_Cour!$U:$U,$B381,BV_Data_An_Cour!$V:$V,$C381,BV_Data_An_Cour!$W:$W,$L$2)</f>
        <v>0</v>
      </c>
      <c r="M381" s="245"/>
      <c r="N381" s="295"/>
      <c r="O381" s="245"/>
      <c r="P381" s="317"/>
      <c r="Q381" s="247">
        <f t="array" ref="Q381">+INDEX('Réel 2024'!$A$2:$AO$502,MATCH($A381,'Réel 2024'!$A$2:$A$502,0),MATCH(Q$2,'Réel 2024'!$A$2:$AO$2,0))</f>
        <v>0</v>
      </c>
      <c r="R381" s="245"/>
      <c r="S381" s="295">
        <f t="shared" si="3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586</v>
      </c>
      <c r="B382" s="41" t="s">
        <v>196</v>
      </c>
      <c r="C382" s="311" t="s">
        <v>132</v>
      </c>
      <c r="D382" s="296"/>
      <c r="E382" s="41"/>
      <c r="F382" s="253">
        <f>+INDEX('Budget original'!$A$2:$AO$502,MATCH($A382,'Budget original'!$A$2:$A$502,0),MATCH(F$2,'Budget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2024'!$A$2:$AO$502,MATCH($A382,'Réel 2024'!$A$2:$A$502,0),MATCH(Q$2,'Réel 2024'!$A$2:$AO$2,0))</f>
        <v>0</v>
      </c>
      <c r="R382" s="252"/>
      <c r="S382" s="275">
        <f t="shared" si="3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587</v>
      </c>
      <c r="B383" s="41" t="s">
        <v>196</v>
      </c>
      <c r="C383" s="311" t="s">
        <v>133</v>
      </c>
      <c r="D383" s="296"/>
      <c r="E383" s="41"/>
      <c r="F383" s="253">
        <f>+INDEX('Budget original'!$A$2:$AO$502,MATCH($A383,'Budget original'!$A$2:$A$502,0),MATCH(F$2,'Budget original'!$A$2:$AO$2,0))</f>
        <v>0</v>
      </c>
      <c r="G383" s="297"/>
      <c r="H383" s="41"/>
      <c r="I383" s="253"/>
      <c r="J383" s="252"/>
      <c r="K383" s="41"/>
      <c r="L383" s="255">
        <f>-SUMIFS(BV_Data_An_Cour!$O:$O,BV_Data_An_Cour!$U:$U,$B383,BV_Data_An_Cour!$V:$V,$C383,BV_Data_An_Cour!$W:$W,$L$2)</f>
        <v>0</v>
      </c>
      <c r="M383" s="252"/>
      <c r="N383" s="275"/>
      <c r="O383" s="252"/>
      <c r="P383" s="41"/>
      <c r="Q383" s="255">
        <f t="array" ref="Q383">+INDEX('Réel 2024'!$A$2:$AO$502,MATCH($A383,'Réel 2024'!$A$2:$A$502,0),MATCH(Q$2,'Réel 2024'!$A$2:$AO$2,0))</f>
        <v>0</v>
      </c>
      <c r="R383" s="252"/>
      <c r="S383" s="275">
        <f t="shared" si="3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588</v>
      </c>
      <c r="B384" s="41" t="s">
        <v>196</v>
      </c>
      <c r="C384" s="311" t="s">
        <v>134</v>
      </c>
      <c r="D384" s="298"/>
      <c r="E384" s="317"/>
      <c r="F384" s="247">
        <f>+INDEX('Budget original'!$A$2:$AO$502,MATCH($A384,'Budget original'!$A$2:$A$502,0),MATCH(F$2,'Budget original'!$A$2:$AO$2,0))</f>
        <v>0</v>
      </c>
      <c r="G384" s="299"/>
      <c r="H384" s="317"/>
      <c r="I384" s="247"/>
      <c r="J384" s="245"/>
      <c r="K384" s="317"/>
      <c r="L384" s="247">
        <f>-SUMIFS(BV_Data_An_Cour!$O:$O,BV_Data_An_Cour!$U:$U,$B384,BV_Data_An_Cour!$V:$V,$C384,BV_Data_An_Cour!$W:$W,$L$2)</f>
        <v>0</v>
      </c>
      <c r="M384" s="245"/>
      <c r="N384" s="295"/>
      <c r="O384" s="245"/>
      <c r="P384" s="317"/>
      <c r="Q384" s="247">
        <f t="array" ref="Q384">+INDEX('Réel 2024'!$A$2:$AO$502,MATCH($A384,'Réel 2024'!$A$2:$A$502,0),MATCH(Q$2,'Réel 2024'!$A$2:$AO$2,0))</f>
        <v>0</v>
      </c>
      <c r="R384" s="245"/>
      <c r="S384" s="295">
        <f t="shared" si="3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589</v>
      </c>
      <c r="B385" s="41" t="s">
        <v>196</v>
      </c>
      <c r="C385" s="405" t="s">
        <v>135</v>
      </c>
      <c r="D385" s="296"/>
      <c r="E385" s="41"/>
      <c r="F385" s="253">
        <f>+INDEX('Budget original'!$A$2:$AO$502,MATCH($A385,'Budget original'!$A$2:$A$502,0),MATCH(F$2,'Budget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2024'!$A$2:$AO$502,MATCH($A385,'Réel 2024'!$A$2:$A$502,0),MATCH(Q$2,'Réel 2024'!$A$2:$AO$2,0))</f>
        <v>0</v>
      </c>
      <c r="R385" s="252"/>
      <c r="S385" s="275">
        <f t="shared" si="3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590</v>
      </c>
      <c r="B386" s="41" t="s">
        <v>196</v>
      </c>
      <c r="C386" s="311" t="s">
        <v>136</v>
      </c>
      <c r="D386" s="296"/>
      <c r="E386" s="41"/>
      <c r="F386" s="253">
        <f>+INDEX('Budget original'!$A$2:$AO$502,MATCH($A386,'Budget original'!$A$2:$A$502,0),MATCH(F$2,'Budget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2024'!$A$2:$AO$502,MATCH($A386,'Réel 2024'!$A$2:$A$502,0),MATCH(Q$2,'Réel 2024'!$A$2:$AO$2,0))</f>
        <v>0</v>
      </c>
      <c r="R386" s="252"/>
      <c r="S386" s="275">
        <f t="shared" si="3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591</v>
      </c>
      <c r="B387" s="41" t="s">
        <v>196</v>
      </c>
      <c r="C387" s="311" t="s">
        <v>137</v>
      </c>
      <c r="D387" s="296"/>
      <c r="E387" s="41"/>
      <c r="F387" s="253">
        <f>+INDEX('Budget original'!$A$2:$AO$502,MATCH($A387,'Budget original'!$A$2:$A$502,0),MATCH(F$2,'Budget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2024'!$A$2:$AO$502,MATCH($A387,'Réel 2024'!$A$2:$A$502,0),MATCH(Q$2,'Réel 2024'!$A$2:$AO$2,0))</f>
        <v>0</v>
      </c>
      <c r="R387" s="252"/>
      <c r="S387" s="275">
        <f t="shared" si="3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592</v>
      </c>
      <c r="B388" s="41" t="s">
        <v>196</v>
      </c>
      <c r="C388" s="311" t="s">
        <v>138</v>
      </c>
      <c r="D388" s="296"/>
      <c r="E388" s="41"/>
      <c r="F388" s="253">
        <f>+INDEX('Budget original'!$A$2:$AO$502,MATCH($A388,'Budget original'!$A$2:$A$502,0),MATCH(F$2,'Budget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2024'!$A$2:$AO$502,MATCH($A388,'Réel 2024'!$A$2:$A$502,0),MATCH(Q$2,'Réel 2024'!$A$2:$AO$2,0))</f>
        <v>0</v>
      </c>
      <c r="R388" s="252"/>
      <c r="S388" s="275">
        <f t="shared" si="3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593</v>
      </c>
      <c r="B389" s="41" t="s">
        <v>196</v>
      </c>
      <c r="C389" s="311" t="s">
        <v>139</v>
      </c>
      <c r="D389" s="296"/>
      <c r="E389" s="41"/>
      <c r="F389" s="253">
        <f>+INDEX('Budget original'!$A$2:$AO$502,MATCH($A389,'Budget original'!$A$2:$A$502,0),MATCH(F$2,'Budget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2024'!$A$2:$AO$502,MATCH($A389,'Réel 2024'!$A$2:$A$502,0),MATCH(Q$2,'Réel 2024'!$A$2:$AO$2,0))</f>
        <v>0</v>
      </c>
      <c r="R389" s="252"/>
      <c r="S389" s="275">
        <f t="shared" si="3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594</v>
      </c>
      <c r="B390" s="41" t="s">
        <v>196</v>
      </c>
      <c r="C390" s="311" t="s">
        <v>140</v>
      </c>
      <c r="D390" s="296"/>
      <c r="E390" s="41"/>
      <c r="F390" s="253">
        <f>+INDEX('Budget original'!$A$2:$AO$502,MATCH($A390,'Budget original'!$A$2:$A$502,0),MATCH(F$2,'Budget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2024'!$A$2:$AO$502,MATCH($A390,'Réel 2024'!$A$2:$A$502,0),MATCH(Q$2,'Réel 2024'!$A$2:$AO$2,0))</f>
        <v>0</v>
      </c>
      <c r="R390" s="252"/>
      <c r="S390" s="275">
        <f t="shared" si="3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595</v>
      </c>
      <c r="B391" s="41" t="s">
        <v>196</v>
      </c>
      <c r="C391" s="311" t="s">
        <v>141</v>
      </c>
      <c r="D391" s="296"/>
      <c r="E391" s="41"/>
      <c r="F391" s="253">
        <f>+INDEX('Budget original'!$A$2:$AO$502,MATCH($A391,'Budget original'!$A$2:$A$502,0),MATCH(F$2,'Budget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2024'!$A$2:$AO$502,MATCH($A391,'Réel 2024'!$A$2:$A$502,0),MATCH(Q$2,'Réel 2024'!$A$2:$AO$2,0))</f>
        <v>0</v>
      </c>
      <c r="R391" s="252"/>
      <c r="S391" s="275">
        <f t="shared" si="3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596</v>
      </c>
      <c r="B392" s="41" t="s">
        <v>196</v>
      </c>
      <c r="C392" s="311" t="s">
        <v>142</v>
      </c>
      <c r="D392" s="296"/>
      <c r="E392" s="41"/>
      <c r="F392" s="253">
        <f>+INDEX('Budget original'!$A$2:$AO$502,MATCH($A392,'Budget original'!$A$2:$A$502,0),MATCH(F$2,'Budget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2024'!$A$2:$AO$502,MATCH($A392,'Réel 2024'!$A$2:$A$502,0),MATCH(Q$2,'Réel 2024'!$A$2:$AO$2,0))</f>
        <v>0</v>
      </c>
      <c r="R392" s="252"/>
      <c r="S392" s="275">
        <f t="shared" si="3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577</v>
      </c>
      <c r="B393" s="41" t="s">
        <v>196</v>
      </c>
      <c r="C393" s="311" t="s">
        <v>59</v>
      </c>
      <c r="D393" s="296"/>
      <c r="E393" s="41"/>
      <c r="F393" s="253">
        <f>+INDEX('Budget original'!$A$2:$AO$502,MATCH($A393,'Budget original'!$A$2:$A$502,0),MATCH(F$2,'Budget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2024'!$A$2:$AO$502,MATCH($A393,'Réel 2024'!$A$2:$A$502,0),MATCH(Q$2,'Réel 2024'!$A$2:$AO$2,0))</f>
        <v>0</v>
      </c>
      <c r="R393" s="252"/>
      <c r="S393" s="275">
        <f t="shared" si="3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577</v>
      </c>
      <c r="B394" s="41" t="s">
        <v>196</v>
      </c>
      <c r="C394" s="311" t="s">
        <v>59</v>
      </c>
      <c r="D394" s="296"/>
      <c r="E394" s="41"/>
      <c r="F394" s="253">
        <f>+INDEX('Budget original'!$A$2:$AO$502,MATCH($A394,'Budget original'!$A$2:$A$502,0),MATCH(F$2,'Budget original'!$A$2:$AO$2,0))</f>
        <v>0</v>
      </c>
      <c r="G394" s="297"/>
      <c r="H394" s="41"/>
      <c r="I394" s="253"/>
      <c r="J394" s="252"/>
      <c r="K394" s="41"/>
      <c r="L394" s="255">
        <f>-SUMIFS(BV_Data_An_Cour!$O:$O,BV_Data_An_Cour!$U:$U,$B394,BV_Data_An_Cour!$V:$V,$C394,BV_Data_An_Cour!$W:$W,$L$2)</f>
        <v>0</v>
      </c>
      <c r="M394" s="252"/>
      <c r="N394" s="275"/>
      <c r="O394" s="252"/>
      <c r="P394" s="41"/>
      <c r="Q394" s="255">
        <f t="array" ref="Q394">+INDEX('Réel 2024'!$A$2:$AO$502,MATCH($A394,'Réel 2024'!$A$2:$A$502,0),MATCH(Q$2,'Réel 2024'!$A$2:$AO$2,0))</f>
        <v>0</v>
      </c>
      <c r="R394" s="252"/>
      <c r="S394" s="275">
        <f t="shared" si="36"/>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577</v>
      </c>
      <c r="B395" s="41" t="s">
        <v>196</v>
      </c>
      <c r="C395" s="311" t="s">
        <v>59</v>
      </c>
      <c r="D395" s="298"/>
      <c r="E395" s="317"/>
      <c r="F395" s="253">
        <f>+INDEX('Budget original'!$A$2:$AO$502,MATCH($A395,'Budget original'!$A$2:$A$502,0),MATCH(F$2,'Budget original'!$A$2:$AO$2,0))</f>
        <v>0</v>
      </c>
      <c r="G395" s="299"/>
      <c r="H395" s="317"/>
      <c r="I395" s="253"/>
      <c r="J395" s="245"/>
      <c r="K395" s="317"/>
      <c r="L395" s="255">
        <f>-SUMIFS(BV_Data_An_Cour!$O:$O,BV_Data_An_Cour!$U:$U,$B395,BV_Data_An_Cour!$V:$V,$C395,BV_Data_An_Cour!$W:$W,$L$2)</f>
        <v>0</v>
      </c>
      <c r="M395" s="245"/>
      <c r="N395" s="295"/>
      <c r="O395" s="245"/>
      <c r="P395" s="317"/>
      <c r="Q395" s="255">
        <f t="array" ref="Q395">+INDEX('Réel 2024'!$A$2:$AO$502,MATCH($A395,'Réel 2024'!$A$2:$A$502,0),MATCH(Q$2,'Réel 2024'!$A$2:$AO$2,0))</f>
        <v>0</v>
      </c>
      <c r="R395" s="245"/>
      <c r="S395" s="295">
        <f t="shared" si="36"/>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938"/>
      <c r="E401" s="41"/>
      <c r="F401" s="318">
        <f>F315+F251+F195-F192</f>
        <v>389793.13616162282</v>
      </c>
      <c r="G401" s="296"/>
      <c r="H401" s="41"/>
      <c r="I401" s="318"/>
      <c r="J401" s="938"/>
      <c r="K401" s="11"/>
      <c r="L401" s="318">
        <f>L315+L251+L195</f>
        <v>370878.61</v>
      </c>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8">
        <f>F354+F234+F290</f>
        <v>81107.921083783891</v>
      </c>
      <c r="L402" s="318">
        <f>L354+L234+L290</f>
        <v>94301.599999999948</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2" t="s">
        <v>597</v>
      </c>
      <c r="F403" s="932"/>
      <c r="L403" s="932"/>
      <c r="V403" s="853" t="str">
        <f>C1</f>
        <v>Volks</v>
      </c>
      <c r="W403" s="36"/>
      <c r="X403" s="36"/>
      <c r="Y403" s="36"/>
      <c r="Z403" s="36"/>
      <c r="AA403" s="36"/>
      <c r="AB403" s="36"/>
      <c r="AC403" s="36"/>
      <c r="AD403" s="36"/>
      <c r="AE403" s="231" t="s">
        <v>3254</v>
      </c>
      <c r="AF403" s="36"/>
      <c r="AG403" s="36"/>
      <c r="AH403" s="36"/>
      <c r="AI403" s="36"/>
      <c r="AJ403" s="854"/>
      <c r="AK403" s="855"/>
      <c r="AL403" s="856"/>
      <c r="AM403" s="856"/>
      <c r="AN403" s="856"/>
      <c r="AO403" s="854" t="str">
        <f>$S$1</f>
        <v>Réalisé, Juillet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432" t="s">
        <v>597</v>
      </c>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598</v>
      </c>
      <c r="B405" s="3"/>
      <c r="C405" s="432" t="s">
        <v>597</v>
      </c>
      <c r="V405" s="434"/>
      <c r="W405" s="435"/>
      <c r="X405" s="1184" t="s">
        <v>599</v>
      </c>
      <c r="Y405" s="1176"/>
      <c r="Z405" s="1185"/>
      <c r="AA405" s="1175"/>
      <c r="AB405" s="1176"/>
      <c r="AC405" s="1185"/>
      <c r="AD405" s="1175" t="s">
        <v>344</v>
      </c>
      <c r="AE405" s="1176"/>
      <c r="AF405" s="1185"/>
      <c r="AG405" s="1175" t="s">
        <v>3255</v>
      </c>
      <c r="AH405" s="1176"/>
      <c r="AI405" s="1185"/>
      <c r="AJ405" s="1175" t="s">
        <v>600</v>
      </c>
      <c r="AK405" s="1176"/>
      <c r="AL405" s="1176"/>
      <c r="AM405" s="1175" t="s">
        <v>601</v>
      </c>
      <c r="AN405" s="1176"/>
      <c r="AO405" s="117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598</v>
      </c>
      <c r="B406" s="3"/>
      <c r="C406" s="432" t="s">
        <v>597</v>
      </c>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96</v>
      </c>
      <c r="B407" s="3"/>
      <c r="C407" s="432" t="s">
        <v>597</v>
      </c>
      <c r="V407" s="312" t="s">
        <v>96</v>
      </c>
      <c r="W407" s="439"/>
      <c r="X407" s="439"/>
      <c r="Y407" s="439"/>
      <c r="Z407" s="440">
        <f>F5+F93+E195+E251+D315+D363</f>
        <v>6048078.8339877855</v>
      </c>
      <c r="AA407" s="439"/>
      <c r="AB407" s="439"/>
      <c r="AC407" s="440"/>
      <c r="AD407" s="441"/>
      <c r="AE407" s="442"/>
      <c r="AF407" s="442">
        <f>L5+L93+K195+K251+J315+J363</f>
        <v>5571702.1899999985</v>
      </c>
      <c r="AG407" s="441"/>
      <c r="AH407" s="442"/>
      <c r="AI407" s="443"/>
      <c r="AJ407" s="441"/>
      <c r="AK407" s="442"/>
      <c r="AL407" s="442">
        <f>Q5+Q93+P195+P251+O315+O363</f>
        <v>6749179.25</v>
      </c>
      <c r="AM407" s="444"/>
      <c r="AN407" s="442"/>
      <c r="AO407" s="44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202</v>
      </c>
      <c r="B408" s="3"/>
      <c r="C408" s="432" t="s">
        <v>597</v>
      </c>
      <c r="V408" s="446" t="s">
        <v>202</v>
      </c>
      <c r="W408" s="447"/>
      <c r="X408" s="1161">
        <f>Z408/Z407</f>
        <v>0.13561318871995168</v>
      </c>
      <c r="Y408" s="1162">
        <f>(Z408+$Z$482)/$Z$407</f>
        <v>0.15825043432549396</v>
      </c>
      <c r="Z408" s="448">
        <f>F27+F109+F195+F251+F315+F363</f>
        <v>820199.25630673091</v>
      </c>
      <c r="AA408" s="447"/>
      <c r="AB408" s="447"/>
      <c r="AC408" s="448"/>
      <c r="AD408" s="1161">
        <f>AF408/AF407</f>
        <v>0.12414220222348242</v>
      </c>
      <c r="AE408" s="1162">
        <f>(AF408+$AF$482)/$AF$407</f>
        <v>0.15525229822091402</v>
      </c>
      <c r="AF408" s="448">
        <f>L27+L109+L195+L251+L315+L363</f>
        <v>691683.37999999966</v>
      </c>
      <c r="AG408" s="449"/>
      <c r="AH408" s="450">
        <f>AF408-Z408</f>
        <v>-128515.87630673125</v>
      </c>
      <c r="AI408" s="451">
        <f>AH408/Z408</f>
        <v>-0.1566886037978435</v>
      </c>
      <c r="AJ408" s="1161">
        <f>AL408/AL407</f>
        <v>0.11520614599175144</v>
      </c>
      <c r="AK408" s="1162">
        <f>(AL408+$AL$482)/$AL$407</f>
        <v>0.13699336700829207</v>
      </c>
      <c r="AL408" s="450">
        <f>Q27+Q109+Q195+Q251+Q315+Q363</f>
        <v>777546.92999999947</v>
      </c>
      <c r="AM408" s="452"/>
      <c r="AN408" s="450">
        <f>AF408-AL408</f>
        <v>-85863.549999999814</v>
      </c>
      <c r="AO408" s="453">
        <f>IF(AL408=0,0,AN408/AL408)</f>
        <v>-0.11042876858892604</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203</v>
      </c>
      <c r="B409" s="3"/>
      <c r="C409" s="432" t="s">
        <v>597</v>
      </c>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111</v>
      </c>
      <c r="B410" s="3"/>
      <c r="C410" s="432" t="s">
        <v>597</v>
      </c>
      <c r="V410" s="311" t="s">
        <v>111</v>
      </c>
      <c r="W410" s="462" t="s">
        <v>606</v>
      </c>
      <c r="X410" s="455"/>
      <c r="Y410" s="463">
        <f t="shared" ref="Y410:Y419" si="37">Z410/(D$13+D$97)</f>
        <v>649.05395388232785</v>
      </c>
      <c r="Z410" s="456">
        <f t="shared" ref="Z410:Z416" si="38">+SUMIF($C:$C,$V410,F:F)</f>
        <v>70097.827019291406</v>
      </c>
      <c r="AA410" s="455"/>
      <c r="AB410" s="463"/>
      <c r="AC410" s="456"/>
      <c r="AD410" s="464"/>
      <c r="AE410" s="463">
        <f t="shared" ref="AE410:AE415" si="39">IF(AF410=0,0,AF410/(J$13+J$97))</f>
        <v>722.47055555555551</v>
      </c>
      <c r="AF410" s="456">
        <f t="shared" ref="AF410:AF416" si="40">+SUMIF($C:$C,$V410,L:L)</f>
        <v>65022.35</v>
      </c>
      <c r="AG410" s="457">
        <f t="shared" ref="AG410:AG419" si="41">AE410-Y410</f>
        <v>73.41660167322766</v>
      </c>
      <c r="AH410" s="458">
        <f t="shared" ref="AH410:AH419" si="42">AF410-Z410</f>
        <v>-5075.4770192914075</v>
      </c>
      <c r="AI410" s="459">
        <f t="shared" ref="AI410:AI419" si="43">IF(Z410=0,0,AH410/Z410)</f>
        <v>-7.2405625610828153E-2</v>
      </c>
      <c r="AJ410" s="982">
        <f t="shared" ref="AJ410:AJ416" si="44">AL410/AL$408</f>
        <v>8.2688205070785947E-2</v>
      </c>
      <c r="AK410" s="458">
        <f t="shared" ref="AK410:AK419" si="45">AL410/(O$13+O$97)</f>
        <v>618.21115384615393</v>
      </c>
      <c r="AL410" s="456">
        <f t="shared" ref="AL410:AL415" si="46">+SUMIF($C:$C,$V410,Q:Q)</f>
        <v>64293.960000000006</v>
      </c>
      <c r="AM410" s="460">
        <f t="shared" ref="AM410:AM419" si="47">AE410-Y410</f>
        <v>73.41660167322766</v>
      </c>
      <c r="AN410" s="458">
        <f t="shared" ref="AN410:AN432" si="48">AF410-AL410</f>
        <v>728.38999999999214</v>
      </c>
      <c r="AO410" s="465">
        <f t="shared" ref="AO410:AO432" si="49">IF(AL410=0,0,AN410/AL410)</f>
        <v>1.1329057970608625E-2</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112</v>
      </c>
      <c r="B411" s="3"/>
      <c r="C411" s="432" t="s">
        <v>597</v>
      </c>
      <c r="V411" s="312" t="s">
        <v>112</v>
      </c>
      <c r="W411" s="466" t="s">
        <v>607</v>
      </c>
      <c r="X411" s="439"/>
      <c r="Y411" s="467">
        <f t="shared" si="37"/>
        <v>371.87143090226789</v>
      </c>
      <c r="Z411" s="440">
        <f t="shared" si="38"/>
        <v>40162.114537444933</v>
      </c>
      <c r="AA411" s="439"/>
      <c r="AB411" s="467"/>
      <c r="AC411" s="440"/>
      <c r="AD411" s="468"/>
      <c r="AE411" s="467">
        <f t="shared" si="39"/>
        <v>386.23722222222221</v>
      </c>
      <c r="AF411" s="440">
        <f t="shared" si="40"/>
        <v>34761.35</v>
      </c>
      <c r="AG411" s="441">
        <f t="shared" si="41"/>
        <v>14.365791319954326</v>
      </c>
      <c r="AH411" s="442">
        <f t="shared" si="42"/>
        <v>-5400.7645374449348</v>
      </c>
      <c r="AI411" s="469">
        <f t="shared" si="43"/>
        <v>-0.13447410823973327</v>
      </c>
      <c r="AJ411" s="983">
        <f t="shared" si="44"/>
        <v>5.1850092186718599E-2</v>
      </c>
      <c r="AK411" s="442">
        <f t="shared" si="45"/>
        <v>387.65269230769235</v>
      </c>
      <c r="AL411" s="440">
        <f t="shared" si="46"/>
        <v>40315.880000000005</v>
      </c>
      <c r="AM411" s="444">
        <f t="shared" si="47"/>
        <v>14.365791319954326</v>
      </c>
      <c r="AN411" s="442">
        <f t="shared" si="48"/>
        <v>-5554.5300000000061</v>
      </c>
      <c r="AO411" s="445">
        <f t="shared" si="49"/>
        <v>-0.13777523893810592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113</v>
      </c>
      <c r="B412" s="3"/>
      <c r="C412" s="432" t="s">
        <v>597</v>
      </c>
      <c r="V412" s="311" t="s">
        <v>113</v>
      </c>
      <c r="W412" s="462" t="s">
        <v>608</v>
      </c>
      <c r="X412" s="455"/>
      <c r="Y412" s="463">
        <f t="shared" si="37"/>
        <v>71.703703703703709</v>
      </c>
      <c r="Z412" s="456">
        <f t="shared" si="38"/>
        <v>7744</v>
      </c>
      <c r="AA412" s="455"/>
      <c r="AB412" s="463"/>
      <c r="AC412" s="456"/>
      <c r="AD412" s="464"/>
      <c r="AE412" s="463">
        <f t="shared" si="39"/>
        <v>33.201444444444448</v>
      </c>
      <c r="AF412" s="456">
        <f t="shared" si="40"/>
        <v>2988.13</v>
      </c>
      <c r="AG412" s="457">
        <f t="shared" si="41"/>
        <v>-38.502259259259262</v>
      </c>
      <c r="AH412" s="458">
        <f t="shared" si="42"/>
        <v>-4755.87</v>
      </c>
      <c r="AI412" s="459">
        <f t="shared" si="43"/>
        <v>-0.61413610537190078</v>
      </c>
      <c r="AJ412" s="982">
        <f t="shared" si="44"/>
        <v>9.4743477412996858E-3</v>
      </c>
      <c r="AK412" s="458">
        <f t="shared" si="45"/>
        <v>70.834134615384613</v>
      </c>
      <c r="AL412" s="456">
        <f t="shared" si="46"/>
        <v>7366.75</v>
      </c>
      <c r="AM412" s="460">
        <f t="shared" si="47"/>
        <v>-38.502259259259262</v>
      </c>
      <c r="AN412" s="458">
        <f t="shared" si="48"/>
        <v>-4378.62</v>
      </c>
      <c r="AO412" s="465">
        <f t="shared" si="49"/>
        <v>-0.59437608171853262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114</v>
      </c>
      <c r="B413" s="3"/>
      <c r="C413" s="432" t="s">
        <v>597</v>
      </c>
      <c r="V413" s="311" t="s">
        <v>114</v>
      </c>
      <c r="W413" s="462" t="s">
        <v>609</v>
      </c>
      <c r="X413" s="455"/>
      <c r="Y413" s="463">
        <f t="shared" si="37"/>
        <v>28.148148148148149</v>
      </c>
      <c r="Z413" s="456">
        <f t="shared" si="38"/>
        <v>3040</v>
      </c>
      <c r="AA413" s="455"/>
      <c r="AB413" s="463"/>
      <c r="AC413" s="456"/>
      <c r="AD413" s="464"/>
      <c r="AE413" s="463">
        <f t="shared" si="39"/>
        <v>21.230999999999998</v>
      </c>
      <c r="AF413" s="456">
        <f t="shared" si="40"/>
        <v>1910.79</v>
      </c>
      <c r="AG413" s="457">
        <f t="shared" si="41"/>
        <v>-6.9171481481481507</v>
      </c>
      <c r="AH413" s="458">
        <f t="shared" si="42"/>
        <v>-1129.21</v>
      </c>
      <c r="AI413" s="459">
        <f t="shared" si="43"/>
        <v>-0.37145065789473686</v>
      </c>
      <c r="AJ413" s="982">
        <f t="shared" si="44"/>
        <v>6.4093494652470726E-3</v>
      </c>
      <c r="AK413" s="458">
        <f t="shared" si="45"/>
        <v>47.918942307692305</v>
      </c>
      <c r="AL413" s="456">
        <f t="shared" si="46"/>
        <v>4983.57</v>
      </c>
      <c r="AM413" s="460">
        <f t="shared" si="47"/>
        <v>-6.9171481481481507</v>
      </c>
      <c r="AN413" s="458">
        <f t="shared" si="48"/>
        <v>-3072.7799999999997</v>
      </c>
      <c r="AO413" s="465">
        <f t="shared" si="49"/>
        <v>-0.61658208874361153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115</v>
      </c>
      <c r="B414" s="3"/>
      <c r="C414" s="432" t="s">
        <v>597</v>
      </c>
      <c r="V414" s="312" t="s">
        <v>115</v>
      </c>
      <c r="W414" s="466"/>
      <c r="X414" s="439"/>
      <c r="Y414" s="467">
        <f t="shared" si="37"/>
        <v>146.66666666666666</v>
      </c>
      <c r="Z414" s="440">
        <f t="shared" si="38"/>
        <v>15840</v>
      </c>
      <c r="AA414" s="439"/>
      <c r="AB414" s="467"/>
      <c r="AC414" s="440"/>
      <c r="AD414" s="468"/>
      <c r="AE414" s="467">
        <f t="shared" si="39"/>
        <v>64.637</v>
      </c>
      <c r="AF414" s="440">
        <f t="shared" si="40"/>
        <v>5817.33</v>
      </c>
      <c r="AG414" s="441">
        <f t="shared" si="41"/>
        <v>-82.029666666666657</v>
      </c>
      <c r="AH414" s="442">
        <f t="shared" si="42"/>
        <v>-10022.67</v>
      </c>
      <c r="AI414" s="469">
        <f t="shared" si="43"/>
        <v>-0.6327443181818182</v>
      </c>
      <c r="AJ414" s="983">
        <f t="shared" si="44"/>
        <v>9.426041975369906E-3</v>
      </c>
      <c r="AK414" s="442">
        <f t="shared" si="45"/>
        <v>70.472980769230773</v>
      </c>
      <c r="AL414" s="440">
        <f t="shared" si="46"/>
        <v>7329.1900000000005</v>
      </c>
      <c r="AM414" s="444">
        <f t="shared" si="47"/>
        <v>-82.029666666666657</v>
      </c>
      <c r="AN414" s="442">
        <f t="shared" si="48"/>
        <v>-1511.8600000000006</v>
      </c>
      <c r="AO414" s="445">
        <f t="shared" si="49"/>
        <v>-0.20627927506313801</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116</v>
      </c>
      <c r="B415" s="3"/>
      <c r="C415" s="432" t="s">
        <v>597</v>
      </c>
      <c r="V415" s="311" t="s">
        <v>116</v>
      </c>
      <c r="W415" s="462" t="s">
        <v>610</v>
      </c>
      <c r="X415" s="459"/>
      <c r="Y415" s="463">
        <f t="shared" si="37"/>
        <v>97.081018518518519</v>
      </c>
      <c r="Z415" s="456">
        <f t="shared" si="38"/>
        <v>10484.75</v>
      </c>
      <c r="AA415" s="459"/>
      <c r="AB415" s="463"/>
      <c r="AC415" s="456"/>
      <c r="AD415" s="464"/>
      <c r="AE415" s="463">
        <f t="shared" si="39"/>
        <v>125.78044444444444</v>
      </c>
      <c r="AF415" s="456">
        <f t="shared" si="40"/>
        <v>11320.24</v>
      </c>
      <c r="AG415" s="457">
        <f t="shared" si="41"/>
        <v>28.699425925925922</v>
      </c>
      <c r="AH415" s="458">
        <f t="shared" si="42"/>
        <v>835.48999999999978</v>
      </c>
      <c r="AI415" s="459">
        <f t="shared" si="43"/>
        <v>7.9686210925391618E-2</v>
      </c>
      <c r="AJ415" s="982">
        <f t="shared" si="44"/>
        <v>1.6549560551927085E-2</v>
      </c>
      <c r="AK415" s="458">
        <f t="shared" si="45"/>
        <v>123.73134615384616</v>
      </c>
      <c r="AL415" s="456">
        <f t="shared" si="46"/>
        <v>12868.060000000001</v>
      </c>
      <c r="AM415" s="460">
        <f t="shared" si="47"/>
        <v>28.699425925925922</v>
      </c>
      <c r="AN415" s="458">
        <f t="shared" si="48"/>
        <v>-1547.8200000000015</v>
      </c>
      <c r="AO415" s="465">
        <f t="shared" si="49"/>
        <v>-0.12028386563320356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117</v>
      </c>
      <c r="B416" s="3"/>
      <c r="C416" s="432" t="s">
        <v>597</v>
      </c>
      <c r="V416" s="311" t="s">
        <v>117</v>
      </c>
      <c r="W416" s="462" t="s">
        <v>611</v>
      </c>
      <c r="X416" s="455"/>
      <c r="Y416" s="463">
        <f t="shared" si="37"/>
        <v>198.46718187634252</v>
      </c>
      <c r="Z416" s="456">
        <f t="shared" si="38"/>
        <v>21434.455642644993</v>
      </c>
      <c r="AA416" s="455"/>
      <c r="AB416" s="463"/>
      <c r="AC416" s="456"/>
      <c r="AD416" s="464"/>
      <c r="AE416" s="463">
        <f>IF(AF416=0,0,AF416/(J$13+J$13))</f>
        <v>199.46789473684208</v>
      </c>
      <c r="AF416" s="857">
        <f t="shared" si="40"/>
        <v>22739.339999999997</v>
      </c>
      <c r="AG416" s="915">
        <f t="shared" si="41"/>
        <v>1.0007128604995614</v>
      </c>
      <c r="AH416" s="861">
        <f t="shared" si="42"/>
        <v>1304.8843573550039</v>
      </c>
      <c r="AI416" s="459">
        <f t="shared" si="43"/>
        <v>6.0877886479135342E-2</v>
      </c>
      <c r="AJ416" s="982">
        <f t="shared" si="44"/>
        <v>3.3707483096872388E-2</v>
      </c>
      <c r="AK416" s="458">
        <f t="shared" si="45"/>
        <v>252.0110576923077</v>
      </c>
      <c r="AL416" s="456">
        <f>IFERROR(SUMIF($C:$C,$V416,Q:Q),0)</f>
        <v>26209.15</v>
      </c>
      <c r="AM416" s="460">
        <f t="shared" si="47"/>
        <v>1.0007128604995614</v>
      </c>
      <c r="AN416" s="458">
        <f t="shared" si="48"/>
        <v>-3469.8100000000049</v>
      </c>
      <c r="AO416" s="465">
        <f t="shared" si="49"/>
        <v>-0.13238926100236004</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597</v>
      </c>
      <c r="V417" s="311" t="s">
        <v>59</v>
      </c>
      <c r="W417" s="462"/>
      <c r="X417" s="459"/>
      <c r="Y417" s="463">
        <f t="shared" si="37"/>
        <v>0</v>
      </c>
      <c r="Z417" s="456">
        <f>IFERROR(SUMIF($C:$C,$V417,F:F),0)</f>
        <v>0</v>
      </c>
      <c r="AA417" s="455"/>
      <c r="AB417" s="463"/>
      <c r="AC417" s="456"/>
      <c r="AD417" s="464"/>
      <c r="AE417" s="463">
        <f>IF(AF417=0,0,AF417/(J$13+J$13))</f>
        <v>0</v>
      </c>
      <c r="AF417" s="456">
        <f>IFERROR(SUMIF($C:$C,$V417,L:L),0)</f>
        <v>0</v>
      </c>
      <c r="AG417" s="457">
        <f t="shared" si="41"/>
        <v>0</v>
      </c>
      <c r="AH417" s="458">
        <f t="shared" si="42"/>
        <v>0</v>
      </c>
      <c r="AI417" s="459">
        <f t="shared" si="43"/>
        <v>0</v>
      </c>
      <c r="AJ417" s="464"/>
      <c r="AK417" s="458">
        <f t="shared" si="45"/>
        <v>0</v>
      </c>
      <c r="AL417" s="456">
        <f>IFERROR(SUMIF($C:$C,$V417,Q:Q),0)</f>
        <v>0</v>
      </c>
      <c r="AM417" s="460">
        <f t="shared" si="47"/>
        <v>0</v>
      </c>
      <c r="AN417" s="458">
        <f t="shared" si="48"/>
        <v>0</v>
      </c>
      <c r="AO417" s="465">
        <f t="shared" si="4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597</v>
      </c>
      <c r="V418" s="311" t="s">
        <v>59</v>
      </c>
      <c r="W418" s="462"/>
      <c r="X418" s="459"/>
      <c r="Y418" s="463">
        <f t="shared" si="37"/>
        <v>0</v>
      </c>
      <c r="Z418" s="456">
        <f>IFERROR(SUMIF($C:$C,$V418,F:F),0)</f>
        <v>0</v>
      </c>
      <c r="AA418" s="455"/>
      <c r="AB418" s="463"/>
      <c r="AC418" s="456"/>
      <c r="AD418" s="464"/>
      <c r="AE418" s="463">
        <f>IF(AF418=0,0,AF418/(J$13+J$13))</f>
        <v>0</v>
      </c>
      <c r="AF418" s="456">
        <f>IFERROR(SUMIF($C:$C,$V418,L:L),0)</f>
        <v>0</v>
      </c>
      <c r="AG418" s="457">
        <f t="shared" si="41"/>
        <v>0</v>
      </c>
      <c r="AH418" s="458">
        <f t="shared" si="42"/>
        <v>0</v>
      </c>
      <c r="AI418" s="459">
        <f t="shared" si="43"/>
        <v>0</v>
      </c>
      <c r="AJ418" s="464"/>
      <c r="AK418" s="458">
        <f t="shared" si="45"/>
        <v>0</v>
      </c>
      <c r="AL418" s="456">
        <f>IFERROR(SUMIF($C:$C,$V418,Q:Q),0)</f>
        <v>0</v>
      </c>
      <c r="AM418" s="460">
        <f t="shared" si="47"/>
        <v>0</v>
      </c>
      <c r="AN418" s="458">
        <f t="shared" si="48"/>
        <v>0</v>
      </c>
      <c r="AO418" s="465">
        <f t="shared" si="4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59</v>
      </c>
      <c r="B419" s="3"/>
      <c r="C419" s="432" t="s">
        <v>597</v>
      </c>
      <c r="V419" s="311" t="s">
        <v>59</v>
      </c>
      <c r="W419" s="462" t="s">
        <v>611</v>
      </c>
      <c r="X419" s="455"/>
      <c r="Y419" s="463">
        <f t="shared" si="37"/>
        <v>0</v>
      </c>
      <c r="Z419" s="456">
        <f>IFERROR(SUMIF($C:$C,$V419,F:F),0)</f>
        <v>0</v>
      </c>
      <c r="AA419" s="455"/>
      <c r="AB419" s="463"/>
      <c r="AC419" s="456"/>
      <c r="AD419" s="464"/>
      <c r="AE419" s="463">
        <f>IF(AF419=0,0,AF419/(J$13+J$13))</f>
        <v>0</v>
      </c>
      <c r="AF419" s="456">
        <f>IFERROR(SUMIF($C:$C,$V419,L:L),0)</f>
        <v>0</v>
      </c>
      <c r="AG419" s="457">
        <f t="shared" si="41"/>
        <v>0</v>
      </c>
      <c r="AH419" s="458">
        <f t="shared" si="42"/>
        <v>0</v>
      </c>
      <c r="AI419" s="459">
        <f t="shared" si="43"/>
        <v>0</v>
      </c>
      <c r="AJ419" s="464"/>
      <c r="AK419" s="458">
        <f t="shared" si="45"/>
        <v>0</v>
      </c>
      <c r="AL419" s="456">
        <f>IFERROR(SUMIF($C:$C,$V419,Q:Q),0)</f>
        <v>0</v>
      </c>
      <c r="AM419" s="460">
        <f t="shared" si="47"/>
        <v>0</v>
      </c>
      <c r="AN419" s="458">
        <f t="shared" si="48"/>
        <v>0</v>
      </c>
      <c r="AO419" s="465">
        <f t="shared" si="4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118</v>
      </c>
      <c r="B420" s="3"/>
      <c r="C420" s="432" t="s">
        <v>597</v>
      </c>
      <c r="V420" s="470" t="s">
        <v>118</v>
      </c>
      <c r="W420" s="471"/>
      <c r="X420" s="472">
        <f>Z420/Z408</f>
        <v>0.20580748629239648</v>
      </c>
      <c r="Y420" s="1162">
        <f>(Z420+$Z$482)/$Z$407</f>
        <v>5.0547455084091891E-2</v>
      </c>
      <c r="Z420" s="473">
        <f>SUM(Z410:Z419)</f>
        <v>168803.14719938132</v>
      </c>
      <c r="AA420" s="472"/>
      <c r="AB420" s="471"/>
      <c r="AC420" s="473"/>
      <c r="AD420" s="474">
        <f>AF420/AF408</f>
        <v>0.20899667995492399</v>
      </c>
      <c r="AE420" s="1162">
        <f>(AF420+$AF$482)/$AF$407</f>
        <v>5.7055404104432231E-2</v>
      </c>
      <c r="AF420" s="473">
        <f>SUM(AF410:AF419)</f>
        <v>144559.53</v>
      </c>
      <c r="AG420" s="475"/>
      <c r="AH420" s="476">
        <f t="shared" ref="AH420:AH452" si="50">AF420-Z420</f>
        <v>-24243.617199381319</v>
      </c>
      <c r="AI420" s="472">
        <f>AH420/Z420</f>
        <v>-0.14362064689911289</v>
      </c>
      <c r="AJ420" s="474">
        <f>IF($AL$408=0,0,AL420/$AL$408)</f>
        <v>0.21010508008822068</v>
      </c>
      <c r="AK420" s="1162">
        <f>(AL420+$AL$482)/$AL$407</f>
        <v>4.5992617546792819E-2</v>
      </c>
      <c r="AL420" s="473">
        <f>SUM(AL410:AL419)</f>
        <v>163366.56</v>
      </c>
      <c r="AM420" s="477"/>
      <c r="AN420" s="476">
        <f t="shared" si="48"/>
        <v>-18807.03</v>
      </c>
      <c r="AO420" s="453">
        <f t="shared" si="49"/>
        <v>-0.11512166259729041</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204</v>
      </c>
      <c r="B421" s="3"/>
      <c r="C421" s="432" t="s">
        <v>597</v>
      </c>
      <c r="V421" s="311" t="s">
        <v>204</v>
      </c>
      <c r="W421" s="462" t="s">
        <v>612</v>
      </c>
      <c r="X421" s="455"/>
      <c r="Y421" s="455"/>
      <c r="Z421" s="456">
        <f>+INDEX('Budget original'!$A$2:$AO$502,MATCH($A421,'Budget original'!$A$2:$A$502,0),MATCH(F$2,'Budget original'!$A$2:$AO$2,0))</f>
        <v>16316.566346153846</v>
      </c>
      <c r="AA421" s="455"/>
      <c r="AB421" s="455"/>
      <c r="AC421" s="456"/>
      <c r="AD421" s="464"/>
      <c r="AE421" s="463"/>
      <c r="AF421" s="456">
        <f>SUMIFS(BV_Data_An_Cour!$O:$O,BV_Data_An_Cour!$V:$V,$V421)</f>
        <v>15825.949999999999</v>
      </c>
      <c r="AG421" s="457"/>
      <c r="AH421" s="458">
        <f t="shared" si="50"/>
        <v>-490.61634615384719</v>
      </c>
      <c r="AI421" s="459">
        <f t="shared" ref="AI421:AI433" si="51">IF(Z421=0,0,AH421/Z421)</f>
        <v>-3.0068602409691159E-2</v>
      </c>
      <c r="AJ421" s="464"/>
      <c r="AK421" s="455"/>
      <c r="AL421" s="456">
        <f>+INDEX('Réel 2024'!$A$2:$AO$502,MATCH($A421,'Réel 2024'!$A$2:$A$502,0),MATCH(F$2,'Réel 2024'!$A$2:$AO$2,0))</f>
        <v>12528.2599999999</v>
      </c>
      <c r="AM421" s="460"/>
      <c r="AN421" s="458">
        <f t="shared" si="48"/>
        <v>3297.6900000000987</v>
      </c>
      <c r="AO421" s="465">
        <f t="shared" si="49"/>
        <v>0.26322011197086626</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120</v>
      </c>
      <c r="B422" s="3"/>
      <c r="C422" s="432" t="s">
        <v>597</v>
      </c>
      <c r="V422" s="311" t="s">
        <v>120</v>
      </c>
      <c r="W422" s="462" t="s">
        <v>613</v>
      </c>
      <c r="X422" s="455"/>
      <c r="Y422" s="455"/>
      <c r="Z422" s="456">
        <f t="shared" ref="Z422:Z432" si="52">+SUMIF($C:$C,$V422,F:F)</f>
        <v>49426.282051282054</v>
      </c>
      <c r="AA422" s="455"/>
      <c r="AB422" s="455"/>
      <c r="AC422" s="456"/>
      <c r="AD422" s="464"/>
      <c r="AE422" s="463"/>
      <c r="AF422" s="456">
        <f>+SUMIF($C:$C,$V422,L:L)</f>
        <v>28627.910000000003</v>
      </c>
      <c r="AG422" s="457"/>
      <c r="AH422" s="458">
        <f t="shared" si="50"/>
        <v>-20798.372051282051</v>
      </c>
      <c r="AI422" s="459">
        <f t="shared" si="51"/>
        <v>-0.42079580312560788</v>
      </c>
      <c r="AJ422" s="464"/>
      <c r="AK422" s="455"/>
      <c r="AL422" s="456">
        <f t="shared" ref="AL422:AL430" si="53">+SUMIF($C:$C,$V422,Q:Q)</f>
        <v>56644.17</v>
      </c>
      <c r="AM422" s="460"/>
      <c r="AN422" s="458">
        <f t="shared" si="48"/>
        <v>-28016.259999999995</v>
      </c>
      <c r="AO422" s="465">
        <f t="shared" si="49"/>
        <v>-0.49460094481038375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121</v>
      </c>
      <c r="B423" s="3"/>
      <c r="C423" s="432" t="s">
        <v>597</v>
      </c>
      <c r="V423" s="312" t="s">
        <v>121</v>
      </c>
      <c r="W423" s="466" t="s">
        <v>614</v>
      </c>
      <c r="X423" s="439"/>
      <c r="Y423" s="439"/>
      <c r="Z423" s="440">
        <f t="shared" si="52"/>
        <v>90672.937905666651</v>
      </c>
      <c r="AA423" s="439"/>
      <c r="AB423" s="439"/>
      <c r="AC423" s="440"/>
      <c r="AD423" s="468"/>
      <c r="AE423" s="467"/>
      <c r="AF423" s="440">
        <f>+SUMIF($C:$C,$V423,L:L)</f>
        <v>82171.94</v>
      </c>
      <c r="AG423" s="441"/>
      <c r="AH423" s="442">
        <f t="shared" si="50"/>
        <v>-8500.9979056666489</v>
      </c>
      <c r="AI423" s="469">
        <f t="shared" si="51"/>
        <v>-9.3754521492518825E-2</v>
      </c>
      <c r="AJ423" s="468"/>
      <c r="AK423" s="439"/>
      <c r="AL423" s="440">
        <f t="shared" si="53"/>
        <v>46191.1</v>
      </c>
      <c r="AM423" s="444"/>
      <c r="AN423" s="442">
        <f t="shared" si="48"/>
        <v>35980.840000000004</v>
      </c>
      <c r="AO423" s="445">
        <f t="shared" si="49"/>
        <v>0.77895611925241015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122</v>
      </c>
      <c r="B424" s="3"/>
      <c r="C424" s="432" t="s">
        <v>597</v>
      </c>
      <c r="V424" s="311" t="s">
        <v>122</v>
      </c>
      <c r="W424" s="462" t="s">
        <v>615</v>
      </c>
      <c r="X424" s="455"/>
      <c r="Y424" s="455"/>
      <c r="Z424" s="456">
        <f t="shared" si="52"/>
        <v>24864.315122499997</v>
      </c>
      <c r="AA424" s="455"/>
      <c r="AB424" s="455"/>
      <c r="AC424" s="456"/>
      <c r="AD424" s="464"/>
      <c r="AE424" s="463"/>
      <c r="AF424" s="456">
        <f>+SUMIF($C:$C,$V424,L:L)</f>
        <v>23735.090000000004</v>
      </c>
      <c r="AG424" s="457"/>
      <c r="AH424" s="458">
        <f t="shared" si="50"/>
        <v>-1129.2251224999927</v>
      </c>
      <c r="AI424" s="459">
        <f t="shared" si="51"/>
        <v>-4.5415492722666803E-2</v>
      </c>
      <c r="AJ424" s="464"/>
      <c r="AK424" s="455"/>
      <c r="AL424" s="456">
        <f t="shared" si="53"/>
        <v>21825.15</v>
      </c>
      <c r="AM424" s="460"/>
      <c r="AN424" s="458">
        <f t="shared" si="48"/>
        <v>1909.9400000000023</v>
      </c>
      <c r="AO424" s="465">
        <f t="shared" si="49"/>
        <v>8.7510967851309254E-2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123</v>
      </c>
      <c r="B425" s="3"/>
      <c r="C425" s="432" t="s">
        <v>597</v>
      </c>
      <c r="V425" s="311" t="s">
        <v>123</v>
      </c>
      <c r="W425" s="462" t="s">
        <v>616</v>
      </c>
      <c r="X425" s="455"/>
      <c r="Y425" s="455"/>
      <c r="Z425" s="456">
        <f t="shared" si="52"/>
        <v>38569.755532328607</v>
      </c>
      <c r="AA425" s="455"/>
      <c r="AB425" s="455"/>
      <c r="AC425" s="456"/>
      <c r="AD425" s="464"/>
      <c r="AE425" s="463"/>
      <c r="AF425" s="456">
        <f>+SUMIF($C:$C,$V425,L:L)</f>
        <v>24270.01</v>
      </c>
      <c r="AG425" s="457"/>
      <c r="AH425" s="458">
        <f t="shared" si="50"/>
        <v>-14299.745532328609</v>
      </c>
      <c r="AI425" s="459">
        <f t="shared" si="51"/>
        <v>-0.37075022475428371</v>
      </c>
      <c r="AJ425" s="464"/>
      <c r="AK425" s="455"/>
      <c r="AL425" s="456">
        <f t="shared" si="53"/>
        <v>23437.83</v>
      </c>
      <c r="AM425" s="460"/>
      <c r="AN425" s="458">
        <f t="shared" si="48"/>
        <v>832.17999999999665</v>
      </c>
      <c r="AO425" s="465">
        <f t="shared" si="49"/>
        <v>3.5505846744344358E-2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597</v>
      </c>
      <c r="V426" s="311" t="s">
        <v>59</v>
      </c>
      <c r="W426" s="462"/>
      <c r="X426" s="455"/>
      <c r="Y426" s="455"/>
      <c r="Z426" s="456">
        <f t="shared" si="52"/>
        <v>0</v>
      </c>
      <c r="AA426" s="455"/>
      <c r="AB426" s="455"/>
      <c r="AC426" s="456"/>
      <c r="AD426" s="464"/>
      <c r="AE426" s="463"/>
      <c r="AF426" s="456">
        <f>IFERROR(SUMIF($C:$C,$V426,L:L),0)</f>
        <v>0</v>
      </c>
      <c r="AG426" s="457"/>
      <c r="AH426" s="458">
        <f t="shared" si="50"/>
        <v>0</v>
      </c>
      <c r="AI426" s="459">
        <f t="shared" si="51"/>
        <v>0</v>
      </c>
      <c r="AJ426" s="464"/>
      <c r="AK426" s="455"/>
      <c r="AL426" s="456">
        <f t="shared" si="53"/>
        <v>0</v>
      </c>
      <c r="AM426" s="460"/>
      <c r="AN426" s="458">
        <f t="shared" si="48"/>
        <v>0</v>
      </c>
      <c r="AO426" s="465">
        <f t="shared" si="4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597</v>
      </c>
      <c r="V427" s="311" t="s">
        <v>59</v>
      </c>
      <c r="W427" s="462"/>
      <c r="X427" s="455"/>
      <c r="Y427" s="455"/>
      <c r="Z427" s="456">
        <f t="shared" si="52"/>
        <v>0</v>
      </c>
      <c r="AA427" s="455"/>
      <c r="AB427" s="455"/>
      <c r="AC427" s="456"/>
      <c r="AD427" s="464"/>
      <c r="AE427" s="463"/>
      <c r="AF427" s="456">
        <f>IFERROR(SUMIF($C:$C,$V427,L:L),0)</f>
        <v>0</v>
      </c>
      <c r="AG427" s="457"/>
      <c r="AH427" s="458">
        <f t="shared" si="50"/>
        <v>0</v>
      </c>
      <c r="AI427" s="459">
        <f t="shared" si="51"/>
        <v>0</v>
      </c>
      <c r="AJ427" s="464"/>
      <c r="AK427" s="455"/>
      <c r="AL427" s="456">
        <f t="shared" si="53"/>
        <v>0</v>
      </c>
      <c r="AM427" s="460"/>
      <c r="AN427" s="458">
        <f t="shared" si="48"/>
        <v>0</v>
      </c>
      <c r="AO427" s="465">
        <f t="shared" si="4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59</v>
      </c>
      <c r="B428" s="3"/>
      <c r="C428" s="432" t="s">
        <v>597</v>
      </c>
      <c r="V428" s="311" t="s">
        <v>59</v>
      </c>
      <c r="W428" s="462"/>
      <c r="X428" s="455"/>
      <c r="Y428" s="455"/>
      <c r="Z428" s="456">
        <f t="shared" si="52"/>
        <v>0</v>
      </c>
      <c r="AA428" s="455"/>
      <c r="AB428" s="455"/>
      <c r="AC428" s="456"/>
      <c r="AD428" s="464"/>
      <c r="AE428" s="463"/>
      <c r="AF428" s="456">
        <f>IFERROR(SUMIF($C:$C,$V428,L:L),0)</f>
        <v>0</v>
      </c>
      <c r="AG428" s="457"/>
      <c r="AH428" s="458">
        <f t="shared" si="50"/>
        <v>0</v>
      </c>
      <c r="AI428" s="459">
        <f t="shared" si="51"/>
        <v>0</v>
      </c>
      <c r="AJ428" s="464"/>
      <c r="AK428" s="455"/>
      <c r="AL428" s="456">
        <f t="shared" si="53"/>
        <v>0</v>
      </c>
      <c r="AM428" s="460"/>
      <c r="AN428" s="458">
        <f t="shared" si="48"/>
        <v>0</v>
      </c>
      <c r="AO428" s="465">
        <f t="shared" si="4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124</v>
      </c>
      <c r="B429" s="3"/>
      <c r="C429" s="432" t="s">
        <v>597</v>
      </c>
      <c r="V429" s="312" t="s">
        <v>124</v>
      </c>
      <c r="W429" s="466" t="s">
        <v>617</v>
      </c>
      <c r="X429" s="439"/>
      <c r="Y429" s="984">
        <f>Z429/(SUM(Z421:Z425)+E195-F195+Z410+Z411)</f>
        <v>0.10578293402452921</v>
      </c>
      <c r="Z429" s="440">
        <f t="shared" si="52"/>
        <v>46596.231715034242</v>
      </c>
      <c r="AA429" s="439"/>
      <c r="AB429" s="439"/>
      <c r="AC429" s="440"/>
      <c r="AD429" s="468"/>
      <c r="AE429" s="467"/>
      <c r="AF429" s="440">
        <f>+SUMIF($C:$C,$V429,L:L)</f>
        <v>41831.949999999997</v>
      </c>
      <c r="AG429" s="441"/>
      <c r="AH429" s="442">
        <f t="shared" si="50"/>
        <v>-4764.2817150342453</v>
      </c>
      <c r="AI429" s="469">
        <f t="shared" si="51"/>
        <v>-0.1022460731196221</v>
      </c>
      <c r="AJ429" s="468"/>
      <c r="AK429" s="439"/>
      <c r="AL429" s="440">
        <f t="shared" si="53"/>
        <v>38586.630000000005</v>
      </c>
      <c r="AM429" s="444"/>
      <c r="AN429" s="442">
        <f t="shared" si="48"/>
        <v>3245.3199999999924</v>
      </c>
      <c r="AO429" s="445">
        <f t="shared" si="49"/>
        <v>8.410477929790687E-2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125</v>
      </c>
      <c r="B430" s="3"/>
      <c r="C430" s="432" t="s">
        <v>597</v>
      </c>
      <c r="V430" s="311" t="s">
        <v>125</v>
      </c>
      <c r="W430" s="462" t="s">
        <v>618</v>
      </c>
      <c r="X430" s="455"/>
      <c r="Y430" s="985">
        <f>Z430/(SUM(Z421:Z425)+E195-F195+Z410+Z411)</f>
        <v>0.12861713564215888</v>
      </c>
      <c r="Z430" s="456">
        <f t="shared" si="52"/>
        <v>56654.449133698028</v>
      </c>
      <c r="AA430" s="455"/>
      <c r="AB430" s="455"/>
      <c r="AC430" s="456"/>
      <c r="AD430" s="464"/>
      <c r="AE430" s="463"/>
      <c r="AF430" s="456">
        <f>+SUMIF($C:$C,$V430,L:L)</f>
        <v>51198.41</v>
      </c>
      <c r="AG430" s="457"/>
      <c r="AH430" s="458">
        <f t="shared" si="50"/>
        <v>-5456.0391336980247</v>
      </c>
      <c r="AI430" s="459">
        <f t="shared" si="51"/>
        <v>-9.6303806975907499E-2</v>
      </c>
      <c r="AJ430" s="464"/>
      <c r="AK430" s="455"/>
      <c r="AL430" s="456">
        <f t="shared" si="53"/>
        <v>49865.349999999991</v>
      </c>
      <c r="AM430" s="460"/>
      <c r="AN430" s="458">
        <f t="shared" si="48"/>
        <v>1333.0600000000122</v>
      </c>
      <c r="AO430" s="465">
        <f t="shared" si="49"/>
        <v>2.6733192487368732E-2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126</v>
      </c>
      <c r="B431" s="3"/>
      <c r="C431" s="432" t="s">
        <v>597</v>
      </c>
      <c r="V431" s="311" t="s">
        <v>126</v>
      </c>
      <c r="W431" s="462" t="s">
        <v>619</v>
      </c>
      <c r="X431" s="455"/>
      <c r="Y431" s="985">
        <f>Z431/(SUM(Z421:Z425)+E195-F195+Z411+Z410)</f>
        <v>6.6265785102590541E-2</v>
      </c>
      <c r="Z431" s="456">
        <f t="shared" si="52"/>
        <v>29189.357488448764</v>
      </c>
      <c r="AA431" s="455"/>
      <c r="AB431" s="455"/>
      <c r="AC431" s="456"/>
      <c r="AD431" s="464"/>
      <c r="AE431" s="463"/>
      <c r="AF431" s="456">
        <f>+SUMIF($C:$C,$V431,L:L)</f>
        <v>23625.64</v>
      </c>
      <c r="AG431" s="457"/>
      <c r="AH431" s="458">
        <f t="shared" si="50"/>
        <v>-5563.7174884487649</v>
      </c>
      <c r="AI431" s="459">
        <f t="shared" si="51"/>
        <v>-0.19060774087441013</v>
      </c>
      <c r="AJ431" s="464"/>
      <c r="AK431" s="455"/>
      <c r="AL431" s="456">
        <f>IFERROR(SUMIF($C:$C,$V431,Q:Q),0)</f>
        <v>21157.85999999999</v>
      </c>
      <c r="AM431" s="460"/>
      <c r="AN431" s="458">
        <f t="shared" si="48"/>
        <v>2467.7800000000097</v>
      </c>
      <c r="AO431" s="465">
        <f t="shared" si="49"/>
        <v>0.11663655965206363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127</v>
      </c>
      <c r="B432" s="3"/>
      <c r="C432" s="432" t="s">
        <v>597</v>
      </c>
      <c r="V432" s="311" t="s">
        <v>127</v>
      </c>
      <c r="W432" s="462"/>
      <c r="X432" s="455"/>
      <c r="Y432" s="455"/>
      <c r="Z432" s="456">
        <f t="shared" si="52"/>
        <v>12726.724080758249</v>
      </c>
      <c r="AA432" s="455"/>
      <c r="AB432" s="455"/>
      <c r="AC432" s="456"/>
      <c r="AD432" s="464"/>
      <c r="AE432" s="463"/>
      <c r="AF432" s="456">
        <f>+SUMIF($C:$C,$V432,L:L)</f>
        <v>10668.490000000002</v>
      </c>
      <c r="AG432" s="457"/>
      <c r="AH432" s="458">
        <f t="shared" si="50"/>
        <v>-2058.2340807582477</v>
      </c>
      <c r="AI432" s="478">
        <f t="shared" si="51"/>
        <v>-0.16172536370692023</v>
      </c>
      <c r="AJ432" s="464"/>
      <c r="AK432" s="455"/>
      <c r="AL432" s="456">
        <f>IFERROR(SUMIF($C:$C,$V432,Q:Q),0)</f>
        <v>10128.049999999999</v>
      </c>
      <c r="AM432" s="460"/>
      <c r="AN432" s="458">
        <f t="shared" si="48"/>
        <v>540.44000000000233</v>
      </c>
      <c r="AO432" s="465">
        <f t="shared" si="49"/>
        <v>5.3360716031220459E-2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59</v>
      </c>
      <c r="B433" s="3"/>
      <c r="C433" s="432" t="s">
        <v>597</v>
      </c>
      <c r="V433" s="252" t="s">
        <v>59</v>
      </c>
      <c r="W433" s="462"/>
      <c r="X433" s="455"/>
      <c r="Y433" s="463"/>
      <c r="Z433" s="456">
        <f>IFERROR(SUMIF($C:$C,$V433,F:F),0)</f>
        <v>0</v>
      </c>
      <c r="AA433" s="455"/>
      <c r="AB433" s="455"/>
      <c r="AC433" s="456"/>
      <c r="AD433" s="464"/>
      <c r="AE433" s="463"/>
      <c r="AF433" s="456">
        <f>IFERROR(SUMIF($C:$C,$V433,L:L),0)</f>
        <v>0</v>
      </c>
      <c r="AG433" s="457"/>
      <c r="AH433" s="458">
        <f t="shared" si="50"/>
        <v>0</v>
      </c>
      <c r="AI433" s="459">
        <f t="shared" si="51"/>
        <v>0</v>
      </c>
      <c r="AJ433" s="464"/>
      <c r="AK433" s="455"/>
      <c r="AL433" s="456">
        <f>IFERROR(SUMIF($C:$C,$V433,Q:Q),0)</f>
        <v>0</v>
      </c>
      <c r="AM433" s="460"/>
      <c r="AN433" s="458"/>
      <c r="AO433" s="445"/>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128</v>
      </c>
      <c r="B434" s="3"/>
      <c r="C434" s="432" t="s">
        <v>597</v>
      </c>
      <c r="V434" s="470" t="s">
        <v>128</v>
      </c>
      <c r="W434" s="471"/>
      <c r="X434" s="472">
        <f>Z434/Z408</f>
        <v>0.44503407747466273</v>
      </c>
      <c r="Y434" s="1162">
        <f>(Z434+$Z$482)/$Z$407</f>
        <v>8.2989735940923307E-2</v>
      </c>
      <c r="Z434" s="473">
        <f>SUM(Z421:Z433)</f>
        <v>365016.61937587045</v>
      </c>
      <c r="AA434" s="472"/>
      <c r="AB434" s="471"/>
      <c r="AC434" s="473"/>
      <c r="AD434" s="474">
        <f>AF434/AF408</f>
        <v>0.43655146087216984</v>
      </c>
      <c r="AE434" s="1162">
        <f>(AF434+$AF$482)/$AF$407</f>
        <v>8.5304555733981199E-2</v>
      </c>
      <c r="AF434" s="473">
        <f>SUM(AF421:AF433)</f>
        <v>301955.39</v>
      </c>
      <c r="AG434" s="475"/>
      <c r="AH434" s="476">
        <f t="shared" si="50"/>
        <v>-63061.229375870433</v>
      </c>
      <c r="AI434" s="472">
        <f>AH434/Z434</f>
        <v>-0.17276262512018409</v>
      </c>
      <c r="AJ434" s="474">
        <f>IF($AL$408=0,0,AL434/$AL$408)</f>
        <v>0.36057553464972208</v>
      </c>
      <c r="AK434" s="1162">
        <f>(AL434+$AL$482)/$AL$407</f>
        <v>6.3327738702450356E-2</v>
      </c>
      <c r="AL434" s="473">
        <f>SUM(AL421:AL433)</f>
        <v>280364.39999999985</v>
      </c>
      <c r="AM434" s="481"/>
      <c r="AN434" s="476">
        <f t="shared" ref="AN434:AN452" si="54">AF434-AL434</f>
        <v>21590.990000000165</v>
      </c>
      <c r="AO434" s="453">
        <f t="shared" ref="AO434:AO462" si="55">IF(AL434=0,0,AN434/AL434)</f>
        <v>7.7010454965038985E-2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129</v>
      </c>
      <c r="B435" s="3"/>
      <c r="C435" s="432" t="s">
        <v>597</v>
      </c>
      <c r="V435" s="405" t="s">
        <v>129</v>
      </c>
      <c r="W435" s="482" t="s">
        <v>610</v>
      </c>
      <c r="X435" s="483"/>
      <c r="Y435" s="483"/>
      <c r="Z435" s="484">
        <f t="shared" ref="Z435:Z449" si="56">+SUMIF($C:$C,$V435,F:F)</f>
        <v>13160</v>
      </c>
      <c r="AA435" s="483"/>
      <c r="AB435" s="483"/>
      <c r="AC435" s="484"/>
      <c r="AD435" s="485"/>
      <c r="AE435" s="486"/>
      <c r="AF435" s="484">
        <f t="shared" ref="AF435:AF449" si="57">+SUMIF($C:$C,$V435,L:L)</f>
        <v>14856.61</v>
      </c>
      <c r="AG435" s="485"/>
      <c r="AH435" s="487">
        <f t="shared" si="50"/>
        <v>1696.6100000000006</v>
      </c>
      <c r="AI435" s="488">
        <f t="shared" ref="AI435:AI452" si="58">IF(Z435=0,0,AH435/Z435)</f>
        <v>0.1289217325227964</v>
      </c>
      <c r="AJ435" s="485"/>
      <c r="AK435" s="483"/>
      <c r="AL435" s="484">
        <f t="shared" ref="AL435:AL449" si="59">+SUMIF($C:$C,$V435,Q:Q)</f>
        <v>14038.38</v>
      </c>
      <c r="AM435" s="489"/>
      <c r="AN435" s="487">
        <f t="shared" si="54"/>
        <v>818.23000000000138</v>
      </c>
      <c r="AO435" s="461">
        <f t="shared" si="55"/>
        <v>5.8285215245633855E-2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130</v>
      </c>
      <c r="B436" s="3"/>
      <c r="C436" s="432" t="s">
        <v>597</v>
      </c>
      <c r="V436" s="311" t="s">
        <v>130</v>
      </c>
      <c r="W436" s="462" t="s">
        <v>620</v>
      </c>
      <c r="X436" s="455"/>
      <c r="Y436" s="455"/>
      <c r="Z436" s="456">
        <f t="shared" si="56"/>
        <v>4545.3811628057083</v>
      </c>
      <c r="AA436" s="455"/>
      <c r="AB436" s="455"/>
      <c r="AC436" s="456"/>
      <c r="AD436" s="464"/>
      <c r="AE436" s="463"/>
      <c r="AF436" s="456">
        <f t="shared" si="57"/>
        <v>4562.2000000000007</v>
      </c>
      <c r="AG436" s="457"/>
      <c r="AH436" s="458">
        <f t="shared" si="50"/>
        <v>16.818837194292428</v>
      </c>
      <c r="AI436" s="459">
        <f t="shared" si="58"/>
        <v>3.7002039195126015E-3</v>
      </c>
      <c r="AJ436" s="464"/>
      <c r="AK436" s="455"/>
      <c r="AL436" s="456">
        <f t="shared" si="59"/>
        <v>1819.6599999999999</v>
      </c>
      <c r="AM436" s="460"/>
      <c r="AN436" s="458">
        <f t="shared" si="54"/>
        <v>2742.5400000000009</v>
      </c>
      <c r="AO436" s="465">
        <f t="shared" si="55"/>
        <v>1.5071716694327517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131</v>
      </c>
      <c r="B437" s="3"/>
      <c r="C437" s="432" t="s">
        <v>597</v>
      </c>
      <c r="U437" s="490"/>
      <c r="V437" s="312" t="s">
        <v>131</v>
      </c>
      <c r="W437" s="466" t="s">
        <v>621</v>
      </c>
      <c r="X437" s="439"/>
      <c r="Y437" s="439"/>
      <c r="Z437" s="440">
        <f t="shared" si="56"/>
        <v>22709.26466666667</v>
      </c>
      <c r="AA437" s="439"/>
      <c r="AB437" s="439"/>
      <c r="AC437" s="440"/>
      <c r="AD437" s="468"/>
      <c r="AE437" s="467"/>
      <c r="AF437" s="440">
        <f t="shared" si="57"/>
        <v>20584.68</v>
      </c>
      <c r="AG437" s="441"/>
      <c r="AH437" s="442">
        <f t="shared" si="50"/>
        <v>-2124.5846666666694</v>
      </c>
      <c r="AI437" s="469">
        <f t="shared" si="58"/>
        <v>-9.3555854751439738E-2</v>
      </c>
      <c r="AJ437" s="468"/>
      <c r="AK437" s="439"/>
      <c r="AL437" s="440">
        <f t="shared" si="59"/>
        <v>23078.729999999996</v>
      </c>
      <c r="AM437" s="444"/>
      <c r="AN437" s="442">
        <f t="shared" si="54"/>
        <v>-2494.0499999999956</v>
      </c>
      <c r="AO437" s="445">
        <f t="shared" si="55"/>
        <v>-0.10806703835089695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132</v>
      </c>
      <c r="B438" s="3"/>
      <c r="C438" s="432" t="s">
        <v>597</v>
      </c>
      <c r="U438" s="490"/>
      <c r="V438" s="311" t="s">
        <v>132</v>
      </c>
      <c r="W438" s="462" t="s">
        <v>622</v>
      </c>
      <c r="X438" s="455"/>
      <c r="Y438" s="455"/>
      <c r="Z438" s="456">
        <f t="shared" si="56"/>
        <v>23440</v>
      </c>
      <c r="AA438" s="455"/>
      <c r="AB438" s="455"/>
      <c r="AC438" s="456"/>
      <c r="AD438" s="464"/>
      <c r="AE438" s="463"/>
      <c r="AF438" s="456">
        <f t="shared" si="57"/>
        <v>28846.260000000002</v>
      </c>
      <c r="AG438" s="457"/>
      <c r="AH438" s="458">
        <f t="shared" si="50"/>
        <v>5406.260000000002</v>
      </c>
      <c r="AI438" s="459">
        <f t="shared" si="58"/>
        <v>0.23064249146757687</v>
      </c>
      <c r="AJ438" s="464"/>
      <c r="AK438" s="455"/>
      <c r="AL438" s="456">
        <f t="shared" si="59"/>
        <v>24085.59</v>
      </c>
      <c r="AM438" s="460"/>
      <c r="AN438" s="458">
        <f t="shared" si="54"/>
        <v>4760.6700000000019</v>
      </c>
      <c r="AO438" s="465">
        <f t="shared" si="55"/>
        <v>0.19765635801323539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133</v>
      </c>
      <c r="B439" s="3"/>
      <c r="C439" s="432" t="s">
        <v>597</v>
      </c>
      <c r="U439" s="490"/>
      <c r="V439" s="311" t="s">
        <v>133</v>
      </c>
      <c r="W439" s="462" t="s">
        <v>623</v>
      </c>
      <c r="X439" s="455"/>
      <c r="Y439" s="455"/>
      <c r="Z439" s="456">
        <f t="shared" si="56"/>
        <v>4750</v>
      </c>
      <c r="AA439" s="455"/>
      <c r="AB439" s="455"/>
      <c r="AC439" s="456"/>
      <c r="AD439" s="464"/>
      <c r="AE439" s="463"/>
      <c r="AF439" s="456">
        <f t="shared" si="57"/>
        <v>1200.51</v>
      </c>
      <c r="AG439" s="457"/>
      <c r="AH439" s="458">
        <f t="shared" si="50"/>
        <v>-3549.49</v>
      </c>
      <c r="AI439" s="459">
        <f t="shared" si="58"/>
        <v>-0.74726105263157894</v>
      </c>
      <c r="AJ439" s="464"/>
      <c r="AK439" s="455"/>
      <c r="AL439" s="456">
        <f t="shared" si="59"/>
        <v>3092.1</v>
      </c>
      <c r="AM439" s="460"/>
      <c r="AN439" s="458">
        <f t="shared" si="54"/>
        <v>-1891.59</v>
      </c>
      <c r="AO439" s="465">
        <f t="shared" si="55"/>
        <v>-0.61174929659454735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134</v>
      </c>
      <c r="B440" s="3"/>
      <c r="C440" s="432" t="s">
        <v>597</v>
      </c>
      <c r="V440" s="311" t="s">
        <v>134</v>
      </c>
      <c r="W440" s="462" t="s">
        <v>624</v>
      </c>
      <c r="X440" s="455"/>
      <c r="Y440" s="455"/>
      <c r="Z440" s="456">
        <f t="shared" si="56"/>
        <v>37935.628112932754</v>
      </c>
      <c r="AA440" s="455"/>
      <c r="AB440" s="455"/>
      <c r="AC440" s="456"/>
      <c r="AD440" s="464"/>
      <c r="AE440" s="463"/>
      <c r="AF440" s="456">
        <f t="shared" si="57"/>
        <v>31409.71</v>
      </c>
      <c r="AG440" s="457"/>
      <c r="AH440" s="458">
        <f t="shared" si="50"/>
        <v>-6525.9181129327553</v>
      </c>
      <c r="AI440" s="459">
        <f t="shared" si="58"/>
        <v>-0.17202609888270134</v>
      </c>
      <c r="AJ440" s="464"/>
      <c r="AK440" s="455"/>
      <c r="AL440" s="456">
        <f t="shared" si="59"/>
        <v>44790.42</v>
      </c>
      <c r="AM440" s="460"/>
      <c r="AN440" s="458">
        <f t="shared" si="54"/>
        <v>-13380.71</v>
      </c>
      <c r="AO440" s="465">
        <f t="shared" si="55"/>
        <v>-0.29874044494336066</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2" t="s">
        <v>597</v>
      </c>
      <c r="V441" s="405" t="s">
        <v>489</v>
      </c>
      <c r="W441" s="482"/>
      <c r="X441" s="483"/>
      <c r="Y441" s="483"/>
      <c r="Z441" s="484">
        <f t="shared" si="56"/>
        <v>0</v>
      </c>
      <c r="AA441" s="483"/>
      <c r="AB441" s="483"/>
      <c r="AC441" s="484"/>
      <c r="AD441" s="485"/>
      <c r="AE441" s="486"/>
      <c r="AF441" s="484">
        <f t="shared" si="57"/>
        <v>0</v>
      </c>
      <c r="AG441" s="491"/>
      <c r="AH441" s="487">
        <f t="shared" si="50"/>
        <v>0</v>
      </c>
      <c r="AI441" s="488">
        <f t="shared" si="58"/>
        <v>0</v>
      </c>
      <c r="AJ441" s="485"/>
      <c r="AK441" s="483"/>
      <c r="AL441" s="484">
        <f t="shared" si="59"/>
        <v>0</v>
      </c>
      <c r="AM441" s="489"/>
      <c r="AN441" s="487">
        <f t="shared" si="54"/>
        <v>0</v>
      </c>
      <c r="AO441" s="461">
        <f t="shared" si="55"/>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135</v>
      </c>
      <c r="B442" s="3"/>
      <c r="C442" s="432" t="s">
        <v>597</v>
      </c>
      <c r="V442" s="311" t="s">
        <v>135</v>
      </c>
      <c r="W442" s="462" t="s">
        <v>625</v>
      </c>
      <c r="X442" s="455"/>
      <c r="Y442" s="463"/>
      <c r="Z442" s="456">
        <f t="shared" si="56"/>
        <v>5170</v>
      </c>
      <c r="AA442" s="455"/>
      <c r="AB442" s="463"/>
      <c r="AC442" s="456"/>
      <c r="AD442" s="464"/>
      <c r="AE442" s="463"/>
      <c r="AF442" s="456">
        <f t="shared" si="57"/>
        <v>2209.3200000000002</v>
      </c>
      <c r="AG442" s="457"/>
      <c r="AH442" s="458">
        <f t="shared" si="50"/>
        <v>-2960.68</v>
      </c>
      <c r="AI442" s="459">
        <f t="shared" si="58"/>
        <v>-0.5726653771760154</v>
      </c>
      <c r="AJ442" s="464"/>
      <c r="AK442" s="455"/>
      <c r="AL442" s="456">
        <f t="shared" si="59"/>
        <v>3095.58</v>
      </c>
      <c r="AM442" s="460"/>
      <c r="AN442" s="458">
        <f t="shared" si="54"/>
        <v>-886.25999999999976</v>
      </c>
      <c r="AO442" s="465">
        <f t="shared" si="55"/>
        <v>-0.28629852887019552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136</v>
      </c>
      <c r="B443" s="3"/>
      <c r="C443" s="432" t="s">
        <v>597</v>
      </c>
      <c r="U443" s="38"/>
      <c r="V443" s="311" t="s">
        <v>136</v>
      </c>
      <c r="W443" s="462" t="s">
        <v>626</v>
      </c>
      <c r="X443" s="455"/>
      <c r="Y443" s="455"/>
      <c r="Z443" s="456">
        <f t="shared" si="56"/>
        <v>1000</v>
      </c>
      <c r="AA443" s="455"/>
      <c r="AB443" s="455"/>
      <c r="AC443" s="456"/>
      <c r="AD443" s="464"/>
      <c r="AE443" s="463"/>
      <c r="AF443" s="456">
        <f t="shared" si="57"/>
        <v>2740.03</v>
      </c>
      <c r="AG443" s="457"/>
      <c r="AH443" s="458">
        <f t="shared" si="50"/>
        <v>1740.0300000000002</v>
      </c>
      <c r="AI443" s="478">
        <f t="shared" si="58"/>
        <v>1.7400300000000002</v>
      </c>
      <c r="AJ443" s="464"/>
      <c r="AK443" s="455"/>
      <c r="AL443" s="456">
        <f t="shared" si="59"/>
        <v>699.73</v>
      </c>
      <c r="AM443" s="460"/>
      <c r="AN443" s="458">
        <f t="shared" si="54"/>
        <v>2040.3000000000002</v>
      </c>
      <c r="AO443" s="465">
        <f t="shared" si="55"/>
        <v>2.9158389664584914</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137</v>
      </c>
      <c r="B444" s="3"/>
      <c r="C444" s="432" t="s">
        <v>597</v>
      </c>
      <c r="T444" s="38"/>
      <c r="U444" s="38"/>
      <c r="V444" s="311" t="s">
        <v>137</v>
      </c>
      <c r="W444" s="462" t="s">
        <v>627</v>
      </c>
      <c r="X444" s="455"/>
      <c r="Y444" s="455"/>
      <c r="Z444" s="456">
        <f t="shared" si="56"/>
        <v>2303.5</v>
      </c>
      <c r="AA444" s="455"/>
      <c r="AB444" s="455"/>
      <c r="AC444" s="456"/>
      <c r="AD444" s="464"/>
      <c r="AE444" s="463"/>
      <c r="AF444" s="456">
        <f t="shared" si="57"/>
        <v>2184.9899999999998</v>
      </c>
      <c r="AG444" s="457"/>
      <c r="AH444" s="458">
        <f t="shared" si="50"/>
        <v>-118.51000000000022</v>
      </c>
      <c r="AI444" s="459">
        <f t="shared" si="58"/>
        <v>-5.1447796830909581E-2</v>
      </c>
      <c r="AJ444" s="464"/>
      <c r="AK444" s="455"/>
      <c r="AL444" s="456">
        <f t="shared" si="59"/>
        <v>4141.9799999999996</v>
      </c>
      <c r="AM444" s="460"/>
      <c r="AN444" s="458">
        <f t="shared" si="54"/>
        <v>-1956.9899999999998</v>
      </c>
      <c r="AO444" s="465">
        <f t="shared" si="55"/>
        <v>-0.47247693132270074</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138</v>
      </c>
      <c r="B445" s="3"/>
      <c r="C445" s="432" t="s">
        <v>597</v>
      </c>
      <c r="T445" s="38"/>
      <c r="U445" s="38"/>
      <c r="V445" s="311" t="s">
        <v>138</v>
      </c>
      <c r="W445" s="462" t="s">
        <v>628</v>
      </c>
      <c r="X445" s="455"/>
      <c r="Y445" s="455"/>
      <c r="Z445" s="456">
        <f t="shared" si="56"/>
        <v>896.875</v>
      </c>
      <c r="AA445" s="455"/>
      <c r="AB445" s="455"/>
      <c r="AC445" s="456"/>
      <c r="AD445" s="464"/>
      <c r="AE445" s="463"/>
      <c r="AF445" s="456">
        <f t="shared" si="57"/>
        <v>646.23</v>
      </c>
      <c r="AG445" s="457"/>
      <c r="AH445" s="458">
        <f t="shared" si="50"/>
        <v>-250.64499999999998</v>
      </c>
      <c r="AI445" s="478">
        <f t="shared" si="58"/>
        <v>-0.27946480836236931</v>
      </c>
      <c r="AJ445" s="464"/>
      <c r="AK445" s="455"/>
      <c r="AL445" s="456">
        <f t="shared" si="59"/>
        <v>662.9</v>
      </c>
      <c r="AM445" s="460"/>
      <c r="AN445" s="458">
        <f t="shared" si="54"/>
        <v>-16.669999999999959</v>
      </c>
      <c r="AO445" s="465">
        <f t="shared" si="55"/>
        <v>-2.5147081007693407E-2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139</v>
      </c>
      <c r="B446" s="3"/>
      <c r="C446" s="432" t="s">
        <v>597</v>
      </c>
      <c r="T446" s="38"/>
      <c r="U446" s="38"/>
      <c r="V446" s="311" t="s">
        <v>139</v>
      </c>
      <c r="W446" s="462" t="s">
        <v>629</v>
      </c>
      <c r="X446" s="455"/>
      <c r="Y446" s="455"/>
      <c r="Z446" s="456">
        <f t="shared" si="56"/>
        <v>712.24999999999989</v>
      </c>
      <c r="AA446" s="455"/>
      <c r="AB446" s="455"/>
      <c r="AC446" s="456"/>
      <c r="AD446" s="464"/>
      <c r="AE446" s="463"/>
      <c r="AF446" s="456">
        <f t="shared" si="57"/>
        <v>2394.06</v>
      </c>
      <c r="AG446" s="457"/>
      <c r="AH446" s="458">
        <f t="shared" si="50"/>
        <v>1681.81</v>
      </c>
      <c r="AI446" s="459">
        <f t="shared" si="58"/>
        <v>2.3612636012636017</v>
      </c>
      <c r="AJ446" s="464"/>
      <c r="AK446" s="455"/>
      <c r="AL446" s="456">
        <f t="shared" si="59"/>
        <v>-207.98999999999998</v>
      </c>
      <c r="AM446" s="460"/>
      <c r="AN446" s="458">
        <f t="shared" si="54"/>
        <v>2602.0499999999997</v>
      </c>
      <c r="AO446" s="465">
        <f t="shared" si="55"/>
        <v>-12.510457233520842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140</v>
      </c>
      <c r="B447" s="3"/>
      <c r="C447" s="432" t="s">
        <v>597</v>
      </c>
      <c r="T447" s="38"/>
      <c r="U447" s="38"/>
      <c r="V447" s="311" t="s">
        <v>140</v>
      </c>
      <c r="W447" s="462" t="s">
        <v>630</v>
      </c>
      <c r="X447" s="455"/>
      <c r="Y447" s="463"/>
      <c r="Z447" s="456">
        <f t="shared" si="56"/>
        <v>375</v>
      </c>
      <c r="AA447" s="455"/>
      <c r="AB447" s="463"/>
      <c r="AC447" s="456"/>
      <c r="AD447" s="464"/>
      <c r="AE447" s="463"/>
      <c r="AF447" s="456">
        <f t="shared" si="57"/>
        <v>58.92</v>
      </c>
      <c r="AG447" s="457"/>
      <c r="AH447" s="458">
        <f t="shared" si="50"/>
        <v>-316.08</v>
      </c>
      <c r="AI447" s="478">
        <f t="shared" si="58"/>
        <v>-0.84287999999999996</v>
      </c>
      <c r="AJ447" s="464"/>
      <c r="AK447" s="455"/>
      <c r="AL447" s="456">
        <f t="shared" si="59"/>
        <v>196</v>
      </c>
      <c r="AM447" s="460"/>
      <c r="AN447" s="458">
        <f t="shared" si="54"/>
        <v>-137.07999999999998</v>
      </c>
      <c r="AO447" s="465">
        <f t="shared" si="55"/>
        <v>-0.69938775510204076</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141</v>
      </c>
      <c r="B448" s="3"/>
      <c r="C448" s="432" t="s">
        <v>597</v>
      </c>
      <c r="T448" s="38"/>
      <c r="U448" s="38"/>
      <c r="V448" s="311" t="s">
        <v>141</v>
      </c>
      <c r="W448" s="462" t="s">
        <v>631</v>
      </c>
      <c r="X448" s="455"/>
      <c r="Y448" s="463"/>
      <c r="Z448" s="456">
        <f t="shared" si="56"/>
        <v>4500</v>
      </c>
      <c r="AA448" s="455"/>
      <c r="AB448" s="463"/>
      <c r="AC448" s="456"/>
      <c r="AD448" s="464"/>
      <c r="AE448" s="463"/>
      <c r="AF448" s="456">
        <f t="shared" si="57"/>
        <v>1911.1</v>
      </c>
      <c r="AG448" s="457"/>
      <c r="AH448" s="458">
        <f t="shared" si="50"/>
        <v>-2588.9</v>
      </c>
      <c r="AI448" s="459">
        <f t="shared" si="58"/>
        <v>-0.57531111111111111</v>
      </c>
      <c r="AJ448" s="464"/>
      <c r="AK448" s="455"/>
      <c r="AL448" s="456">
        <f t="shared" si="59"/>
        <v>5885.7999999999993</v>
      </c>
      <c r="AM448" s="460"/>
      <c r="AN448" s="458">
        <f t="shared" si="54"/>
        <v>-3974.6999999999994</v>
      </c>
      <c r="AO448" s="465">
        <f t="shared" si="55"/>
        <v>-0.67530327228244247</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142</v>
      </c>
      <c r="B449" s="3"/>
      <c r="C449" s="432" t="s">
        <v>597</v>
      </c>
      <c r="T449" s="38"/>
      <c r="U449" s="38"/>
      <c r="V449" s="311" t="s">
        <v>142</v>
      </c>
      <c r="W449" s="462" t="s">
        <v>632</v>
      </c>
      <c r="X449" s="455"/>
      <c r="Y449" s="985">
        <f>Z449/Z407</f>
        <v>1.4026167144386211E-3</v>
      </c>
      <c r="Z449" s="456">
        <f t="shared" si="56"/>
        <v>8483.1364627937146</v>
      </c>
      <c r="AA449" s="455"/>
      <c r="AB449" s="463"/>
      <c r="AC449" s="456"/>
      <c r="AD449" s="464"/>
      <c r="AE449" s="463"/>
      <c r="AF449" s="857">
        <f t="shared" si="57"/>
        <v>9365.01</v>
      </c>
      <c r="AG449" s="457"/>
      <c r="AH449" s="861">
        <f t="shared" si="50"/>
        <v>881.87353720628562</v>
      </c>
      <c r="AI449" s="459">
        <f t="shared" si="58"/>
        <v>0.1039560710916422</v>
      </c>
      <c r="AJ449" s="464"/>
      <c r="AK449" s="455"/>
      <c r="AL449" s="456">
        <f t="shared" si="59"/>
        <v>8670.7100000000009</v>
      </c>
      <c r="AM449" s="460"/>
      <c r="AN449" s="458">
        <f t="shared" si="54"/>
        <v>694.29999999999927</v>
      </c>
      <c r="AO449" s="465">
        <f t="shared" si="55"/>
        <v>8.0074180776429985E-2</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597</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50"/>
        <v>0</v>
      </c>
      <c r="AI450" s="459">
        <f t="shared" si="58"/>
        <v>0</v>
      </c>
      <c r="AJ450" s="464"/>
      <c r="AK450" s="455"/>
      <c r="AL450" s="456">
        <f>IFERROR(SUMIF($C:$C,$V450,Q:Q),0)</f>
        <v>0</v>
      </c>
      <c r="AM450" s="460"/>
      <c r="AN450" s="458">
        <f t="shared" si="54"/>
        <v>0</v>
      </c>
      <c r="AO450" s="465">
        <f t="shared" si="5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597</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50"/>
        <v>0</v>
      </c>
      <c r="AI451" s="459">
        <f t="shared" si="58"/>
        <v>0</v>
      </c>
      <c r="AJ451" s="464"/>
      <c r="AK451" s="455"/>
      <c r="AL451" s="456">
        <f>IFERROR(SUMIF($C:$C,$V451,Q:Q),0)</f>
        <v>0</v>
      </c>
      <c r="AM451" s="460"/>
      <c r="AN451" s="458">
        <f t="shared" si="54"/>
        <v>0</v>
      </c>
      <c r="AO451" s="465">
        <f t="shared" si="55"/>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59</v>
      </c>
      <c r="B452" s="3"/>
      <c r="C452" s="432" t="s">
        <v>597</v>
      </c>
      <c r="T452" s="38"/>
      <c r="U452" s="38"/>
      <c r="V452" s="311" t="s">
        <v>59</v>
      </c>
      <c r="W452" s="462"/>
      <c r="X452" s="455"/>
      <c r="Y452" s="463"/>
      <c r="Z452" s="456">
        <f>IFERROR(SUMIF($C:$C,$V452,F:F),0)</f>
        <v>0</v>
      </c>
      <c r="AA452" s="455"/>
      <c r="AB452" s="455"/>
      <c r="AC452" s="456"/>
      <c r="AD452" s="464"/>
      <c r="AE452" s="463"/>
      <c r="AF452" s="456">
        <f>IFERROR(SUMIF($C:$C,$V452,L:L),0)</f>
        <v>0</v>
      </c>
      <c r="AG452" s="457"/>
      <c r="AH452" s="458">
        <f t="shared" si="50"/>
        <v>0</v>
      </c>
      <c r="AI452" s="459">
        <f t="shared" si="58"/>
        <v>0</v>
      </c>
      <c r="AJ452" s="464"/>
      <c r="AK452" s="455"/>
      <c r="AL452" s="456">
        <f>IFERROR(SUMIF($C:$C,$V452,Q:Q),0)</f>
        <v>0</v>
      </c>
      <c r="AM452" s="460"/>
      <c r="AN452" s="458">
        <f t="shared" si="54"/>
        <v>0</v>
      </c>
      <c r="AO452" s="465">
        <f t="shared" si="5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143</v>
      </c>
      <c r="B453" s="3"/>
      <c r="C453" s="432" t="s">
        <v>597</v>
      </c>
      <c r="T453" s="38"/>
      <c r="U453" s="38"/>
      <c r="V453" s="470" t="s">
        <v>143</v>
      </c>
      <c r="W453" s="492"/>
      <c r="X453" s="472">
        <f>Z453/+Z408</f>
        <v>0.15847494911235285</v>
      </c>
      <c r="Y453" s="1162">
        <f>(Z453+$Z$482)/$Z$407</f>
        <v>4.4128538786900505E-2</v>
      </c>
      <c r="Z453" s="473">
        <f>+SUM(Z435:Z452)</f>
        <v>129981.03540519884</v>
      </c>
      <c r="AA453" s="472"/>
      <c r="AB453" s="471"/>
      <c r="AC453" s="473"/>
      <c r="AD453" s="474">
        <f>AF453/AF408</f>
        <v>0.17778312094183912</v>
      </c>
      <c r="AE453" s="1162">
        <f>(AF453+$AF$482)/$AF$407</f>
        <v>5.3180484149315255E-2</v>
      </c>
      <c r="AF453" s="473">
        <f>+SUM(AF435:AF452)</f>
        <v>122969.63</v>
      </c>
      <c r="AG453" s="480"/>
      <c r="AH453" s="493">
        <f>+SUM(AH435:AH452)</f>
        <v>-7011.4054051988442</v>
      </c>
      <c r="AI453" s="472">
        <f>AH453/Z453</f>
        <v>-5.3941756836616256E-2</v>
      </c>
      <c r="AJ453" s="474">
        <f>IF($AL$408=0,0,AL453/$AL$408)</f>
        <v>0.1724006421065801</v>
      </c>
      <c r="AK453" s="1162">
        <f>(AL453+$AL$482)/$AL$407</f>
        <v>4.164883456014299E-2</v>
      </c>
      <c r="AL453" s="473">
        <f>+SUM(AL435:AL452)</f>
        <v>134049.59</v>
      </c>
      <c r="AM453" s="481"/>
      <c r="AN453" s="476">
        <f>+SUM(AN435:AN452)</f>
        <v>-11079.959999999992</v>
      </c>
      <c r="AO453" s="494">
        <f t="shared" si="55"/>
        <v>-8.2655679886823916E-2</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205</v>
      </c>
      <c r="B454" s="3"/>
      <c r="C454" s="432" t="s">
        <v>597</v>
      </c>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+INDEX('Budget original'!$A$2:$AO$502,MATCH($A454,'Budget original'!$A$2:$A$502,0),MATCH(F$2,'Budget original'!$A$2:$AO$2,0))</f>
        <v>79500</v>
      </c>
      <c r="AA454" s="455"/>
      <c r="AB454" s="463"/>
      <c r="AC454" s="456"/>
      <c r="AD454" s="464"/>
      <c r="AE454" s="463"/>
      <c r="AF454" s="456">
        <f>SUMIFS(BV_Data_An_Cour!$O:$O,BV_Data_An_Cour!$V:$V,$V454)</f>
        <v>79500</v>
      </c>
      <c r="AG454" s="457"/>
      <c r="AH454" s="458">
        <f t="shared" ref="AH454:AH462" si="60">AF454-Z454</f>
        <v>0</v>
      </c>
      <c r="AI454" s="459">
        <f t="shared" ref="AI454:AI462" si="61">IF(Z454=0,0,AH454/Z454)</f>
        <v>0</v>
      </c>
      <c r="AJ454" s="464"/>
      <c r="AK454" s="455"/>
      <c r="AL454" s="456">
        <f>+INDEX('Réel 2024'!$A$2:$AO$502,MATCH($A454,'Réel 2024'!$A$2:$A$502,0),MATCH(F$2,'Réel 2024'!$A$2:$AO$2,0))</f>
        <v>36000</v>
      </c>
      <c r="AM454" s="460"/>
      <c r="AN454" s="458">
        <f t="shared" ref="AN454:AN462" si="62">AF454-AL454</f>
        <v>43500</v>
      </c>
      <c r="AO454" s="465">
        <f t="shared" si="55"/>
        <v>1.2083333333333333</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206</v>
      </c>
      <c r="B455" s="3"/>
      <c r="C455" s="432" t="s">
        <v>597</v>
      </c>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+INDEX('Budget original'!$A$2:$AO$502,MATCH($A455,'Budget original'!$A$2:$A$502,0),MATCH(F$2,'Budget original'!$A$2:$AO$2,0))</f>
        <v>16000</v>
      </c>
      <c r="AA455" s="455"/>
      <c r="AB455" s="463"/>
      <c r="AC455" s="456"/>
      <c r="AD455" s="464"/>
      <c r="AE455" s="463"/>
      <c r="AF455" s="456">
        <f>SUMIFS(BV_Data_An_Cour!$O:$O,BV_Data_An_Cour!$V:$V,$V455)</f>
        <v>16500</v>
      </c>
      <c r="AG455" s="457"/>
      <c r="AH455" s="458">
        <f t="shared" si="60"/>
        <v>500</v>
      </c>
      <c r="AI455" s="459">
        <f t="shared" si="61"/>
        <v>3.125E-2</v>
      </c>
      <c r="AJ455" s="464"/>
      <c r="AK455" s="455"/>
      <c r="AL455" s="456">
        <f>+INDEX('Réel 2024'!$A$2:$AO$502,MATCH($A455,'Réel 2024'!$A$2:$A$502,0),MATCH(F$2,'Réel 2024'!$A$2:$AO$2,0))</f>
        <v>5423</v>
      </c>
      <c r="AM455" s="460"/>
      <c r="AN455" s="458">
        <f t="shared" si="62"/>
        <v>11077</v>
      </c>
      <c r="AO455" s="465">
        <f t="shared" si="55"/>
        <v>2.0425963488843815</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207</v>
      </c>
      <c r="B456" s="3"/>
      <c r="C456" s="432" t="s">
        <v>597</v>
      </c>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+INDEX('Budget original'!$A$2:$AO$502,MATCH($A456,'Budget original'!$A$2:$A$502,0),MATCH(F$2,'Budget original'!$A$2:$AO$2,0))</f>
        <v>1500</v>
      </c>
      <c r="AA456" s="439"/>
      <c r="AB456" s="467"/>
      <c r="AC456" s="440"/>
      <c r="AD456" s="468"/>
      <c r="AE456" s="467"/>
      <c r="AF456" s="440">
        <f>SUMIFS(BV_Data_An_Cour!$O:$O,BV_Data_An_Cour!$V:$V,$V456)</f>
        <v>1500</v>
      </c>
      <c r="AG456" s="441"/>
      <c r="AH456" s="442">
        <f t="shared" si="60"/>
        <v>0</v>
      </c>
      <c r="AI456" s="469">
        <f t="shared" si="61"/>
        <v>0</v>
      </c>
      <c r="AJ456" s="468"/>
      <c r="AK456" s="439"/>
      <c r="AL456" s="440">
        <f>+INDEX('Réel 2024'!$A$2:$AO$502,MATCH($A456,'Réel 2024'!$A$2:$A$502,0),MATCH(F$2,'Réel 2024'!$A$2:$AO$2,0))</f>
        <v>3609</v>
      </c>
      <c r="AM456" s="444"/>
      <c r="AN456" s="442">
        <f t="shared" si="62"/>
        <v>-2109</v>
      </c>
      <c r="AO456" s="445">
        <f t="shared" si="55"/>
        <v>-0.58437240232751453</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208</v>
      </c>
      <c r="B457" s="3"/>
      <c r="C457" s="432" t="s">
        <v>597</v>
      </c>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+INDEX('Budget original'!$A$2:$AO$502,MATCH($A457,'Budget original'!$A$2:$A$502,0),MATCH(F$2,'Budget original'!$A$2:$AO$2,0))</f>
        <v>0</v>
      </c>
      <c r="AA457" s="455"/>
      <c r="AB457" s="463"/>
      <c r="AC457" s="456"/>
      <c r="AD457" s="464"/>
      <c r="AE457" s="463"/>
      <c r="AF457" s="456">
        <f>SUMIFS(BV_Data_An_Cour!$O:$O,BV_Data_An_Cour!$V:$V,$V457)</f>
        <v>0</v>
      </c>
      <c r="AG457" s="457"/>
      <c r="AH457" s="458">
        <f t="shared" si="60"/>
        <v>0</v>
      </c>
      <c r="AI457" s="459">
        <f t="shared" si="61"/>
        <v>0</v>
      </c>
      <c r="AJ457" s="464"/>
      <c r="AK457" s="455"/>
      <c r="AL457" s="456">
        <f>+INDEX('Réel 2024'!$A$2:$AO$502,MATCH($A457,'Réel 2024'!$A$2:$A$502,0),MATCH(F$2,'Réel 2024'!$A$2:$AO$2,0))</f>
        <v>0</v>
      </c>
      <c r="AM457" s="460"/>
      <c r="AN457" s="458">
        <f t="shared" si="62"/>
        <v>0</v>
      </c>
      <c r="AO457" s="465">
        <f t="shared" si="55"/>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209</v>
      </c>
      <c r="B458" s="3"/>
      <c r="C458" s="432" t="s">
        <v>597</v>
      </c>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+INDEX('Budget original'!$A$2:$AO$502,MATCH($A458,'Budget original'!$A$2:$A$502,0),MATCH(F$2,'Budget original'!$A$2:$AO$2,0))</f>
        <v>4344.25</v>
      </c>
      <c r="AA458" s="439"/>
      <c r="AB458" s="467"/>
      <c r="AC458" s="440"/>
      <c r="AD458" s="468"/>
      <c r="AE458" s="467"/>
      <c r="AF458" s="440">
        <f>SUMIF(BV_Data_An_Cour!$V:$V,Print_Mois!$V458,BV_Data_An_Cour!$O:$O)</f>
        <v>4000</v>
      </c>
      <c r="AG458" s="441"/>
      <c r="AH458" s="442">
        <f t="shared" si="60"/>
        <v>-344.25</v>
      </c>
      <c r="AI458" s="469">
        <f t="shared" si="61"/>
        <v>-7.924267710191632E-2</v>
      </c>
      <c r="AJ458" s="468"/>
      <c r="AK458" s="439"/>
      <c r="AL458" s="440">
        <f>+INDEX('Réel 2024'!$A$2:$AO$502,MATCH($A458,'Réel 2024'!$A$2:$A$502,0),MATCH(F$2,'Réel 2024'!$A$2:$AO$2,0))</f>
        <v>4344.25</v>
      </c>
      <c r="AM458" s="444"/>
      <c r="AN458" s="442">
        <f t="shared" si="62"/>
        <v>-344.25</v>
      </c>
      <c r="AO458" s="445">
        <f t="shared" si="55"/>
        <v>-7.924267710191632E-2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210</v>
      </c>
      <c r="B459" s="3"/>
      <c r="C459" s="432" t="s">
        <v>597</v>
      </c>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+INDEX('Budget original'!$A$2:$AO$502,MATCH($A459,'Budget original'!$A$2:$A$502,0),MATCH(F$2,'Budget original'!$A$2:$AO$2,0))</f>
        <v>7533.3333333333321</v>
      </c>
      <c r="AA459" s="495"/>
      <c r="AB459" s="496"/>
      <c r="AC459" s="456"/>
      <c r="AD459" s="464"/>
      <c r="AE459" s="463"/>
      <c r="AF459" s="1157">
        <f>SUMIFS(BV_Data_An_Cour!$O:$O,BV_Data_An_Cour!$V:$V,$V459)</f>
        <v>4144.7700000000004</v>
      </c>
      <c r="AG459" s="457"/>
      <c r="AH459" s="458">
        <f t="shared" si="60"/>
        <v>-3388.5633333333317</v>
      </c>
      <c r="AI459" s="459">
        <f t="shared" si="61"/>
        <v>-0.4498092920353981</v>
      </c>
      <c r="AJ459" s="464"/>
      <c r="AK459" s="455"/>
      <c r="AL459" s="456">
        <f>+INDEX('Réel 2024'!$A$2:$AO$502,MATCH($A459,'Réel 2024'!$A$2:$A$502,0),MATCH(F$2,'Réel 2024'!$A$2:$AO$2,0))</f>
        <v>4921.3999999999996</v>
      </c>
      <c r="AM459" s="460"/>
      <c r="AN459" s="458">
        <f t="shared" si="62"/>
        <v>-776.6299999999992</v>
      </c>
      <c r="AO459" s="465">
        <f t="shared" si="55"/>
        <v>-0.15780672166456683</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211</v>
      </c>
      <c r="B460" s="3"/>
      <c r="C460" s="432" t="s">
        <v>597</v>
      </c>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+INDEX('Budget original'!$A$2:$AO$502,MATCH($A460,'Budget original'!$A$2:$A$502,0),MATCH(F$2,'Budget original'!$A$2:$AO$2,0))</f>
        <v>2767</v>
      </c>
      <c r="AA460" s="455"/>
      <c r="AB460" s="463"/>
      <c r="AC460" s="456"/>
      <c r="AD460" s="464"/>
      <c r="AE460" s="463"/>
      <c r="AF460" s="456">
        <f>SUMIFS(BV_Data_An_Cour!$O:$O,BV_Data_An_Cour!$V:$V,$V460)</f>
        <v>2267</v>
      </c>
      <c r="AG460" s="457"/>
      <c r="AH460" s="458">
        <f t="shared" si="60"/>
        <v>-500</v>
      </c>
      <c r="AI460" s="459">
        <f t="shared" si="61"/>
        <v>-0.18070112034694616</v>
      </c>
      <c r="AJ460" s="464"/>
      <c r="AK460" s="455"/>
      <c r="AL460" s="456">
        <f>+INDEX('Réel 2024'!$A$2:$AO$502,MATCH($A460,'Réel 2024'!$A$2:$A$502,0),MATCH(F$2,'Réel 2024'!$A$2:$AO$2,0))</f>
        <v>10733.28</v>
      </c>
      <c r="AM460" s="460"/>
      <c r="AN460" s="458">
        <f t="shared" si="62"/>
        <v>-8466.2800000000007</v>
      </c>
      <c r="AO460" s="465">
        <f t="shared" si="55"/>
        <v>-0.78878777037401426</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212</v>
      </c>
      <c r="B461" s="3"/>
      <c r="C461" s="432" t="s">
        <v>597</v>
      </c>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+INDEX('Budget original'!$A$2:$AO$502,MATCH($A461,'Budget original'!$A$2:$A$502,0),MATCH(F$2,'Budget original'!$A$2:$AO$2,0))</f>
        <v>1364.5623407645369</v>
      </c>
      <c r="AA461" s="439"/>
      <c r="AB461" s="467"/>
      <c r="AC461" s="440"/>
      <c r="AD461" s="468"/>
      <c r="AE461" s="467"/>
      <c r="AF461" s="440">
        <f>SUMIFS(BV_Data_An_Cour!$O:$O,BV_Data_An_Cour!$V:$V,$V461)</f>
        <v>0</v>
      </c>
      <c r="AG461" s="441"/>
      <c r="AH461" s="442">
        <f t="shared" si="60"/>
        <v>-1364.5623407645369</v>
      </c>
      <c r="AI461" s="469">
        <f t="shared" si="61"/>
        <v>-1</v>
      </c>
      <c r="AJ461" s="468"/>
      <c r="AK461" s="439"/>
      <c r="AL461" s="440">
        <f>+INDEX('Réel 2024'!$A$2:$AO$502,MATCH($A461,'Réel 2024'!$A$2:$A$502,0),MATCH(F$2,'Réel 2024'!$A$2:$AO$2,0))</f>
        <v>764.9</v>
      </c>
      <c r="AM461" s="444"/>
      <c r="AN461" s="442">
        <f t="shared" si="62"/>
        <v>-764.9</v>
      </c>
      <c r="AO461" s="445">
        <f t="shared" si="55"/>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213</v>
      </c>
      <c r="B462" s="3"/>
      <c r="C462" s="432" t="s">
        <v>597</v>
      </c>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+INDEX('Budget original'!$A$2:$AO$502,MATCH($A462,'Budget original'!$A$2:$A$502,0),MATCH(F$2,'Budget original'!$A$2:$AO$2,0))</f>
        <v>1250</v>
      </c>
      <c r="AA462" s="455"/>
      <c r="AB462" s="463"/>
      <c r="AC462" s="456"/>
      <c r="AD462" s="464"/>
      <c r="AE462" s="463"/>
      <c r="AF462" s="456">
        <f>SUMIFS(BV_Data_An_Cour!$O:$O,BV_Data_An_Cour!$V:$V,$V462)</f>
        <v>971.24</v>
      </c>
      <c r="AG462" s="457"/>
      <c r="AH462" s="458">
        <f t="shared" si="60"/>
        <v>-278.76</v>
      </c>
      <c r="AI462" s="497">
        <f t="shared" si="61"/>
        <v>-0.22300799999999998</v>
      </c>
      <c r="AJ462" s="455"/>
      <c r="AK462" s="455"/>
      <c r="AL462" s="456">
        <f>+INDEX('Réel 2024'!$A$2:$AO$502,MATCH($A462,'Réel 2024'!$A$2:$A$502,0),MATCH(F$2,'Réel 2024'!$A$2:$AO$2,0))</f>
        <v>1794.64</v>
      </c>
      <c r="AM462" s="460"/>
      <c r="AN462" s="458">
        <f t="shared" si="62"/>
        <v>-823.40000000000009</v>
      </c>
      <c r="AO462" s="465">
        <f t="shared" si="55"/>
        <v>-0.45881068069362102</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214</v>
      </c>
      <c r="B463" s="3"/>
      <c r="C463" s="432" t="s">
        <v>597</v>
      </c>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v>0</v>
      </c>
      <c r="AA463" s="455"/>
      <c r="AB463" s="463"/>
      <c r="AC463" s="456"/>
      <c r="AD463" s="464"/>
      <c r="AE463" s="463"/>
      <c r="AF463" s="456">
        <f>SUMIFS(BV_Data_An_Cour!$O:$O,BV_Data_An_Cour!$V:$V,$V463)</f>
        <v>0</v>
      </c>
      <c r="AG463" s="457"/>
      <c r="AH463" s="458">
        <v>0</v>
      </c>
      <c r="AI463" s="478">
        <v>0</v>
      </c>
      <c r="AJ463" s="455"/>
      <c r="AK463" s="455"/>
      <c r="AL463" s="456">
        <f>+INDEX('Réel 2024'!$A$2:$AO$502,MATCH($A463,'Réel 2024'!$A$2:$A$502,0),MATCH(F$2,'Réel 2024'!$A$2:$AO$2,0))</f>
        <v>0</v>
      </c>
      <c r="AM463" s="460"/>
      <c r="AN463" s="458">
        <v>0</v>
      </c>
      <c r="AO463" s="465">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597</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597</v>
      </c>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59</v>
      </c>
      <c r="B466" s="3"/>
      <c r="C466" s="432" t="s">
        <v>597</v>
      </c>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f>IFERROR(SUMIF($C:$C,$V466,F:F),0)</f>
        <v>0</v>
      </c>
      <c r="AA466" s="455"/>
      <c r="AB466" s="455"/>
      <c r="AC466" s="456"/>
      <c r="AD466" s="464"/>
      <c r="AE466" s="463"/>
      <c r="AF466" s="456">
        <f>IFERROR(SUMIF($C:$C,$V466,L:L),0)</f>
        <v>0</v>
      </c>
      <c r="AG466" s="457"/>
      <c r="AH466" s="458">
        <f>AF466-Z466</f>
        <v>0</v>
      </c>
      <c r="AI466" s="459">
        <f>IF(Z466=0,0,AH466/Z466)</f>
        <v>0</v>
      </c>
      <c r="AJ466" s="464"/>
      <c r="AK466" s="455"/>
      <c r="AL466" s="456">
        <f>IFERROR(SUMIF($C:$C,$V466,Q:Q),0)</f>
        <v>0</v>
      </c>
      <c r="AM466" s="460"/>
      <c r="AN466" s="458">
        <v>0</v>
      </c>
      <c r="AO466" s="465">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215</v>
      </c>
      <c r="B467" s="3"/>
      <c r="C467" s="432" t="s">
        <v>597</v>
      </c>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0.13930657068453647</v>
      </c>
      <c r="Y467" s="471"/>
      <c r="Z467" s="473">
        <f>SUM(Z454:Z466)</f>
        <v>114259.14567409786</v>
      </c>
      <c r="AA467" s="472"/>
      <c r="AB467" s="471"/>
      <c r="AC467" s="473"/>
      <c r="AD467" s="474">
        <f>AF467/AF408</f>
        <v>0.15741741546544036</v>
      </c>
      <c r="AE467" s="471"/>
      <c r="AF467" s="473">
        <f>SUM(AF454:AF466)</f>
        <v>108883.01000000001</v>
      </c>
      <c r="AG467" s="480"/>
      <c r="AH467" s="493">
        <f>SUM(AH454:AH466)</f>
        <v>-5376.135674097869</v>
      </c>
      <c r="AI467" s="472">
        <f>IF(Z467=0,0,AH467/Z467)</f>
        <v>-4.7052125607802614E-2</v>
      </c>
      <c r="AJ467" s="474">
        <f>IF($AL$408=0,0,AL467/$AL$408)</f>
        <v>8.6927833410647054E-2</v>
      </c>
      <c r="AK467" s="1162">
        <f>(AL467+$AL$482)/$AL$407</f>
        <v>3.180184168319429E-2</v>
      </c>
      <c r="AL467" s="473">
        <f>SUM(AL454:AL466)</f>
        <v>67590.47</v>
      </c>
      <c r="AM467" s="481"/>
      <c r="AN467" s="476">
        <f>SUM(AN454:AN466)</f>
        <v>41292.54</v>
      </c>
      <c r="AO467" s="494">
        <f t="shared" ref="AO467:AO484" si="63">IF(AL467=0,0,AN467/AL467)</f>
        <v>0.61092251614761672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598</v>
      </c>
      <c r="B468" s="3"/>
      <c r="C468" s="432" t="s">
        <v>597</v>
      </c>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64">AF468-Z468</f>
        <v>0</v>
      </c>
      <c r="AI468" s="459"/>
      <c r="AJ468" s="464"/>
      <c r="AK468" s="455"/>
      <c r="AL468" s="498"/>
      <c r="AM468" s="499"/>
      <c r="AN468" s="458">
        <f t="shared" ref="AN468:AN484" si="65">AF468-AL468</f>
        <v>0</v>
      </c>
      <c r="AO468" s="500">
        <f t="shared" si="63"/>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144</v>
      </c>
      <c r="B469" s="3"/>
      <c r="C469" s="432" t="s">
        <v>597</v>
      </c>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0.94862308356394842</v>
      </c>
      <c r="Y469" s="471"/>
      <c r="Z469" s="473">
        <f>Z420+Z434+Z453+Z467</f>
        <v>778059.94765454833</v>
      </c>
      <c r="AA469" s="472"/>
      <c r="AB469" s="471"/>
      <c r="AC469" s="473"/>
      <c r="AD469" s="474">
        <f>AF469/AF408</f>
        <v>0.98074867723437331</v>
      </c>
      <c r="AE469" s="471"/>
      <c r="AF469" s="473">
        <f>AF420+AF434+AF453+AF467</f>
        <v>678367.56</v>
      </c>
      <c r="AG469" s="480"/>
      <c r="AH469" s="493">
        <f t="shared" si="64"/>
        <v>-99692.387654548278</v>
      </c>
      <c r="AI469" s="472">
        <f>AH469/Z469</f>
        <v>-0.12812944292412132</v>
      </c>
      <c r="AJ469" s="474">
        <f>IF($AL$408=0,0,AL469/$AL$408)</f>
        <v>0.83000909025516989</v>
      </c>
      <c r="AK469" s="1162">
        <f>(AL469+$AL$482)/$AL$407</f>
        <v>0.11740936944295853</v>
      </c>
      <c r="AL469" s="473">
        <f>AL420+AL434+AL453+AL467</f>
        <v>645371.01999999979</v>
      </c>
      <c r="AM469" s="481"/>
      <c r="AN469" s="476">
        <f t="shared" si="65"/>
        <v>32996.54000000027</v>
      </c>
      <c r="AO469" s="453">
        <f t="shared" si="63"/>
        <v>5.1128016253348778E-2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216</v>
      </c>
      <c r="B470" s="3"/>
      <c r="C470" s="432" t="s">
        <v>597</v>
      </c>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+INDEX('Budget original'!$A$2:$AO$502,MATCH($A470,'Budget original'!$A$2:$A$502,0),MATCH(F$2,'Budget original'!$A$2:$AO$2,0))</f>
        <v>0</v>
      </c>
      <c r="AA470" s="501"/>
      <c r="AB470" s="502"/>
      <c r="AC470" s="484"/>
      <c r="AD470" s="503"/>
      <c r="AE470" s="502"/>
      <c r="AF470" s="456">
        <f>-SUMIFS(BV_Data_An_Cour!$O:$O,BV_Data_An_Cour!$V:$V,$V470)</f>
        <v>70.19</v>
      </c>
      <c r="AG470" s="504"/>
      <c r="AH470" s="458">
        <f t="shared" si="64"/>
        <v>70.19</v>
      </c>
      <c r="AI470" s="497" t="e">
        <f>IF(AH470=0,0,AH470/Z470)</f>
        <v>#DIV/0!</v>
      </c>
      <c r="AJ470" s="503"/>
      <c r="AK470" s="501"/>
      <c r="AL470" s="505">
        <f>+INDEX('Réel 2024'!$A$2:$AO$502,MATCH($A470,'Réel 2024'!$A$2:$A$502,0),MATCH(F$2,'Réel 2024'!$A$2:$AO$2,0))</f>
        <v>67.010000000000005</v>
      </c>
      <c r="AM470" s="506"/>
      <c r="AN470" s="458">
        <f t="shared" si="65"/>
        <v>3.1799999999999926</v>
      </c>
      <c r="AO470" s="465">
        <f t="shared" si="63"/>
        <v>4.7455603641247464E-2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148</v>
      </c>
      <c r="B471" s="3"/>
      <c r="C471" s="432" t="s">
        <v>597</v>
      </c>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66">+SUMIF($C:$C,$V471,F:F)</f>
        <v>85946.246006663147</v>
      </c>
      <c r="AA471" s="495"/>
      <c r="AB471" s="458"/>
      <c r="AC471" s="456"/>
      <c r="AD471" s="507"/>
      <c r="AE471" s="508"/>
      <c r="AF471" s="456">
        <f t="shared" ref="AF471:AF477" si="67">+SUMIF($C:$C,$V471,L:L)</f>
        <v>84421</v>
      </c>
      <c r="AG471" s="509"/>
      <c r="AH471" s="458">
        <f t="shared" si="64"/>
        <v>-1525.2460066631465</v>
      </c>
      <c r="AI471" s="478">
        <f>IF(Z471=0,0,AH471/Z471)</f>
        <v>-1.7746511075596005E-2</v>
      </c>
      <c r="AJ471" s="510"/>
      <c r="AK471" s="495"/>
      <c r="AL471" s="511">
        <f t="shared" ref="AL471:AL477" si="68">+SUMIF($C:$C,$V471,Q:Q)</f>
        <v>94826.85</v>
      </c>
      <c r="AM471" s="507"/>
      <c r="AN471" s="458">
        <f t="shared" si="65"/>
        <v>-10405.850000000006</v>
      </c>
      <c r="AO471" s="465">
        <f t="shared" si="63"/>
        <v>-0.10973527012655176</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145</v>
      </c>
      <c r="B472" s="3"/>
      <c r="C472" s="432" t="s">
        <v>597</v>
      </c>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66"/>
        <v>0</v>
      </c>
      <c r="AA472" s="495"/>
      <c r="AB472" s="496"/>
      <c r="AC472" s="456"/>
      <c r="AD472" s="510"/>
      <c r="AF472" s="456">
        <f t="shared" si="67"/>
        <v>21700</v>
      </c>
      <c r="AG472" s="509"/>
      <c r="AH472" s="458">
        <f t="shared" si="64"/>
        <v>21700</v>
      </c>
      <c r="AI472" s="478" t="e">
        <f t="shared" ref="AI472:AI481" si="69">IF(AH472=0,0,AH472/Z472)</f>
        <v>#DIV/0!</v>
      </c>
      <c r="AJ472" s="510"/>
      <c r="AK472" s="495"/>
      <c r="AL472" s="511">
        <f t="shared" si="68"/>
        <v>0</v>
      </c>
      <c r="AM472" s="507"/>
      <c r="AN472" s="458">
        <f t="shared" si="65"/>
        <v>21700</v>
      </c>
      <c r="AO472" s="465">
        <f t="shared" si="63"/>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146</v>
      </c>
      <c r="B473" s="3"/>
      <c r="C473" s="432" t="s">
        <v>597</v>
      </c>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66"/>
        <v>0</v>
      </c>
      <c r="AA473" s="495"/>
      <c r="AB473" s="496"/>
      <c r="AC473" s="456"/>
      <c r="AD473" s="510"/>
      <c r="AE473" s="496"/>
      <c r="AF473" s="456">
        <f t="shared" si="67"/>
        <v>0</v>
      </c>
      <c r="AG473" s="509"/>
      <c r="AH473" s="458">
        <f t="shared" si="64"/>
        <v>0</v>
      </c>
      <c r="AI473" s="478">
        <f t="shared" si="69"/>
        <v>0</v>
      </c>
      <c r="AJ473" s="510"/>
      <c r="AK473" s="495"/>
      <c r="AL473" s="511">
        <f t="shared" si="68"/>
        <v>0</v>
      </c>
      <c r="AM473" s="507"/>
      <c r="AN473" s="458">
        <f t="shared" si="65"/>
        <v>0</v>
      </c>
      <c r="AO473" s="465">
        <f t="shared" si="63"/>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147</v>
      </c>
      <c r="B474" s="3"/>
      <c r="C474" s="432" t="s">
        <v>597</v>
      </c>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66"/>
        <v>0</v>
      </c>
      <c r="AA474" s="495"/>
      <c r="AB474" s="496"/>
      <c r="AC474" s="456"/>
      <c r="AD474" s="510"/>
      <c r="AE474" s="496"/>
      <c r="AF474" s="456">
        <f t="shared" si="67"/>
        <v>0</v>
      </c>
      <c r="AG474" s="509"/>
      <c r="AH474" s="458">
        <f t="shared" si="64"/>
        <v>0</v>
      </c>
      <c r="AI474" s="478">
        <f t="shared" si="69"/>
        <v>0</v>
      </c>
      <c r="AJ474" s="510"/>
      <c r="AK474" s="495"/>
      <c r="AL474" s="511">
        <f t="shared" si="68"/>
        <v>0</v>
      </c>
      <c r="AM474" s="507"/>
      <c r="AN474" s="458">
        <f t="shared" si="65"/>
        <v>0</v>
      </c>
      <c r="AO474" s="465">
        <f t="shared" si="63"/>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158</v>
      </c>
      <c r="B475" s="3"/>
      <c r="C475" s="432" t="s">
        <v>597</v>
      </c>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66"/>
        <v>0</v>
      </c>
      <c r="AA475" s="495"/>
      <c r="AB475" s="496"/>
      <c r="AC475" s="456"/>
      <c r="AD475" s="510"/>
      <c r="AE475" s="496"/>
      <c r="AF475" s="456">
        <f t="shared" si="67"/>
        <v>0</v>
      </c>
      <c r="AG475" s="509"/>
      <c r="AH475" s="458">
        <f t="shared" si="64"/>
        <v>0</v>
      </c>
      <c r="AI475" s="478">
        <f t="shared" si="69"/>
        <v>0</v>
      </c>
      <c r="AJ475" s="510"/>
      <c r="AK475" s="495"/>
      <c r="AL475" s="511">
        <f t="shared" si="68"/>
        <v>0</v>
      </c>
      <c r="AM475" s="507"/>
      <c r="AN475" s="458">
        <f t="shared" si="65"/>
        <v>0</v>
      </c>
      <c r="AO475" s="465">
        <f t="shared" si="63"/>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159</v>
      </c>
      <c r="B476" s="3"/>
      <c r="C476" s="432" t="s">
        <v>597</v>
      </c>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66"/>
        <v>0</v>
      </c>
      <c r="AA476" s="495"/>
      <c r="AB476" s="496"/>
      <c r="AC476" s="456"/>
      <c r="AD476" s="510"/>
      <c r="AE476" s="496"/>
      <c r="AF476" s="456">
        <f t="shared" si="67"/>
        <v>0</v>
      </c>
      <c r="AG476" s="509"/>
      <c r="AH476" s="458">
        <f t="shared" si="64"/>
        <v>0</v>
      </c>
      <c r="AI476" s="478">
        <f t="shared" si="69"/>
        <v>0</v>
      </c>
      <c r="AJ476" s="510"/>
      <c r="AK476" s="495"/>
      <c r="AL476" s="511">
        <f t="shared" si="68"/>
        <v>0</v>
      </c>
      <c r="AM476" s="507"/>
      <c r="AN476" s="458">
        <f t="shared" si="65"/>
        <v>0</v>
      </c>
      <c r="AO476" s="465">
        <f t="shared" si="63"/>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160</v>
      </c>
      <c r="B477" s="3"/>
      <c r="C477" s="432" t="s">
        <v>597</v>
      </c>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66"/>
        <v>0</v>
      </c>
      <c r="AA477" s="495"/>
      <c r="AB477" s="496"/>
      <c r="AC477" s="456"/>
      <c r="AD477" s="510"/>
      <c r="AE477" s="496"/>
      <c r="AF477" s="456">
        <f t="shared" si="67"/>
        <v>0</v>
      </c>
      <c r="AG477" s="509"/>
      <c r="AH477" s="458">
        <f t="shared" si="64"/>
        <v>0</v>
      </c>
      <c r="AI477" s="478">
        <f t="shared" si="69"/>
        <v>0</v>
      </c>
      <c r="AJ477" s="510"/>
      <c r="AK477" s="495"/>
      <c r="AL477" s="511">
        <f t="shared" si="68"/>
        <v>0</v>
      </c>
      <c r="AM477" s="507"/>
      <c r="AN477" s="458">
        <f t="shared" si="65"/>
        <v>0</v>
      </c>
      <c r="AO477" s="465">
        <f t="shared" si="63"/>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597</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+INDEX('Budget original'!$A$2:$AO$502,MATCH($A478,'Budget original'!$A$2:$A$502,0),MATCH(F$2,'Budget original'!$A$2:$AO$2,0))</f>
        <v>0</v>
      </c>
      <c r="AA478" s="455"/>
      <c r="AB478" s="455"/>
      <c r="AC478" s="456"/>
      <c r="AD478" s="464"/>
      <c r="AE478" s="463"/>
      <c r="AF478" s="456">
        <f>IFERROR(SUMIF($C:$C,$V478,L:L),0)</f>
        <v>0</v>
      </c>
      <c r="AG478" s="457"/>
      <c r="AH478" s="458">
        <f t="shared" si="64"/>
        <v>0</v>
      </c>
      <c r="AI478" s="459">
        <f t="shared" si="69"/>
        <v>0</v>
      </c>
      <c r="AJ478" s="464"/>
      <c r="AK478" s="455"/>
      <c r="AL478" s="456">
        <f>+INDEX('Réel 2024'!$A$2:$AO$502,MATCH($A478,'Réel 2024'!$A$2:$A$502,0),MATCH(F$2,'Réel 2024'!$A$2:$AO$2,0))</f>
        <v>0</v>
      </c>
      <c r="AM478" s="507"/>
      <c r="AN478" s="458">
        <f t="shared" si="65"/>
        <v>0</v>
      </c>
      <c r="AO478" s="465">
        <f t="shared" si="63"/>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597</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64"/>
        <v>0</v>
      </c>
      <c r="AI479" s="459">
        <f t="shared" si="69"/>
        <v>0</v>
      </c>
      <c r="AJ479" s="464"/>
      <c r="AK479" s="455"/>
      <c r="AL479" s="456">
        <f>+SUMIF($C:$C,$V479,Q:Q)</f>
        <v>0</v>
      </c>
      <c r="AM479" s="507"/>
      <c r="AN479" s="458">
        <f t="shared" si="65"/>
        <v>0</v>
      </c>
      <c r="AO479" s="465">
        <f t="shared" si="63"/>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59</v>
      </c>
      <c r="B480" s="3"/>
      <c r="C480" s="432" t="s">
        <v>597</v>
      </c>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IFERROR(SUMIF($C:$C,$V480,F:F),0)</f>
        <v>0</v>
      </c>
      <c r="AA480" s="455"/>
      <c r="AB480" s="455"/>
      <c r="AC480" s="456"/>
      <c r="AD480" s="464"/>
      <c r="AE480" s="463"/>
      <c r="AF480" s="456">
        <f>IFERROR(SUMIF($C:$C,$V480,L:L),0)</f>
        <v>0</v>
      </c>
      <c r="AG480" s="457"/>
      <c r="AH480" s="458">
        <f t="shared" si="64"/>
        <v>0</v>
      </c>
      <c r="AI480" s="459">
        <f t="shared" si="69"/>
        <v>0</v>
      </c>
      <c r="AJ480" s="464"/>
      <c r="AK480" s="455"/>
      <c r="AL480" s="456">
        <f>+SUMIF($C:$C,$V480,Q:Q)</f>
        <v>0</v>
      </c>
      <c r="AM480" s="507"/>
      <c r="AN480" s="458">
        <f t="shared" si="65"/>
        <v>0</v>
      </c>
      <c r="AO480" s="465">
        <f t="shared" si="63"/>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149</v>
      </c>
      <c r="B481" s="3"/>
      <c r="C481" s="432" t="s">
        <v>597</v>
      </c>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50965.599999999991</v>
      </c>
      <c r="AA481" s="495"/>
      <c r="AB481" s="496"/>
      <c r="AC481" s="456"/>
      <c r="AD481" s="512">
        <f>AF481/499</f>
        <v>134.55911823647295</v>
      </c>
      <c r="AE481" s="495">
        <f>(AF481/399)/(J13+J15+J97)</f>
        <v>1.7529500835421887</v>
      </c>
      <c r="AF481" s="456">
        <f>+SUMIF($C:$C,$V481,L:L)</f>
        <v>67145</v>
      </c>
      <c r="AG481" s="509"/>
      <c r="AH481" s="458">
        <f t="shared" si="64"/>
        <v>16179.400000000009</v>
      </c>
      <c r="AI481" s="478">
        <f t="shared" si="69"/>
        <v>0.31745726529266821</v>
      </c>
      <c r="AJ481" s="510"/>
      <c r="AK481" s="495"/>
      <c r="AL481" s="511">
        <f>+INDEX('Réel 2024'!$A$2:$AO$502,MATCH($A481,'Réel 2024'!$A$2:$A$502,0),MATCH(F$2,'Réel 2024'!$A$2:$AO$2,0))</f>
        <v>52152</v>
      </c>
      <c r="AM481" s="507"/>
      <c r="AN481" s="458">
        <f t="shared" si="65"/>
        <v>14993</v>
      </c>
      <c r="AO481" s="465">
        <f t="shared" si="63"/>
        <v>0.28748657769596564</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217</v>
      </c>
      <c r="B482" s="3"/>
      <c r="C482" s="432" t="s">
        <v>597</v>
      </c>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0.1669251038133861</v>
      </c>
      <c r="Y482" s="492"/>
      <c r="Z482" s="473">
        <f>SUM(Z470:Z481)</f>
        <v>136911.84600666314</v>
      </c>
      <c r="AA482" s="472"/>
      <c r="AB482" s="492"/>
      <c r="AC482" s="473"/>
      <c r="AD482" s="472">
        <f>AF482/+AF408</f>
        <v>0.2506004842851654</v>
      </c>
      <c r="AE482" s="492"/>
      <c r="AF482" s="473">
        <f>SUM(AF470:AF481)</f>
        <v>173336.19</v>
      </c>
      <c r="AG482" s="480"/>
      <c r="AH482" s="476">
        <f t="shared" si="64"/>
        <v>36424.343993336865</v>
      </c>
      <c r="AI482" s="472">
        <f>AH482/Z482</f>
        <v>0.26604231157298242</v>
      </c>
      <c r="AJ482" s="513"/>
      <c r="AK482" s="514"/>
      <c r="AL482" s="473">
        <f>SUM(AL470:AL481)</f>
        <v>147045.85999999999</v>
      </c>
      <c r="AM482" s="515"/>
      <c r="AN482" s="476">
        <f t="shared" si="65"/>
        <v>26290.330000000016</v>
      </c>
      <c r="AO482" s="494">
        <f t="shared" si="63"/>
        <v>0.17879000469649414</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598</v>
      </c>
      <c r="B483" s="3"/>
      <c r="C483" s="432" t="s">
        <v>597</v>
      </c>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65"/>
        <v>0</v>
      </c>
      <c r="AO483" s="528">
        <f t="shared" si="63"/>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218</v>
      </c>
      <c r="B484" s="3"/>
      <c r="C484" s="432" t="s">
        <v>597</v>
      </c>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2.960463307003371E-2</v>
      </c>
      <c r="Z484" s="533">
        <f>Z408-Z469+Z482</f>
        <v>179051.15465884571</v>
      </c>
      <c r="AA484" s="531"/>
      <c r="AB484" s="532"/>
      <c r="AC484" s="533"/>
      <c r="AD484" s="531" t="s">
        <v>219</v>
      </c>
      <c r="AE484" s="532">
        <f>AF484/AF407</f>
        <v>3.3499997601271585E-2</v>
      </c>
      <c r="AF484" s="534">
        <f>AF408-AF469+AF482</f>
        <v>186652.0099999996</v>
      </c>
      <c r="AG484" s="535"/>
      <c r="AH484" s="535">
        <f>AF484-Z484</f>
        <v>7600.8553411538887</v>
      </c>
      <c r="AI484" s="536">
        <f>AH484/Z484</f>
        <v>4.2450747417050412E-2</v>
      </c>
      <c r="AJ484" s="537" t="s">
        <v>219</v>
      </c>
      <c r="AK484" s="532">
        <f>IF($AL$407=0,0,AL484/$AL$407)</f>
        <v>4.1371218581874182E-2</v>
      </c>
      <c r="AL484" s="534">
        <f>AL408-AL469+AL482</f>
        <v>279221.76999999967</v>
      </c>
      <c r="AM484" s="538"/>
      <c r="AN484" s="534">
        <f t="shared" si="65"/>
        <v>-92569.760000000068</v>
      </c>
      <c r="AO484" s="539">
        <f t="shared" si="63"/>
        <v>-0.33152773152322679</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598</v>
      </c>
      <c r="B485" s="3"/>
      <c r="C485" s="432" t="s">
        <v>597</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2" t="s">
        <v>597</v>
      </c>
      <c r="D486" s="38"/>
      <c r="E486" s="38"/>
      <c r="F486" s="38"/>
      <c r="G486" s="38"/>
      <c r="H486" s="38"/>
      <c r="I486" s="38"/>
      <c r="J486" s="38"/>
      <c r="K486" s="38"/>
      <c r="L486" s="38"/>
      <c r="M486" s="38"/>
      <c r="N486" s="38"/>
      <c r="O486" s="38"/>
      <c r="P486" s="38"/>
      <c r="Q486" s="38"/>
      <c r="R486" s="38"/>
      <c r="S486" s="38"/>
      <c r="T486" s="38"/>
      <c r="U486" s="38"/>
      <c r="V486" s="880" t="str">
        <f>C1</f>
        <v>Volks</v>
      </c>
      <c r="W486" s="880"/>
      <c r="X486" s="880"/>
      <c r="Y486" s="880"/>
      <c r="Z486" s="880"/>
      <c r="AA486" s="880"/>
      <c r="AB486" s="880"/>
      <c r="AC486" s="880"/>
      <c r="AD486" s="880"/>
      <c r="AE486" s="881" t="s">
        <v>220</v>
      </c>
      <c r="AF486" s="880"/>
      <c r="AG486" s="880"/>
      <c r="AH486" s="880"/>
      <c r="AI486" s="880"/>
      <c r="AJ486" s="882"/>
      <c r="AK486" s="883"/>
      <c r="AL486" s="880"/>
      <c r="AM486" s="880"/>
      <c r="AN486" s="880"/>
      <c r="AO486" s="884" t="str">
        <f>$S$1</f>
        <v>Réalisé, Juillet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598</v>
      </c>
      <c r="B487" s="3"/>
      <c r="C487" s="432" t="s">
        <v>597</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598</v>
      </c>
      <c r="B488" s="3"/>
      <c r="C488" s="432" t="s">
        <v>597</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598</v>
      </c>
      <c r="B489" s="3"/>
      <c r="C489" s="432" t="s">
        <v>597</v>
      </c>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3.3148643694067233E-2</v>
      </c>
      <c r="Z489" s="1004">
        <f>Z490+Z416</f>
        <v>200485.6103014907</v>
      </c>
      <c r="AA489" s="1002"/>
      <c r="AB489" s="1003"/>
      <c r="AC489" s="533"/>
      <c r="AD489" s="1002" t="s">
        <v>219</v>
      </c>
      <c r="AE489" s="1003">
        <f>AF489/AF407</f>
        <v>3.7581217168392779E-2</v>
      </c>
      <c r="AF489" s="1004">
        <f>AF490+AF416</f>
        <v>209391.3499999996</v>
      </c>
      <c r="AG489" s="535"/>
      <c r="AH489" s="535">
        <f>AF489-Z489</f>
        <v>8905.7396985088999</v>
      </c>
      <c r="AI489" s="536">
        <f>AH489/Z489</f>
        <v>4.4420842399194783E-2</v>
      </c>
      <c r="AJ489" s="1002" t="s">
        <v>219</v>
      </c>
      <c r="AK489" s="1003">
        <f>IF($AL$407=0,0,AL489/$AL$407)</f>
        <v>4.5254527800546965E-2</v>
      </c>
      <c r="AL489" s="1004">
        <f>AL490+AL416</f>
        <v>305430.91999999969</v>
      </c>
      <c r="AM489" s="538"/>
      <c r="AN489" s="1004">
        <f>AF489-AL489</f>
        <v>-96039.570000000094</v>
      </c>
      <c r="AO489" s="1005">
        <f>IF(AL489=0,0,AN489/AL489)</f>
        <v>-0.31443957933270211</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218</v>
      </c>
      <c r="B490" s="3"/>
      <c r="C490" s="432" t="s">
        <v>597</v>
      </c>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2.960463307003371E-2</v>
      </c>
      <c r="Z490" s="533">
        <f>Z484</f>
        <v>179051.15465884571</v>
      </c>
      <c r="AA490" s="531"/>
      <c r="AB490" s="532"/>
      <c r="AC490" s="533"/>
      <c r="AD490" s="531" t="s">
        <v>219</v>
      </c>
      <c r="AE490" s="532">
        <f>AF490/AF407</f>
        <v>3.3499997601271585E-2</v>
      </c>
      <c r="AF490" s="533">
        <f>AF484</f>
        <v>186652.0099999996</v>
      </c>
      <c r="AG490" s="534"/>
      <c r="AH490" s="535">
        <f>AF490-Z490</f>
        <v>7600.8553411538887</v>
      </c>
      <c r="AI490" s="536">
        <f>AH490/Z490</f>
        <v>4.2450747417050412E-2</v>
      </c>
      <c r="AJ490" s="531" t="s">
        <v>219</v>
      </c>
      <c r="AK490" s="532">
        <f>IF($AL$407=0,0,AL490/$AL$407)</f>
        <v>4.1371218581874182E-2</v>
      </c>
      <c r="AL490" s="542">
        <f>AL484</f>
        <v>279221.76999999967</v>
      </c>
      <c r="AM490" s="543"/>
      <c r="AN490" s="544">
        <f>AF490-AL490</f>
        <v>-92569.760000000068</v>
      </c>
      <c r="AO490" s="545">
        <f>IF(AL490=0,0,AN490/AL490)</f>
        <v>-0.33152773152322679</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598</v>
      </c>
      <c r="B491" s="3"/>
      <c r="C491" s="432" t="s">
        <v>597</v>
      </c>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221</v>
      </c>
      <c r="B492" s="3"/>
      <c r="C492" s="432" t="s">
        <v>597</v>
      </c>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+INDEX('Budget original'!$A$2:$AO$502,MATCH($A492,'Budget original'!$A$2:$A$502,0),MATCH(F$2,'Budget original'!$A$2:$AO$2,0))</f>
        <v>9516.6666666666661</v>
      </c>
      <c r="AA492" s="455"/>
      <c r="AB492" s="463"/>
      <c r="AC492" s="456"/>
      <c r="AD492" s="455"/>
      <c r="AE492" s="463"/>
      <c r="AF492" s="456">
        <f>SUMIFS(BV_Data_An_Cour!$O:$O,BV_Data_An_Cour!$V:$V,$V492)</f>
        <v>9517</v>
      </c>
      <c r="AG492" s="455"/>
      <c r="AH492" s="458">
        <f t="shared" ref="AH492:AH499" si="70">AF492-Z492</f>
        <v>0.33333333333393966</v>
      </c>
      <c r="AI492" s="478">
        <f t="shared" ref="AI492:AI498" si="71">IF(Z492=0,0,AH492/Z492)</f>
        <v>3.5026269702340423E-5</v>
      </c>
      <c r="AJ492" s="455"/>
      <c r="AK492" s="455"/>
      <c r="AL492" s="456">
        <f>+INDEX('Réel 2024'!$A$2:$AO$502,MATCH($A492,'Réel 2024'!$A$2:$A$502,0),MATCH(F$2,'Réel 2024'!$A$2:$AO$2,0))</f>
        <v>42648</v>
      </c>
      <c r="AM492" s="460"/>
      <c r="AN492" s="458">
        <f t="shared" ref="AN492:AN499" si="72">AF492-AL492</f>
        <v>-33131</v>
      </c>
      <c r="AO492" s="465">
        <f t="shared" ref="AO492:AO499" si="73">IF(AL492=0,0,AN492/AL492)</f>
        <v>-0.7768476833614707</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222</v>
      </c>
      <c r="B493" s="3"/>
      <c r="C493" s="432" t="s">
        <v>597</v>
      </c>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+INDEX('Budget original'!$A$2:$AO$502,MATCH($A493,'Budget original'!$A$2:$A$502,0),MATCH(F$2,'Budget original'!$A$2:$AO$2,0))</f>
        <v>0</v>
      </c>
      <c r="AA493" s="38"/>
      <c r="AB493" s="38"/>
      <c r="AC493" s="456"/>
      <c r="AD493" s="38"/>
      <c r="AE493" s="41"/>
      <c r="AF493" s="456">
        <f>SUMIFS(BV_Data_An_Cour!$O:$O,BV_Data_An_Cour!$V:$V,$V493)</f>
        <v>0</v>
      </c>
      <c r="AG493" s="38"/>
      <c r="AH493" s="458">
        <f t="shared" si="70"/>
        <v>0</v>
      </c>
      <c r="AI493" s="478">
        <f t="shared" si="71"/>
        <v>0</v>
      </c>
      <c r="AJ493" s="38"/>
      <c r="AK493" s="38"/>
      <c r="AL493" s="456">
        <f>+INDEX('Réel 2024'!$A$2:$AO$502,MATCH($A493,'Réel 2024'!$A$2:$A$502,0),MATCH(F$2,'Réel 2024'!$A$2:$AO$2,0))</f>
        <v>0</v>
      </c>
      <c r="AM493" s="550"/>
      <c r="AN493" s="458">
        <f t="shared" si="72"/>
        <v>0</v>
      </c>
      <c r="AO493" s="465">
        <f t="shared" si="73"/>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223</v>
      </c>
      <c r="B494" s="3"/>
      <c r="C494" s="432" t="s">
        <v>597</v>
      </c>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+INDEX('Budget original'!$A$2:$AO$502,MATCH($A494,'Budget original'!$A$2:$A$502,0),MATCH(F$2,'Budget original'!$A$2:$AO$2,0))</f>
        <v>0</v>
      </c>
      <c r="AA494" s="38"/>
      <c r="AB494" s="38"/>
      <c r="AC494" s="456"/>
      <c r="AD494" s="38"/>
      <c r="AE494" s="41"/>
      <c r="AF494" s="456">
        <f>SUMIFS(BV_Data_An_Cour!$O:$O,BV_Data_An_Cour!$V:$V,$V494)</f>
        <v>24745.119999999999</v>
      </c>
      <c r="AG494" s="38"/>
      <c r="AH494" s="458">
        <f t="shared" si="70"/>
        <v>24745.119999999999</v>
      </c>
      <c r="AI494" s="478">
        <f t="shared" si="71"/>
        <v>0</v>
      </c>
      <c r="AJ494" s="38"/>
      <c r="AK494" s="38"/>
      <c r="AL494" s="456">
        <f>+INDEX('Réel 2024'!$A$2:$AO$502,MATCH($A494,'Réel 2024'!$A$2:$A$502,0),MATCH(F$2,'Réel 2024'!$A$2:$AO$2,0))</f>
        <v>0</v>
      </c>
      <c r="AM494" s="550"/>
      <c r="AN494" s="458">
        <f t="shared" si="72"/>
        <v>24745.119999999999</v>
      </c>
      <c r="AO494" s="465">
        <f t="shared" si="73"/>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224</v>
      </c>
      <c r="B495" s="3"/>
      <c r="C495" s="432" t="s">
        <v>597</v>
      </c>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+INDEX('Budget original'!$A$2:$AO$502,MATCH($A495,'Budget original'!$A$2:$A$502,0),MATCH(F$2,'Budget original'!$A$2:$AO$2,0))</f>
        <v>0</v>
      </c>
      <c r="AA495" s="38"/>
      <c r="AB495" s="38"/>
      <c r="AC495" s="456"/>
      <c r="AD495" s="38"/>
      <c r="AE495" s="41"/>
      <c r="AF495" s="456">
        <f>SUMIFS(BV_Data_An_Cour!$O:$O,BV_Data_An_Cour!$V:$V,$V495)</f>
        <v>0</v>
      </c>
      <c r="AG495" s="38"/>
      <c r="AH495" s="458">
        <f t="shared" si="70"/>
        <v>0</v>
      </c>
      <c r="AI495" s="478">
        <f t="shared" si="71"/>
        <v>0</v>
      </c>
      <c r="AJ495" s="38"/>
      <c r="AK495" s="38"/>
      <c r="AL495" s="456">
        <f>+INDEX('Réel 2024'!$A$2:$AO$502,MATCH($A495,'Réel 2024'!$A$2:$A$502,0),MATCH(F$2,'Réel 2024'!$A$2:$AO$2,0))</f>
        <v>0</v>
      </c>
      <c r="AM495" s="550"/>
      <c r="AN495" s="458">
        <f t="shared" si="72"/>
        <v>0</v>
      </c>
      <c r="AO495" s="465">
        <f t="shared" si="73"/>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
        <v>59</v>
      </c>
      <c r="B496" s="3"/>
      <c r="C496" s="432" t="s">
        <v>597</v>
      </c>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IFERROR(SUMIF($C:$C,$V496,F:F),0)</f>
        <v>0</v>
      </c>
      <c r="AA496" s="455"/>
      <c r="AB496" s="455"/>
      <c r="AC496" s="456"/>
      <c r="AD496" s="464"/>
      <c r="AE496" s="463"/>
      <c r="AF496" s="456">
        <f>IFERROR(SUMIF($C:$C,$V496,L:L),0)</f>
        <v>0</v>
      </c>
      <c r="AG496" s="457"/>
      <c r="AH496" s="458">
        <f t="shared" si="70"/>
        <v>0</v>
      </c>
      <c r="AI496" s="459">
        <f t="shared" si="71"/>
        <v>0</v>
      </c>
      <c r="AJ496" s="464"/>
      <c r="AK496" s="455"/>
      <c r="AL496" s="456">
        <f>+INDEX('Réel 2024'!$A$2:$AO$502,MATCH($A496,'Réel 2024'!$A$2:$A$502,0),MATCH(F$2,'Réel 2024'!$A$2:$AO$2,0))</f>
        <v>0</v>
      </c>
      <c r="AM496" s="550"/>
      <c r="AN496" s="458">
        <f t="shared" si="72"/>
        <v>0</v>
      </c>
      <c r="AO496" s="465">
        <f t="shared" si="73"/>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1" t="str">
        <f>V497</f>
        <v>Revenus d'intérêts Floor plan</v>
      </c>
      <c r="B497" s="3"/>
      <c r="C497" s="432" t="s">
        <v>597</v>
      </c>
      <c r="D497" s="38"/>
      <c r="E497" s="38"/>
      <c r="F497" s="94"/>
      <c r="G497" s="38"/>
      <c r="H497" s="38"/>
      <c r="I497" s="94"/>
      <c r="J497" s="38"/>
      <c r="K497" s="38"/>
      <c r="L497" s="38"/>
      <c r="M497" s="94"/>
      <c r="N497" s="38"/>
      <c r="O497" s="38"/>
      <c r="P497" s="38"/>
      <c r="Q497" s="94"/>
      <c r="R497" s="94"/>
      <c r="S497" s="94"/>
      <c r="T497" s="38"/>
      <c r="U497" s="38"/>
      <c r="V497" s="311" t="s">
        <v>3841</v>
      </c>
      <c r="W497" s="41"/>
      <c r="X497" s="41"/>
      <c r="Y497" s="41"/>
      <c r="Z497" s="456">
        <f>+INDEX('Budget original'!$A$2:$AO$502,MATCH($A497,'Budget original'!$A$2:$A$502,0),MATCH(F$2,'Budget original'!$A$2:$AO$2,0))</f>
        <v>0</v>
      </c>
      <c r="AA497" s="455"/>
      <c r="AB497" s="455"/>
      <c r="AC497" s="456"/>
      <c r="AD497" s="464"/>
      <c r="AE497" s="463"/>
      <c r="AF497" s="456">
        <f>SUMIFS(BV_Data_An_Cour!$O:$O,BV_Data_An_Cour!$V:$V,$V497)</f>
        <v>-24745.119999999999</v>
      </c>
      <c r="AG497" s="457"/>
      <c r="AH497" s="458">
        <f t="shared" si="70"/>
        <v>-24745.119999999999</v>
      </c>
      <c r="AI497" s="459">
        <f t="shared" si="71"/>
        <v>0</v>
      </c>
      <c r="AJ497" s="464"/>
      <c r="AK497" s="455"/>
      <c r="AL497" s="456">
        <f>+INDEX('Réel 2024'!$A$2:$AO$502,MATCH($A497,'Réel 2024'!$A$2:$A$502,0),MATCH(F$2,'Réel 2024'!$A$2:$AO$2,0))</f>
        <v>-1079</v>
      </c>
      <c r="AM497" s="550"/>
      <c r="AN497" s="458">
        <f t="shared" si="72"/>
        <v>-23666.12</v>
      </c>
      <c r="AO497" s="465">
        <f t="shared" si="73"/>
        <v>21.933382761816496</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59</v>
      </c>
      <c r="B498" s="3"/>
      <c r="C498" s="432" t="s">
        <v>597</v>
      </c>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IFERROR(SUMIF($C:$C,$V498,F:F),0)</f>
        <v>0</v>
      </c>
      <c r="AA498" s="455"/>
      <c r="AB498" s="455"/>
      <c r="AC498" s="456"/>
      <c r="AD498" s="464"/>
      <c r="AE498" s="463"/>
      <c r="AF498" s="456">
        <f>IFERROR(SUMIF($C:$C,$V498,L:L),0)</f>
        <v>0</v>
      </c>
      <c r="AG498" s="457"/>
      <c r="AH498" s="458">
        <f t="shared" si="70"/>
        <v>0</v>
      </c>
      <c r="AI498" s="459">
        <f t="shared" si="71"/>
        <v>0</v>
      </c>
      <c r="AJ498" s="464"/>
      <c r="AK498" s="455"/>
      <c r="AL498" s="456">
        <f>+INDEX('Réel 2024'!$A$2:$AO$502,MATCH($A498,'Réel 2024'!$A$2:$A$502,0),MATCH(F$2,'Réel 2024'!$A$2:$AO$2,0))</f>
        <v>0</v>
      </c>
      <c r="AM498" s="550"/>
      <c r="AN498" s="458">
        <f t="shared" si="72"/>
        <v>0</v>
      </c>
      <c r="AO498" s="465">
        <f t="shared" si="73"/>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225</v>
      </c>
      <c r="B499" s="3"/>
      <c r="C499" s="432" t="s">
        <v>597</v>
      </c>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2.8031130652507869E-2</v>
      </c>
      <c r="Z499" s="533">
        <f>Z490-Z492-Z493-Z494-Z498-Z497</f>
        <v>169534.48799217906</v>
      </c>
      <c r="AA499" s="531"/>
      <c r="AB499" s="532"/>
      <c r="AC499" s="533"/>
      <c r="AD499" s="531" t="s">
        <v>219</v>
      </c>
      <c r="AE499" s="532">
        <f>AF499/AF407</f>
        <v>3.1791902000418953E-2</v>
      </c>
      <c r="AF499" s="1191">
        <f>AF490-AF492-AF493-AF494-AF498-AF497</f>
        <v>177135.0099999996</v>
      </c>
      <c r="AG499" s="535"/>
      <c r="AH499" s="535">
        <f t="shared" si="70"/>
        <v>7600.5220078205457</v>
      </c>
      <c r="AI499" s="536">
        <f>AH499/Z499</f>
        <v>4.4831715940718636E-2</v>
      </c>
      <c r="AJ499" s="537" t="s">
        <v>219</v>
      </c>
      <c r="AK499" s="532">
        <f>IF($AL$407=0,0,AL499/$AL$407)</f>
        <v>3.5212099308223242E-2</v>
      </c>
      <c r="AL499" s="534">
        <f>AL490-AL492-AL493-AL494-AL498-AL497</f>
        <v>237652.76999999967</v>
      </c>
      <c r="AM499" s="538"/>
      <c r="AN499" s="534">
        <f t="shared" si="72"/>
        <v>-60517.760000000068</v>
      </c>
      <c r="AO499" s="552">
        <f t="shared" si="73"/>
        <v>-0.25464782085224652</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598</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54"/>
      <c r="AF501" s="554"/>
      <c r="AG501" s="38"/>
      <c r="AH501" s="38"/>
      <c r="AI501" s="38"/>
      <c r="AJ501" s="553"/>
      <c r="AK501" s="907"/>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54"/>
      <c r="AG502" s="38"/>
      <c r="AH502" s="38"/>
      <c r="AI502" s="38"/>
      <c r="AJ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AE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94"/>
      <c r="AG504" s="38"/>
      <c r="AH504" s="38"/>
      <c r="AI504" s="38"/>
      <c r="AJ504" s="906"/>
      <c r="AK504" s="907"/>
      <c r="AL504" s="859"/>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55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972"/>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5"/>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5"/>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13" priority="3" stopIfTrue="1">
      <formula>"esterreur(reference)"</formula>
    </cfRule>
  </conditionalFormatting>
  <conditionalFormatting sqref="D173:D182">
    <cfRule type="expression" dxfId="112" priority="361" stopIfTrue="1">
      <formula>"esterreur(reference)"</formula>
    </cfRule>
  </conditionalFormatting>
  <conditionalFormatting sqref="D401">
    <cfRule type="expression" dxfId="111" priority="10" stopIfTrue="1">
      <formula>"esterreur(reference)"</formula>
    </cfRule>
  </conditionalFormatting>
  <conditionalFormatting sqref="E187">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2">
    <cfRule type="expression" dxfId="107" priority="363" stopIfTrue="1">
      <formula>"esterreur(reference)"</formula>
    </cfRule>
  </conditionalFormatting>
  <conditionalFormatting sqref="F185">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3:G114">
    <cfRule type="expression" dxfId="104" priority="339" stopIfTrue="1">
      <formula>"esterreur(reference)"</formula>
    </cfRule>
  </conditionalFormatting>
  <conditionalFormatting sqref="G173:G182">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1 J361:L361">
    <cfRule type="expression" dxfId="101" priority="30" stopIfTrue="1">
      <formula>"esterreur(reference)"</formula>
    </cfRule>
  </conditionalFormatting>
  <conditionalFormatting sqref="H198:L198">
    <cfRule type="expression" dxfId="100" priority="33" stopIfTrue="1">
      <formula>"esterreur(reference)"</formula>
    </cfRule>
  </conditionalFormatting>
  <conditionalFormatting sqref="H397:L400">
    <cfRule type="expression" dxfId="99" priority="27" stopIfTrue="1">
      <formula>"esterreur(reference)"</formula>
    </cfRule>
  </conditionalFormatting>
  <conditionalFormatting sqref="I16:I18 I20 I24:I30">
    <cfRule type="expression" dxfId="98" priority="357" stopIfTrue="1">
      <formula>"esterreur(reference)"</formula>
    </cfRule>
  </conditionalFormatting>
  <conditionalFormatting sqref="I378:L378 J379:L395 H379:H396">
    <cfRule type="expression" dxfId="97" priority="28" stopIfTrue="1">
      <formula>"esterreur(reference)"</formula>
    </cfRule>
  </conditionalFormatting>
  <conditionalFormatting sqref="J3 L6:L14 I13:J14 J16 L16:L24 J18:J24 J25:L26 J27 L27 J28:L30 J31:K36 J37 J38:K48 H83:L85 H86:K88 L86:L90 H90:I90 K90 J90:J91 K93:L95 L96 H97:I97 H98:L98 K99:L101 I102:L102 H102:H105 O102:Q154 J103:L105 I106:L112 H107:H135 J113:L122 I123:L123 J124:L135 H136:L136 H137:H153 J137:L153 H154:L154 H157:H158 J157:K158 H165:L165 H166 J166:K166 H167:K168 L168:L170 H170:I170 K170 J170:J177 H172:I172 K172:L174 H174:I174 I175 L175 K176:L177 H177:I177 I178:J178 L178 J179:L180 H180:I180 I181:J181 L181 K182:L183 J182:J197 H183:I184 L184 K184:K185 H186:I188 K186:L197 H190:I191 H193:I197 J199:K201 H199:H230 J202 J203:K230 H233:L233 H234 J234:K234 H235:K236 L235:L238 H238:I238 K238 J238:J241 H240:I241 K240:L242 H244:L244 H253:L254 H255:H285 J255:K285 L268:L286 H286:J286 H289:L289 H290 J290:K290 H291:K291 L291:L293 H293:I293 K293 J293:J294 H295:L295 J296:K304 H305:L307 J308:K309 H310:L312 J313:M313 H314:L318 L319:L330 H319:H349 J319:K349 H350:L350 H353:L353 H354:H356 J354:K356 H362:L365 H366:H377 J366:L377 H401 J401:K401">
    <cfRule type="expression" dxfId="96" priority="12" stopIfTrue="1">
      <formula>"esterreur(reference)"</formula>
    </cfRule>
  </conditionalFormatting>
  <conditionalFormatting sqref="J49:L72">
    <cfRule type="expression" dxfId="95" priority="1" stopIfTrue="1">
      <formula>"esterreur(reference)"</formula>
    </cfRule>
  </conditionalFormatting>
  <conditionalFormatting sqref="K396">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5:L245">
    <cfRule type="expression" dxfId="92" priority="118" stopIfTrue="1">
      <formula>"esterreur(reference)"</formula>
    </cfRule>
  </conditionalFormatting>
  <conditionalFormatting sqref="K248:L248">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7:L163">
    <cfRule type="expression" dxfId="88" priority="97" stopIfTrue="1">
      <formula>"esterreur(reference)"</formula>
    </cfRule>
  </conditionalFormatting>
  <conditionalFormatting sqref="L199 L201:L210">
    <cfRule type="expression" dxfId="87" priority="74" stopIfTrue="1">
      <formula>"esterreur(reference)"</formula>
    </cfRule>
  </conditionalFormatting>
  <conditionalFormatting sqref="L212:L216 L218:L229">
    <cfRule type="expression" dxfId="86" priority="76" stopIfTrue="1">
      <formula>"esterreur(reference)"</formula>
    </cfRule>
  </conditionalFormatting>
  <conditionalFormatting sqref="L255:L266">
    <cfRule type="expression" dxfId="85" priority="120" stopIfTrue="1">
      <formula>"esterreur(reference)"</formula>
    </cfRule>
  </conditionalFormatting>
  <conditionalFormatting sqref="L332:L349">
    <cfRule type="expression" dxfId="84" priority="40" stopIfTrue="1">
      <formula>"esterreur(reference)"</formula>
    </cfRule>
  </conditionalFormatting>
  <conditionalFormatting sqref="L357:L358 H358:I358 K358 J358:J359 H360:L360">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8:Q198 N210">
    <cfRule type="expression" dxfId="81" priority="2" stopIfTrue="1">
      <formula>"esterreur(reference)"</formula>
    </cfRule>
  </conditionalFormatting>
  <conditionalFormatting sqref="O296:P304 O305:Q307 O308:P309 O310:Q318 Q319:Q330 O319:P349 O350:Q350 O353:Q353 O354:P354">
    <cfRule type="expression" dxfId="80" priority="305" stopIfTrue="1">
      <formula>"esterreur(reference)"</formula>
    </cfRule>
  </conditionalFormatting>
  <conditionalFormatting sqref="O244:Q244 O253:Q254 O255:P285 Q283:Q286 O286 O289:Q289 O290:P290">
    <cfRule type="expression" dxfId="79" priority="277" stopIfTrue="1">
      <formula>"esterreur(reference)"</formula>
    </cfRule>
  </conditionalFormatting>
  <conditionalFormatting sqref="O360:Q395">
    <cfRule type="expression" dxfId="78" priority="318" stopIfTrue="1">
      <formula>"esterreur(reference)"</formula>
    </cfRule>
  </conditionalFormatting>
  <conditionalFormatting sqref="O397:Q400">
    <cfRule type="expression" dxfId="77" priority="321" stopIfTrue="1">
      <formula>"esterreur(reference)"</formula>
    </cfRule>
  </conditionalFormatting>
  <conditionalFormatting sqref="P5">
    <cfRule type="expression" dxfId="76" priority="175" stopIfTrue="1">
      <formula>"esterreur(reference)"</formula>
    </cfRule>
  </conditionalFormatting>
  <conditionalFormatting sqref="P176">
    <cfRule type="expression" dxfId="75" priority="271" stopIfTrue="1">
      <formula>"esterreur(reference)"</formula>
    </cfRule>
  </conditionalFormatting>
  <conditionalFormatting sqref="P179">
    <cfRule type="expression" dxfId="74" priority="272" stopIfTrue="1">
      <formula>"esterreur(reference)"</formula>
    </cfRule>
  </conditionalFormatting>
  <conditionalFormatting sqref="P182">
    <cfRule type="expression" dxfId="73" priority="273" stopIfTrue="1">
      <formula>"esterreur(reference)"</formula>
    </cfRule>
  </conditionalFormatting>
  <conditionalFormatting sqref="P396">
    <cfRule type="expression" dxfId="72" priority="323" stopIfTrue="1">
      <formula>"esterreur(reference)"</formula>
    </cfRule>
  </conditionalFormatting>
  <conditionalFormatting sqref="P93:Q96 O97:Q98 O157:P158 O165:Q165 O166:P166">
    <cfRule type="expression" dxfId="71" priority="207" stopIfTrue="1">
      <formula>"esterreur(reference)"</formula>
    </cfRule>
  </conditionalFormatting>
  <conditionalFormatting sqref="P99:Q101">
    <cfRule type="expression" dxfId="70" priority="205" stopIfTrue="1">
      <formula>"esterreur(reference)"</formula>
    </cfRule>
  </conditionalFormatting>
  <conditionalFormatting sqref="P173:Q174 O173:O197 Q175:Q176 P177:Q177 Q178:Q179 P180:Q180 Q181:Q182 O199:P230 O233:Q233 O234:P234">
    <cfRule type="expression" dxfId="69" priority="247" stopIfTrue="1">
      <formula>"esterreur(reference)"</formula>
    </cfRule>
  </conditionalFormatting>
  <conditionalFormatting sqref="P183:Q197">
    <cfRule type="expression" dxfId="68" priority="5" stopIfTrue="1">
      <formula>"esterreur(reference)"</formula>
    </cfRule>
  </conditionalFormatting>
  <conditionalFormatting sqref="P242:Q242">
    <cfRule type="expression" dxfId="67" priority="300" stopIfTrue="1">
      <formula>"esterreur(reference)"</formula>
    </cfRule>
  </conditionalFormatting>
  <conditionalFormatting sqref="P245:Q245">
    <cfRule type="expression" dxfId="66" priority="282" stopIfTrue="1">
      <formula>"esterreur(reference)"</formula>
    </cfRule>
  </conditionalFormatting>
  <conditionalFormatting sqref="P248:Q248">
    <cfRule type="expression" dxfId="65" priority="283" stopIfTrue="1">
      <formula>"esterreur(reference)"</formula>
    </cfRule>
  </conditionalFormatting>
  <conditionalFormatting sqref="Q5:Q14 O13:O14 O16 Q16:Q24 O18:O24 O25:Q26 O27 Q27 O28:Q72 O83:Q85">
    <cfRule type="expression" dxfId="64" priority="174" stopIfTrue="1">
      <formula>"esterreur(reference)"</formula>
    </cfRule>
  </conditionalFormatting>
  <conditionalFormatting sqref="Q75:Q82">
    <cfRule type="expression" dxfId="63" priority="200" stopIfTrue="1">
      <formula>"esterreur(reference)"</formula>
    </cfRule>
  </conditionalFormatting>
  <conditionalFormatting sqref="Q157:Q163">
    <cfRule type="expression" dxfId="62" priority="241" stopIfTrue="1">
      <formula>"esterreur(reference)"</formula>
    </cfRule>
  </conditionalFormatting>
  <conditionalFormatting sqref="Q199:Q210">
    <cfRule type="expression" dxfId="61" priority="250" stopIfTrue="1">
      <formula>"esterreur(reference)"</formula>
    </cfRule>
  </conditionalFormatting>
  <conditionalFormatting sqref="Q212:Q229">
    <cfRule type="expression" dxfId="60" priority="251" stopIfTrue="1">
      <formula>"esterreur(reference)"</formula>
    </cfRule>
  </conditionalFormatting>
  <conditionalFormatting sqref="Q255:Q266">
    <cfRule type="expression" dxfId="59" priority="284" stopIfTrue="1">
      <formula>"esterreur(reference)"</formula>
    </cfRule>
  </conditionalFormatting>
  <conditionalFormatting sqref="Q332:Q349">
    <cfRule type="expression" dxfId="58" priority="307" stopIfTrue="1">
      <formula>"esterreur(reference)"</formula>
    </cfRule>
  </conditionalFormatting>
  <conditionalFormatting sqref="R313">
    <cfRule type="expression" dxfId="57" priority="21" stopIfTrue="1">
      <formula>"esterreur(reference)"</formula>
    </cfRule>
  </conditionalFormatting>
  <conditionalFormatting sqref="S187">
    <cfRule type="expression" dxfId="56" priority="163" stopIfTrue="1">
      <formula>"esterreur(reference)"</formula>
    </cfRule>
  </conditionalFormatting>
  <conditionalFormatting sqref="AG410:AI419 AH421:AI433 AH435:AI452 AH454:AI461 AH462:AH463 AH464:AI466 AH468:AI468 AH492:AI498">
    <cfRule type="cellIs" dxfId="55" priority="22" operator="greaterThan">
      <formula>0</formula>
    </cfRule>
  </conditionalFormatting>
  <conditionalFormatting sqref="AH470:AI477 AH481:AI481">
    <cfRule type="cellIs" dxfId="54" priority="23" operator="lessThan">
      <formula>0</formula>
    </cfRule>
  </conditionalFormatting>
  <conditionalFormatting sqref="AH478:AI480">
    <cfRule type="cellIs" dxfId="53" priority="347" operator="greaterThan">
      <formula>0</formula>
    </cfRule>
  </conditionalFormatting>
  <conditionalFormatting sqref="AO410:AO419">
    <cfRule type="cellIs" dxfId="52" priority="164"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V474" zoomScale="70" zoomScaleNormal="70" workbookViewId="0">
      <selection activeCell="AD502" sqref="AD502"/>
    </sheetView>
  </sheetViews>
  <sheetFormatPr baseColWidth="10" defaultColWidth="12.625" defaultRowHeight="15" customHeight="1"/>
  <cols>
    <col min="1" max="1" width="18.25" hidden="1" customWidth="1"/>
    <col min="2" max="2" width="22.375"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Juillet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78" t="s">
        <v>343</v>
      </c>
      <c r="E3" s="1179"/>
      <c r="F3" s="1180"/>
      <c r="G3" s="1181"/>
      <c r="H3" s="1179"/>
      <c r="I3" s="1180"/>
      <c r="J3" s="1181" t="s">
        <v>344</v>
      </c>
      <c r="K3" s="1179"/>
      <c r="L3" s="1180"/>
      <c r="M3" s="1181" t="s">
        <v>3255</v>
      </c>
      <c r="N3" s="1180"/>
      <c r="O3" s="1178" t="s">
        <v>345</v>
      </c>
      <c r="P3" s="1179"/>
      <c r="Q3" s="1180"/>
      <c r="R3" s="1182" t="s">
        <v>3257</v>
      </c>
      <c r="S3" s="1183"/>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f t="array" ref="F5">+SUMPRODUCT(('Budget original'!$A$8:$A$502=$A5)*('Budget original'!$C$3:$AO$3=F$2),'Budget original'!$C$8:$AO$502)</f>
        <v>23028421.735294502</v>
      </c>
      <c r="G5" s="245"/>
      <c r="H5" s="246"/>
      <c r="I5" s="248"/>
      <c r="J5" s="245"/>
      <c r="K5" s="249"/>
      <c r="L5" s="247">
        <f>-SUMIFS(BV_Data_An_Cour!$P:$P,BV_Data_An_Cour!$X:$X,"Oui",BV_Data_An_Cour!$U:$U,$B5)</f>
        <v>20031823.789999999</v>
      </c>
      <c r="M5" s="250"/>
      <c r="N5" s="251"/>
      <c r="O5" s="245"/>
      <c r="P5" s="249"/>
      <c r="Q5" s="247">
        <f t="array" ref="Q5">+SUMPRODUCT(('Réel 2024'!$A$8:$A$502=$A5)*('Réel 2024'!$C$3:$AO$3=Q$2),'Réel 2024'!$C$8:$AO$502)</f>
        <v>20245370.539999977</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f t="array" ref="D6">+SUMPRODUCT(('Budget original'!$A$8:$A$502=$A6)*('Budget original'!$C$3:$AO$3=D$2),'Budget original'!$C$8:$AO$502)</f>
        <v>126</v>
      </c>
      <c r="E6" s="253">
        <f t="shared" ref="E6:E12" si="2">IF(D6=0,0,F6/D6)</f>
        <v>1839.3978952721659</v>
      </c>
      <c r="F6" s="253">
        <f t="array" ref="F6">+SUMPRODUCT(('Budget original'!$A$8:$A$502=$A6)*('Budget original'!$C$3:$AO$3=F$2),'Budget original'!$C$8:$AO$502)</f>
        <v>231764.1348042929</v>
      </c>
      <c r="G6" s="254"/>
      <c r="H6" s="253"/>
      <c r="I6" s="253"/>
      <c r="J6" s="254">
        <f>-SUMIFS(BV_Data_An_Cour!$P:$P,BV_Data_An_Cour!$U:$U,$B6,BV_Data_An_Cour!$V:$V,$C6,BV_Data_An_Cour!$W:$W,J$2)</f>
        <v>77</v>
      </c>
      <c r="K6" s="253">
        <f t="shared" ref="K6:K12" si="3">IF(J6=0,0,L6/J6)</f>
        <v>1228.0416883116811</v>
      </c>
      <c r="L6" s="255">
        <f>-SUMIFS(BV_Data_An_Cour!$P:$P,BV_Data_An_Cour!$U:$U,$B6,BV_Data_An_Cour!$V:$V,$C6,BV_Data_An_Cour!$W:$W,L$2)</f>
        <v>94559.209999999439</v>
      </c>
      <c r="M6" s="254">
        <f t="shared" ref="M6:M12" si="4">J6-D6</f>
        <v>-49</v>
      </c>
      <c r="N6" s="255">
        <f t="shared" ref="N6:N12" si="5">L6-F6</f>
        <v>-137204.92480429346</v>
      </c>
      <c r="O6" s="254">
        <f t="array" ref="O6">+SUMPRODUCT(('Réel 2024'!$A$8:$A$502=$A6)*('Réel 2024'!$C$3:$AO$3=O$2),'Réel 2024'!$C$8:$AO$502)</f>
        <v>82</v>
      </c>
      <c r="P6" s="253">
        <f t="shared" ref="P6:P12" si="6">IF(O6=0,0,Q6/O6)</f>
        <v>1995.6156097560959</v>
      </c>
      <c r="Q6" s="255">
        <f t="array" ref="Q6">+SUMPRODUCT(('Réel 2024'!$A$8:$A$502=$A6)*('Réel 2024'!$C$3:$AO$3=Q$2),'Réel 2024'!$C$8:$AO$502)</f>
        <v>163640.47999999986</v>
      </c>
      <c r="R6" s="254">
        <f t="shared" ref="R6:R12" si="7">J6-O6</f>
        <v>-5</v>
      </c>
      <c r="S6" s="255">
        <f t="shared" ref="S6:S12" si="8">L6-Q6</f>
        <v>-69081.270000000426</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f t="array" ref="D7">+SUMPRODUCT(('Budget original'!$A$8:$A$502=$A7)*('Budget original'!$C$3:$AO$3=D$2),'Budget original'!$C$8:$AO$502)</f>
        <v>311</v>
      </c>
      <c r="E7" s="253">
        <f t="shared" si="2"/>
        <v>2490.391062883712</v>
      </c>
      <c r="F7" s="253">
        <f t="array" ref="F7">+SUMPRODUCT(('Budget original'!$A$8:$A$502=$A7)*('Budget original'!$C$3:$AO$3=F$2),'Budget original'!$C$8:$AO$502)</f>
        <v>774511.62055683439</v>
      </c>
      <c r="G7" s="254"/>
      <c r="H7" s="253"/>
      <c r="I7" s="253"/>
      <c r="J7" s="254">
        <f>-SUMIFS(BV_Data_An_Cour!$P:$P,BV_Data_An_Cour!$U:$U,$B7,BV_Data_An_Cour!$V:$V,$C7,BV_Data_An_Cour!$W:$W,J$2)</f>
        <v>295</v>
      </c>
      <c r="K7" s="253">
        <f t="shared" si="3"/>
        <v>1598.5659322033887</v>
      </c>
      <c r="L7" s="255">
        <f>-SUMIFS(BV_Data_An_Cour!$P:$P,BV_Data_An_Cour!$U:$U,$B7,BV_Data_An_Cour!$V:$V,$C7,BV_Data_An_Cour!$W:$W,L$2)</f>
        <v>471576.94999999966</v>
      </c>
      <c r="M7" s="254">
        <f t="shared" si="4"/>
        <v>-16</v>
      </c>
      <c r="N7" s="255">
        <f t="shared" si="5"/>
        <v>-302934.67055683472</v>
      </c>
      <c r="O7" s="254">
        <f t="array" ref="O7">+SUMPRODUCT(('Réel 2024'!$A$8:$A$502=$A7)*('Réel 2024'!$C$3:$AO$3=O$2),'Réel 2024'!$C$8:$AO$502)</f>
        <v>272</v>
      </c>
      <c r="P7" s="253">
        <f t="shared" si="6"/>
        <v>2322.3341911764674</v>
      </c>
      <c r="Q7" s="255">
        <f t="array" ref="Q7">+SUMPRODUCT(('Réel 2024'!$A$8:$A$502=$A7)*('Réel 2024'!$C$3:$AO$3=Q$2),'Réel 2024'!$C$8:$AO$502)</f>
        <v>631674.89999999909</v>
      </c>
      <c r="R7" s="254">
        <f t="shared" si="7"/>
        <v>23</v>
      </c>
      <c r="S7" s="255">
        <f t="shared" si="8"/>
        <v>-160097.94999999943</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f t="array" ref="D8">+SUMPRODUCT(('Budget original'!$A$8:$A$502=$A8)*('Budget original'!$C$3:$AO$3=D$2),'Budget original'!$C$8:$AO$502)</f>
        <v>0</v>
      </c>
      <c r="E8" s="253">
        <f t="shared" si="2"/>
        <v>0</v>
      </c>
      <c r="F8" s="253">
        <f t="array" ref="F8">+SUMPRODUCT(('Budget original'!$A$8:$A$502=$A8)*('Budget original'!$C$3:$AO$3=F$2),'Budget original'!$C$8:$AO$502)</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f t="array" ref="O8">+SUMPRODUCT(('Réel 2024'!$A$8:$A$502=$A8)*('Réel 2024'!$C$3:$AO$3=O$2),'Réel 2024'!$C$8:$AO$502)</f>
        <v>0</v>
      </c>
      <c r="P8" s="253">
        <f t="shared" si="6"/>
        <v>0</v>
      </c>
      <c r="Q8" s="255">
        <f t="array" ref="Q8">+SUMPRODUCT(('Réel 2024'!$A$8:$A$502=$A8)*('Réel 2024'!$C$3:$AO$3=Q$2),'Réel 2024'!$C$8:$AO$502)</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f t="array" ref="D9">+SUMPRODUCT(('Budget original'!$A$8:$A$502=$A9)*('Budget original'!$C$3:$AO$3=D$2),'Budget original'!$C$8:$AO$502)</f>
        <v>0</v>
      </c>
      <c r="E9" s="253">
        <f t="shared" si="2"/>
        <v>0</v>
      </c>
      <c r="F9" s="253">
        <f t="array" ref="F9">+SUMPRODUCT(('Budget original'!$A$8:$A$502=$A9)*('Budget original'!$C$3:$AO$3=F$2),'Budget original'!$C$8:$AO$502)</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f t="array" ref="O9">+SUMPRODUCT(('Réel 2024'!$A$8:$A$502=$A9)*('Réel 2024'!$C$3:$AO$3=O$2),'Réel 2024'!$C$8:$AO$502)</f>
        <v>0</v>
      </c>
      <c r="P9" s="253">
        <f t="shared" si="6"/>
        <v>0</v>
      </c>
      <c r="Q9" s="255">
        <f t="array" ref="Q9">+SUMPRODUCT(('Réel 2024'!$A$8:$A$502=$A9)*('Réel 2024'!$C$3:$AO$3=Q$2),'Réel 2024'!$C$8:$AO$502)</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f t="array" ref="D10">+SUMPRODUCT(('Budget original'!$A$8:$A$502=$A10)*('Budget original'!$C$3:$AO$3=D$2),'Budget original'!$C$8:$AO$502)</f>
        <v>0</v>
      </c>
      <c r="E10" s="253">
        <f t="shared" si="2"/>
        <v>0</v>
      </c>
      <c r="F10" s="253">
        <f t="array" ref="F10">+SUMPRODUCT(('Budget original'!$A$8:$A$502=$A10)*('Budget original'!$C$3:$AO$3=F$2),'Budget original'!$C$8:$AO$502)</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f t="array" ref="O10">+SUMPRODUCT(('Réel 2024'!$A$8:$A$502=$A10)*('Réel 2024'!$C$3:$AO$3=O$2),'Réel 2024'!$C$8:$AO$502)</f>
        <v>0</v>
      </c>
      <c r="P10" s="253">
        <f t="shared" si="6"/>
        <v>0</v>
      </c>
      <c r="Q10" s="255">
        <f t="array" ref="Q10">+SUMPRODUCT(('Réel 2024'!$A$8:$A$502=$A10)*('Réel 2024'!$C$3:$AO$3=Q$2),'Réel 2024'!$C$8:$AO$502)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f t="array" ref="D11">+SUMPRODUCT(('Budget original'!$A$8:$A$502=$A11)*('Budget original'!$C$3:$AO$3=D$2),'Budget original'!$C$8:$AO$502)</f>
        <v>0</v>
      </c>
      <c r="E11" s="253">
        <f t="shared" si="2"/>
        <v>0</v>
      </c>
      <c r="F11" s="253">
        <f t="array" ref="F11">+SUMPRODUCT(('Budget original'!$A$8:$A$502=$A11)*('Budget original'!$C$3:$AO$3=F$2),'Budget original'!$C$8:$AO$502)</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f t="array" ref="O11">+SUMPRODUCT(('Réel 2024'!$A$8:$A$502=$A11)*('Réel 2024'!$C$3:$AO$3=O$2),'Réel 2024'!$C$8:$AO$502)</f>
        <v>0</v>
      </c>
      <c r="P11" s="253">
        <f t="shared" si="6"/>
        <v>0</v>
      </c>
      <c r="Q11" s="255">
        <f t="array" ref="Q11">+SUMPRODUCT(('Réel 2024'!$A$8:$A$502=$A11)*('Réel 2024'!$C$3:$AO$3=Q$2),'Réel 2024'!$C$8:$AO$502)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f t="array" ref="D12">+SUMPRODUCT(('Budget original'!$A$8:$A$502=$A12)*('Budget original'!$C$3:$AO$3=D$2),'Budget original'!$C$8:$AO$502)</f>
        <v>0</v>
      </c>
      <c r="E12" s="253">
        <f t="shared" si="2"/>
        <v>0</v>
      </c>
      <c r="F12" s="253">
        <f t="array" ref="F12">+SUMPRODUCT(('Budget original'!$A$8:$A$502=$A12)*('Budget original'!$C$3:$AO$3=F$2),'Budget original'!$C$8:$AO$502)</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f t="array" ref="O12">+SUMPRODUCT(('Réel 2024'!$A$8:$A$502=$A12)*('Réel 2024'!$C$3:$AO$3=O$2),'Réel 2024'!$C$8:$AO$502)</f>
        <v>0</v>
      </c>
      <c r="P12" s="253">
        <f t="shared" si="6"/>
        <v>0</v>
      </c>
      <c r="Q12" s="255">
        <f t="array" ref="Q12">+SUMPRODUCT(('Réel 2024'!$A$8:$A$502=$A12)*('Réel 2024'!$C$3:$AO$3=Q$2),'Réel 2024'!$C$8:$AO$502)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437</v>
      </c>
      <c r="E13" s="259">
        <f>IF(D13&lt;=0,0,F13/D13)</f>
        <v>2302.6905157005203</v>
      </c>
      <c r="F13" s="260">
        <f>+SUM(F6:F12)</f>
        <v>1006275.7553611273</v>
      </c>
      <c r="G13" s="261"/>
      <c r="H13" s="259"/>
      <c r="I13" s="260"/>
      <c r="J13" s="261">
        <f>+SUM(J6:J12)</f>
        <v>372</v>
      </c>
      <c r="K13" s="259">
        <f>IF(J13&lt;=0,0,L13/J13)</f>
        <v>1521.87139784946</v>
      </c>
      <c r="L13" s="260">
        <f>+SUM(L6:L12)</f>
        <v>566136.1599999991</v>
      </c>
      <c r="M13" s="261">
        <f>+SUM(M6:M12)</f>
        <v>-65</v>
      </c>
      <c r="N13" s="260">
        <f>+SUM(N6:N12)</f>
        <v>-440139.59536112822</v>
      </c>
      <c r="O13" s="261">
        <f>+SUM(O6:O12)</f>
        <v>354</v>
      </c>
      <c r="P13" s="259">
        <f>IF(O13&lt;=0,0,Q13/O13)</f>
        <v>2246.6536158192062</v>
      </c>
      <c r="Q13" s="260">
        <f>+SUM(Q6:Q12)</f>
        <v>795315.37999999896</v>
      </c>
      <c r="R13" s="261">
        <f>+SUM(R6:R12)</f>
        <v>18</v>
      </c>
      <c r="S13" s="260">
        <f>+SUM(S6:S12)</f>
        <v>-229179.21999999986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-0.14874141876430205</v>
      </c>
      <c r="N14" s="264">
        <f>IF(F13=0,0,N13/F13)</f>
        <v>-0.4373946137688402</v>
      </c>
      <c r="O14" s="252"/>
      <c r="P14" s="253"/>
      <c r="Q14" s="262"/>
      <c r="R14" s="263">
        <f>R13/O13</f>
        <v>5.0847457627118647E-2</v>
      </c>
      <c r="S14" s="264">
        <f>IF(Q13=0,0,(S13/Q13))</f>
        <v>-0.28816143351836115</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f t="array" ref="D15">+SUMPRODUCT(('Budget original'!$A$8:$A$502=$A15)*('Budget original'!$C$3:$AO$3=D$2),'Budget original'!$C$8:$AO$502)</f>
        <v>26</v>
      </c>
      <c r="E15" s="249">
        <f>IF(D15=0,0,F15/D15)</f>
        <v>1524.8245365854225</v>
      </c>
      <c r="F15" s="247">
        <f t="array" ref="F15">+SUMPRODUCT(('Budget original'!$A$8:$A$502=$A15)*('Budget original'!$C$3:$AO$3=F$2),'Budget original'!$C$8:$AO$502)</f>
        <v>39645.437951220985</v>
      </c>
      <c r="G15" s="266"/>
      <c r="H15" s="249"/>
      <c r="I15" s="247"/>
      <c r="J15" s="267">
        <f>-SUMIFS(BV_Data_An_Cour!$P:$P,BV_Data_An_Cour!$U:$U,$B15,BV_Data_An_Cour!$V:$V,$C15,BV_Data_An_Cour!$W:$W,J$2)</f>
        <v>16</v>
      </c>
      <c r="K15" s="268">
        <f>IF(J15=0,0,L15/J15)</f>
        <v>179.25</v>
      </c>
      <c r="L15" s="268">
        <f>-SUMIFS(BV_Data_An_Cour!$P:$P,BV_Data_An_Cour!$U:$U,$B15,BV_Data_An_Cour!$V:$V,$C15,BV_Data_An_Cour!$W:$W,L$2)</f>
        <v>2868</v>
      </c>
      <c r="M15" s="266">
        <f>J15-D15</f>
        <v>-10</v>
      </c>
      <c r="N15" s="247">
        <f>L15-F15</f>
        <v>-36777.437951220985</v>
      </c>
      <c r="O15" s="267">
        <f t="array" ref="O15">+SUMPRODUCT(('Réel 2024'!$A$8:$A$502=$A15)*('Réel 2024'!$C$3:$AO$3=O$2),'Réel 2024'!$C$8:$AO$502)</f>
        <v>26</v>
      </c>
      <c r="P15" s="268">
        <f>IF(O15=0,0,Q15/O15)</f>
        <v>1352.6173076923067</v>
      </c>
      <c r="Q15" s="268">
        <f t="array" ref="Q15">+SUMPRODUCT(('Réel 2024'!$A$8:$A$502=$A15)*('Réel 2024'!$C$3:$AO$3=Q$2),'Réel 2024'!$C$8:$AO$502)</f>
        <v>35168.049999999974</v>
      </c>
      <c r="R15" s="266">
        <f>J15-O15</f>
        <v>-10</v>
      </c>
      <c r="S15" s="247">
        <f>L15-Q15</f>
        <v>-32300.049999999974</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1158" t="s">
        <v>103</v>
      </c>
      <c r="D17" s="253">
        <f t="array" ref="D17">+SUMPRODUCT(('[2]Budget original'!$A$8:$A$501=$A17)*('[2]Budget original'!$C$3:$AO$3=D$2),'[2]Budget original'!$C$8:$AO$501)</f>
        <v>17</v>
      </c>
      <c r="E17" s="253">
        <f>IF(D17=0,0,F17/D17)</f>
        <v>1300.6851300000001</v>
      </c>
      <c r="F17" s="253">
        <f t="array" ref="F17">+SUMPRODUCT(('[2]Budget original'!$A$8:$A$501=$A17)*('[2]Budget original'!$C$3:$AO$3=F$2),'[2]Budget original'!$C$8:$AO$501)</f>
        <v>22111.647210000003</v>
      </c>
      <c r="G17" s="976"/>
      <c r="H17" s="253"/>
      <c r="I17" s="253"/>
      <c r="J17" s="266">
        <f>-SUMIFS(BV_Data_An_Cour!$P:$P,BV_Data_An_Cour!$U:$U,$B17,BV_Data_An_Cour!$V:$V,$C17,BV_Data_An_Cour!$W:$W,J$2)</f>
        <v>47</v>
      </c>
      <c r="K17" s="249">
        <f>IF(J17=0,0,L17/J17)</f>
        <v>65.206382978722417</v>
      </c>
      <c r="L17" s="249">
        <f>-SUMIFS(BV_Data_An_Cour!$P:$P,BV_Data_An_Cour!$U:$U,$B17,BV_Data_An_Cour!$V:$V,$C17,BV_Data_An_Cour!$W:$W,L$2)</f>
        <v>3064.6999999999534</v>
      </c>
      <c r="M17" s="266">
        <f>J17-D17</f>
        <v>30</v>
      </c>
      <c r="N17" s="851">
        <f>L17-F17</f>
        <v>-19046.947210000049</v>
      </c>
      <c r="O17" s="266">
        <f t="array" ref="O17">+SUMPRODUCT(('[2]Réel 2024'!$A$8:$A$501=$A17)*('[2]Réel 2024'!$C$3:$AO$3=O$2),'[2]Réel 2024'!$C$8:$AO$501)</f>
        <v>12</v>
      </c>
      <c r="P17" s="253">
        <f>IF(O17=0,0,Q17/O17)</f>
        <v>2463.2191666666681</v>
      </c>
      <c r="Q17" s="851">
        <f t="array" ref="Q17">+SUMPRODUCT(('[2]Réel 2024'!$A$8:$A$501=$A17)*('[2]Réel 2024'!$C$3:$AO$3=Q$2),'[2]Réel 2024'!$C$8:$AO$501)</f>
        <v>29558.630000000019</v>
      </c>
      <c r="R17" s="976">
        <f>J17-O17</f>
        <v>35</v>
      </c>
      <c r="S17" s="851">
        <f>L17-Q17</f>
        <v>-26493.930000000066</v>
      </c>
      <c r="T17" s="41"/>
      <c r="U17" s="41"/>
      <c r="V17" s="41" t="s">
        <v>644</v>
      </c>
      <c r="W17" s="41" t="s">
        <v>286</v>
      </c>
      <c r="X17" s="41" t="s">
        <v>645</v>
      </c>
      <c r="Y17" s="41" t="s">
        <v>642</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646</v>
      </c>
      <c r="W18" s="458">
        <f>+I27+I109</f>
        <v>0</v>
      </c>
      <c r="X18" s="458">
        <f>+L27+L109</f>
        <v>1666800.2899999991</v>
      </c>
      <c r="Y18" s="458">
        <f>+X18-W18</f>
        <v>1666800.2899999991</v>
      </c>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t="s">
        <v>647</v>
      </c>
      <c r="W19" s="458">
        <f>+I195+I251+I315</f>
        <v>0</v>
      </c>
      <c r="X19" s="458">
        <f>+L195+L251+L315</f>
        <v>2686058.5500000003</v>
      </c>
      <c r="Y19" s="458">
        <f>+X19-W19</f>
        <v>2686058.5500000003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f t="array" ref="F21">+SUMPRODUCT(('Budget original'!$A$8:$A$502=$A21)*('Budget original'!$C$3:$AO$3=F$2),'Budget original'!$C$8:$AO$502)</f>
        <v>23150</v>
      </c>
      <c r="G21" s="252"/>
      <c r="H21" s="253"/>
      <c r="I21" s="253"/>
      <c r="J21" s="254"/>
      <c r="K21" s="253">
        <f>IF(J13=0,0,L21/(J13+J15))</f>
        <v>25.682912371134019</v>
      </c>
      <c r="L21" s="255">
        <f>-SUMIFS(BV_Data_An_Cour!$P:$P,BV_Data_An_Cour!$U:$U,$B21,BV_Data_An_Cour!$V:$V,$C21,BV_Data_An_Cour!$W:$W,L$2)</f>
        <v>9964.9699999999993</v>
      </c>
      <c r="M21" s="254"/>
      <c r="N21" s="255">
        <f>L21-F21</f>
        <v>-13185.03</v>
      </c>
      <c r="O21" s="254"/>
      <c r="P21" s="253"/>
      <c r="Q21" s="255">
        <f t="array" ref="Q21">+SUMPRODUCT(('Réel 2024'!$A$8:$A$502=$A21)*('Réel 2024'!$C$3:$AO$3=Q$2),'Réel 2024'!$C$8:$AO$502)</f>
        <v>2534.1899999999996</v>
      </c>
      <c r="R21" s="254">
        <f>O21-K21</f>
        <v>-25.682912371134019</v>
      </c>
      <c r="S21" s="255">
        <f>L21-Q21</f>
        <v>7430.78</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f t="array" ref="F22">+SUMPRODUCT(('Budget original'!$A$8:$A$502=$A22)*('Budget original'!$C$3:$AO$3=F$2),'Budget original'!$C$8:$AO$502)</f>
        <v>523190</v>
      </c>
      <c r="G22" s="252"/>
      <c r="H22" s="253"/>
      <c r="I22" s="253"/>
      <c r="J22" s="254"/>
      <c r="K22" s="253">
        <f>IF(J13=0,0,L22/(J13+J15))</f>
        <v>1063.8640206185567</v>
      </c>
      <c r="L22" s="255">
        <f>-SUMIFS(BV_Data_An_Cour!$P:$P,BV_Data_An_Cour!$U:$U,$B22,BV_Data_An_Cour!$V:$V,$C22,BV_Data_An_Cour!$W:$W,L$2)</f>
        <v>412779.24</v>
      </c>
      <c r="M22" s="254"/>
      <c r="N22" s="255">
        <f>L22-F22</f>
        <v>-110410.76000000001</v>
      </c>
      <c r="O22" s="254"/>
      <c r="P22" s="253"/>
      <c r="Q22" s="255">
        <f t="array" ref="Q22">+SUMPRODUCT(('Réel 2024'!$A$8:$A$502=$A22)*('Réel 2024'!$C$3:$AO$3=Q$2),'Réel 2024'!$C$8:$AO$502)</f>
        <v>367894.2</v>
      </c>
      <c r="R22" s="254">
        <f>O22-K22</f>
        <v>-1063.8640206185567</v>
      </c>
      <c r="S22" s="255">
        <f>L22-Q22</f>
        <v>44885.039999999979</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f t="array" ref="F23">+SUMPRODUCT(('Budget original'!$A$8:$A$502=$A23)*('Budget original'!$C$3:$AO$3=F$2),'Budget original'!$C$8:$AO$502)</f>
        <v>9260</v>
      </c>
      <c r="G23" s="252"/>
      <c r="H23" s="253"/>
      <c r="I23" s="253"/>
      <c r="J23" s="254"/>
      <c r="K23" s="253">
        <f>IF(J13=0,0,L23/(J13+J15))</f>
        <v>11.317757731958762</v>
      </c>
      <c r="L23" s="255">
        <f>-SUMIFS(BV_Data_An_Cour!$P:$P,BV_Data_An_Cour!$U:$U,$B23,BV_Data_An_Cour!$V:$V,$C23,BV_Data_An_Cour!$W:$W,L$2)</f>
        <v>4391.29</v>
      </c>
      <c r="M23" s="266"/>
      <c r="N23" s="255">
        <f>L23-F23</f>
        <v>-4868.71</v>
      </c>
      <c r="O23" s="254"/>
      <c r="P23" s="253"/>
      <c r="Q23" s="255">
        <f t="array" ref="Q23">+SUMPRODUCT(('Réel 2024'!$A$8:$A$502=$A23)*('Réel 2024'!$C$3:$AO$3=Q$2),'Réel 2024'!$C$8:$AO$502)</f>
        <v>1213.1799999999998</v>
      </c>
      <c r="R23" s="254">
        <f>O23-K23</f>
        <v>-11.317757731958762</v>
      </c>
      <c r="S23" s="255">
        <f>L23-Q23</f>
        <v>3178.11</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463</v>
      </c>
      <c r="E24" s="259">
        <f>IF(D24&lt;=0,0,F24/D24)</f>
        <v>1200</v>
      </c>
      <c r="F24" s="260">
        <f>F21+F22+F23</f>
        <v>555600</v>
      </c>
      <c r="G24" s="261"/>
      <c r="H24" s="259"/>
      <c r="I24" s="260"/>
      <c r="J24" s="261">
        <f>+J15+J13</f>
        <v>388</v>
      </c>
      <c r="K24" s="259">
        <f>IF(J24&lt;=0,0,L24/J24)</f>
        <v>1100.8646907216494</v>
      </c>
      <c r="L24" s="260">
        <f>L21+L22+L23</f>
        <v>427135.49999999994</v>
      </c>
      <c r="M24" s="274">
        <f>J24-D24</f>
        <v>-75</v>
      </c>
      <c r="N24" s="260">
        <f>L24-F24</f>
        <v>-128464.50000000006</v>
      </c>
      <c r="O24" s="261">
        <f>+O15+O13</f>
        <v>380</v>
      </c>
      <c r="P24" s="259">
        <f>IF(O24&lt;=0,0,Q24/O24)</f>
        <v>978.00413157894741</v>
      </c>
      <c r="Q24" s="260">
        <f>Q21+Q22+Q23</f>
        <v>371641.57</v>
      </c>
      <c r="R24" s="272"/>
      <c r="S24" s="260">
        <f>L24-Q24</f>
        <v>55493.929999999935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-0.23121760259179275</v>
      </c>
      <c r="O25" s="252"/>
      <c r="P25" s="41"/>
      <c r="Q25" s="275"/>
      <c r="R25" s="276"/>
      <c r="S25" s="264">
        <f>IF(Q24=0,0,(S24/Q24))</f>
        <v>0.14932110527893835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480</v>
      </c>
      <c r="E27" s="279">
        <f>IF(D27&lt;=0,0,F27/D27)</f>
        <v>3382.5684177548919</v>
      </c>
      <c r="F27" s="280">
        <f>F13+F17+F24+F19+F15</f>
        <v>1623632.8405223482</v>
      </c>
      <c r="G27" s="281"/>
      <c r="H27" s="279"/>
      <c r="I27" s="280"/>
      <c r="J27" s="281">
        <f>+J13+J15+J17</f>
        <v>435</v>
      </c>
      <c r="K27" s="279">
        <f>IF(J27&lt;=0,0,L27/J27)</f>
        <v>2297.0215172413768</v>
      </c>
      <c r="L27" s="280">
        <f>L13+L17+L24+L19+L15</f>
        <v>999204.35999999894</v>
      </c>
      <c r="M27" s="281">
        <f>J27-D27</f>
        <v>-45</v>
      </c>
      <c r="N27" s="280">
        <f>L27-F27</f>
        <v>-624428.48052234924</v>
      </c>
      <c r="O27" s="281">
        <f>+O13+O15+O17</f>
        <v>392</v>
      </c>
      <c r="P27" s="279">
        <f>IF(O27&lt;=0,0,Q27/O27)</f>
        <v>3142.0500765306097</v>
      </c>
      <c r="Q27" s="280">
        <f>Q13+Q17+Q24+Q19+Q15</f>
        <v>1231683.629999999</v>
      </c>
      <c r="R27" s="281">
        <f>J27-O27</f>
        <v>43</v>
      </c>
      <c r="S27" s="280">
        <f>L27-Q27</f>
        <v>-232479.27000000002</v>
      </c>
      <c r="T27" s="41"/>
      <c r="U27" s="41">
        <f>+S27/R27</f>
        <v>-5406.4946511627913</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0.61541275531144046</v>
      </c>
      <c r="M28" s="285">
        <f>M27/D27</f>
        <v>-9.375E-2</v>
      </c>
      <c r="N28" s="286">
        <f>N27/F27</f>
        <v>-0.38458724468855954</v>
      </c>
      <c r="O28" s="282"/>
      <c r="P28" s="283"/>
      <c r="Q28" s="284"/>
      <c r="R28" s="285">
        <f>R27/O27</f>
        <v>0.10969387755102041</v>
      </c>
      <c r="S28" s="286">
        <f>IF(Q27=0,0,S27/Q27)</f>
        <v>-0.18874917579281314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9">F31/D$24</f>
        <v>720.91891302901536</v>
      </c>
      <c r="F31" s="253">
        <f t="array" ref="F31">+SUMPRODUCT(('Budget original'!$A$8:$A$502=$A31)*('Budget original'!$C$3:$AO$3=F$2),'Budget original'!$C$8:$AO$502)</f>
        <v>333785.4567324341</v>
      </c>
      <c r="G31" s="297"/>
      <c r="H31" s="290"/>
      <c r="I31" s="253"/>
      <c r="J31" s="291">
        <f>L31/(L13+L15+L17)</f>
        <v>0.4805299487897321</v>
      </c>
      <c r="K31" s="290">
        <f t="shared" ref="K31:K40" si="10">IF(L31=0,0,L31/J$24)</f>
        <v>708.49541237113397</v>
      </c>
      <c r="L31" s="253">
        <f>SUMIFS(BV_Data_An_Cour!$P:$P,BV_Data_An_Cour!$U:$U,$B31,BV_Data_An_Cour!$V:$V,$C31,BV_Data_An_Cour!$W:$W,L$2)</f>
        <v>274896.21999999997</v>
      </c>
      <c r="M31" s="252"/>
      <c r="N31" s="275">
        <f t="shared" ref="N31:N53" si="11">L31-F31</f>
        <v>-58889.236732434132</v>
      </c>
      <c r="O31" s="252"/>
      <c r="P31" s="290">
        <f t="shared" ref="P31:P40" si="12">Q31/O$24</f>
        <v>709.949894736842</v>
      </c>
      <c r="Q31" s="255">
        <f t="array" ref="Q31">+SUMPRODUCT(('Réel 2024'!$A$8:$A$502=$A31)*('Réel 2024'!$C$3:$AO$3=Q$2),'Réel 2024'!$C$8:$AO$502)</f>
        <v>269780.95999999996</v>
      </c>
      <c r="R31" s="252"/>
      <c r="S31" s="275">
        <f t="shared" ref="S31:S41" si="13">L31-Q31</f>
        <v>5115.2600000000093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9"/>
        <v>240</v>
      </c>
      <c r="F32" s="247">
        <f t="array" ref="F32">+SUMPRODUCT(('Budget original'!$A$8:$A$502=$A32)*('Budget original'!$C$3:$AO$3=F$2),'Budget original'!$C$8:$AO$502)</f>
        <v>111120</v>
      </c>
      <c r="G32" s="299"/>
      <c r="H32" s="293"/>
      <c r="I32" s="247"/>
      <c r="J32" s="294">
        <f>L32/L24</f>
        <v>0.23813272369072583</v>
      </c>
      <c r="K32" s="293">
        <f t="shared" si="10"/>
        <v>262.15190721649486</v>
      </c>
      <c r="L32" s="247">
        <f>SUMIFS(BV_Data_An_Cour!$P:$P,BV_Data_An_Cour!$U:$U,$B32,BV_Data_An_Cour!$V:$V,$C32,BV_Data_An_Cour!$W:$W,L$2)</f>
        <v>101714.94</v>
      </c>
      <c r="M32" s="245"/>
      <c r="N32" s="295">
        <f t="shared" si="11"/>
        <v>-9405.0599999999977</v>
      </c>
      <c r="O32" s="245"/>
      <c r="P32" s="293">
        <f t="shared" si="12"/>
        <v>264.81584210526313</v>
      </c>
      <c r="Q32" s="247">
        <f t="array" ref="Q32">+SUMPRODUCT(('Réel 2024'!$A$8:$A$502=$A32)*('Réel 2024'!$C$3:$AO$3=Q$2),'Réel 2024'!$C$8:$AO$502)</f>
        <v>100630.01999999999</v>
      </c>
      <c r="R32" s="245"/>
      <c r="S32" s="295">
        <f t="shared" si="13"/>
        <v>1084.9200000000128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9"/>
        <v>115</v>
      </c>
      <c r="F33" s="253">
        <f t="array" ref="F33">+SUMPRODUCT(('Budget original'!$A$8:$A$502=$A33)*('Budget original'!$C$3:$AO$3=F$2),'Budget original'!$C$8:$AO$502)</f>
        <v>53245</v>
      </c>
      <c r="G33" s="297"/>
      <c r="H33" s="290"/>
      <c r="I33" s="253"/>
      <c r="J33" s="252"/>
      <c r="K33" s="290">
        <f t="shared" si="10"/>
        <v>75.66476804123711</v>
      </c>
      <c r="L33" s="253">
        <f>SUMIFS(BV_Data_An_Cour!$P:$P,BV_Data_An_Cour!$U:$U,$B33,BV_Data_An_Cour!$V:$V,$C33,BV_Data_An_Cour!$W:$W,L$2)</f>
        <v>29357.93</v>
      </c>
      <c r="M33" s="252"/>
      <c r="N33" s="275">
        <f t="shared" si="11"/>
        <v>-23887.07</v>
      </c>
      <c r="O33" s="252"/>
      <c r="P33" s="290">
        <f t="shared" si="12"/>
        <v>109.00294736842106</v>
      </c>
      <c r="Q33" s="255">
        <f t="array" ref="Q33">+SUMPRODUCT(('Réel 2024'!$A$8:$A$502=$A33)*('Réel 2024'!$C$3:$AO$3=Q$2),'Réel 2024'!$C$8:$AO$502)</f>
        <v>41421.120000000003</v>
      </c>
      <c r="R33" s="252"/>
      <c r="S33" s="275">
        <f t="shared" si="13"/>
        <v>-12063.190000000002</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9"/>
        <v>10</v>
      </c>
      <c r="F34" s="253">
        <f t="array" ref="F34">+SUMPRODUCT(('Budget original'!$A$8:$A$502=$A34)*('Budget original'!$C$3:$AO$3=F$2),'Budget original'!$C$8:$AO$502)</f>
        <v>4630</v>
      </c>
      <c r="G34" s="297"/>
      <c r="H34" s="290"/>
      <c r="I34" s="253"/>
      <c r="J34" s="252"/>
      <c r="K34" s="290">
        <f t="shared" si="10"/>
        <v>1.6824999999999999</v>
      </c>
      <c r="L34" s="253">
        <f>SUMIFS(BV_Data_An_Cour!$P:$P,BV_Data_An_Cour!$U:$U,$B34,BV_Data_An_Cour!$V:$V,$C34,BV_Data_An_Cour!$W:$W,L$2)</f>
        <v>652.80999999999995</v>
      </c>
      <c r="M34" s="252"/>
      <c r="N34" s="275">
        <f t="shared" si="11"/>
        <v>-3977.19</v>
      </c>
      <c r="O34" s="252"/>
      <c r="P34" s="290">
        <f t="shared" si="12"/>
        <v>5.8877368421052632</v>
      </c>
      <c r="Q34" s="255">
        <f t="array" ref="Q34">+SUMPRODUCT(('Réel 2024'!$A$8:$A$502=$A34)*('Réel 2024'!$C$3:$AO$3=Q$2),'Réel 2024'!$C$8:$AO$502)</f>
        <v>2237.34</v>
      </c>
      <c r="R34" s="252"/>
      <c r="S34" s="275">
        <f t="shared" si="13"/>
        <v>-1584.5300000000002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9"/>
        <v>120</v>
      </c>
      <c r="F35" s="247">
        <f t="array" ref="F35">+SUMPRODUCT(('Budget original'!$A$8:$A$502=$A35)*('Budget original'!$C$3:$AO$3=F$2),'Budget original'!$C$8:$AO$502)</f>
        <v>55560</v>
      </c>
      <c r="G35" s="299"/>
      <c r="H35" s="293"/>
      <c r="I35" s="247"/>
      <c r="J35" s="245"/>
      <c r="K35" s="293">
        <f t="shared" si="10"/>
        <v>116.70935567010311</v>
      </c>
      <c r="L35" s="247">
        <f>SUMIFS(BV_Data_An_Cour!$P:$P,BV_Data_An_Cour!$U:$U,$B35,BV_Data_An_Cour!$V:$V,$C35,BV_Data_An_Cour!$W:$W,L$2)</f>
        <v>45283.23</v>
      </c>
      <c r="M35" s="245"/>
      <c r="N35" s="295">
        <f t="shared" si="11"/>
        <v>-10276.769999999997</v>
      </c>
      <c r="O35" s="245"/>
      <c r="P35" s="293">
        <f t="shared" si="12"/>
        <v>130.80742105263161</v>
      </c>
      <c r="Q35" s="255">
        <f t="array" ref="Q35">+SUMPRODUCT(('Réel 2024'!$A$8:$A$502=$A35)*('Réel 2024'!$C$3:$AO$3=Q$2),'Réel 2024'!$C$8:$AO$502)</f>
        <v>49706.820000000007</v>
      </c>
      <c r="R35" s="245"/>
      <c r="S35" s="295">
        <f t="shared" si="13"/>
        <v>-4423.5900000000038</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9"/>
        <v>48.819654427645787</v>
      </c>
      <c r="F36" s="253">
        <f t="array" ref="F36">+SUMPRODUCT(('Budget original'!$A$8:$A$502=$A36)*('Budget original'!$C$3:$AO$3=F$2),'Budget original'!$C$8:$AO$502)</f>
        <v>22603.5</v>
      </c>
      <c r="G36" s="297"/>
      <c r="H36" s="290"/>
      <c r="I36" s="253"/>
      <c r="J36" s="252"/>
      <c r="K36" s="290">
        <f t="shared" si="10"/>
        <v>109.64126288659793</v>
      </c>
      <c r="L36" s="300">
        <f>SUMIFS(BV_Data_An_Cour!$P:$P,BV_Data_An_Cour!$U:$U,$B36,BV_Data_An_Cour!$V:$V,$C36,BV_Data_An_Cour!$W:$W,L$2)</f>
        <v>42540.81</v>
      </c>
      <c r="M36" s="41"/>
      <c r="N36" s="275">
        <f t="shared" si="11"/>
        <v>19937.309999999998</v>
      </c>
      <c r="O36" s="252"/>
      <c r="P36" s="290">
        <f t="shared" si="12"/>
        <v>163.15999999999997</v>
      </c>
      <c r="Q36" s="271">
        <f t="array" ref="Q36">+SUMPRODUCT(('Réel 2024'!$A$8:$A$502=$A36)*('Réel 2024'!$C$3:$AO$3=Q$2),'Réel 2024'!$C$8:$AO$502)</f>
        <v>62000.799999999988</v>
      </c>
      <c r="R36" s="252"/>
      <c r="S36" s="275">
        <f t="shared" si="13"/>
        <v>-19459.989999999991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9"/>
        <v>338.64204468649058</v>
      </c>
      <c r="F37" s="253">
        <f t="array" ref="F37">+SUMPRODUCT(('Budget original'!$A$8:$A$502=$A37)*('Budget original'!$C$3:$AO$3=F$2),'Budget original'!$C$8:$AO$502)</f>
        <v>156791.26668984513</v>
      </c>
      <c r="G37" s="297"/>
      <c r="H37" s="290"/>
      <c r="I37" s="253"/>
      <c r="J37" s="252"/>
      <c r="K37" s="290">
        <f t="shared" si="10"/>
        <v>454.26528350515463</v>
      </c>
      <c r="L37" s="850">
        <f>SUMIFS(BV_Data_An_Cour!$P:$P,BV_Data_An_Cour!$U:$U,$B37,BV_Data_An_Cour!$V:$V,$C37,BV_Data_An_Cour!$W:$W,L$2)</f>
        <v>176254.93</v>
      </c>
      <c r="M37" s="885"/>
      <c r="N37" s="860">
        <f t="shared" si="11"/>
        <v>19463.663310154865</v>
      </c>
      <c r="O37" s="252"/>
      <c r="P37" s="290">
        <f t="shared" si="12"/>
        <v>218.31036842105263</v>
      </c>
      <c r="Q37" s="255">
        <f t="array" ref="Q37">+SUMPRODUCT(('Réel 2024'!$A$8:$A$502=$A37)*('Réel 2024'!$C$3:$AO$3=Q$2),'Réel 2024'!$C$8:$AO$502)</f>
        <v>82957.94</v>
      </c>
      <c r="R37" s="252"/>
      <c r="S37" s="275">
        <f t="shared" si="13"/>
        <v>93296.989999999991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9"/>
        <v>0</v>
      </c>
      <c r="F38" s="253">
        <f t="array" ref="F38">+SUMPRODUCT(('Budget original'!$A$8:$A$502=$A38)*('Budget original'!$C$3:$AO$3=F$2),'Budget original'!$C$8:$AO$502)</f>
        <v>0</v>
      </c>
      <c r="G38" s="297"/>
      <c r="H38" s="290"/>
      <c r="I38" s="253"/>
      <c r="J38" s="252"/>
      <c r="K38" s="290">
        <f t="shared" si="10"/>
        <v>0</v>
      </c>
      <c r="L38" s="301">
        <f>SUMIFS(BV_Data_An_Cour!$P:$P,BV_Data_An_Cour!$U:$U,$B38,BV_Data_An_Cour!$V:$V,$C38,BV_Data_An_Cour!$W:$W,L$2)</f>
        <v>0</v>
      </c>
      <c r="M38" s="41"/>
      <c r="N38" s="275">
        <f t="shared" si="11"/>
        <v>0</v>
      </c>
      <c r="O38" s="252"/>
      <c r="P38" s="290">
        <f t="shared" si="12"/>
        <v>0</v>
      </c>
      <c r="Q38" s="255">
        <f t="array" ref="Q38">+SUMPRODUCT(('Réel 2024'!$A$8:$A$502=$A38)*('Réel 2024'!$C$3:$AO$3=Q$2),'Réel 2024'!$C$8:$AO$502)</f>
        <v>0</v>
      </c>
      <c r="R38" s="252"/>
      <c r="S38" s="275">
        <f t="shared" si="13"/>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9"/>
        <v>0</v>
      </c>
      <c r="F39" s="253">
        <f t="array" ref="F39">+SUMPRODUCT(('Budget original'!$A$8:$A$502=$A39)*('Budget original'!$C$3:$AO$3=F$2),'Budget original'!$C$8:$AO$502)</f>
        <v>0</v>
      </c>
      <c r="G39" s="297"/>
      <c r="H39" s="290"/>
      <c r="I39" s="253"/>
      <c r="J39" s="252"/>
      <c r="K39" s="290">
        <f t="shared" si="10"/>
        <v>0</v>
      </c>
      <c r="L39" s="301">
        <f>SUMIFS(BV_Data_An_Cour!$P:$P,BV_Data_An_Cour!$U:$U,$B39,BV_Data_An_Cour!$V:$V,$C39,BV_Data_An_Cour!$W:$W,L$2)</f>
        <v>0</v>
      </c>
      <c r="M39" s="41"/>
      <c r="N39" s="275">
        <f t="shared" si="11"/>
        <v>0</v>
      </c>
      <c r="O39" s="252"/>
      <c r="P39" s="290">
        <f t="shared" si="12"/>
        <v>0</v>
      </c>
      <c r="Q39" s="255">
        <f t="array" ref="Q39">+SUMPRODUCT(('Réel 2024'!$A$8:$A$502=$A39)*('Réel 2024'!$C$3:$AO$3=Q$2),'Réel 2024'!$C$8:$AO$502)</f>
        <v>0</v>
      </c>
      <c r="R39" s="252"/>
      <c r="S39" s="275">
        <f t="shared" si="13"/>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9"/>
        <v>0</v>
      </c>
      <c r="F40" s="253">
        <f t="array" ref="F40">+SUMPRODUCT(('Budget original'!$A$8:$A$502=$A40)*('Budget original'!$C$3:$AO$3=F$2),'Budget original'!$C$8:$AO$502)</f>
        <v>0</v>
      </c>
      <c r="G40" s="297"/>
      <c r="H40" s="290"/>
      <c r="I40" s="253"/>
      <c r="J40" s="252"/>
      <c r="K40" s="290">
        <f t="shared" si="10"/>
        <v>0</v>
      </c>
      <c r="L40" s="302">
        <f>SUMIFS(BV_Data_An_Cour!$P:$P,BV_Data_An_Cour!$U:$U,$B40,BV_Data_An_Cour!$V:$V,$C40,BV_Data_An_Cour!$W:$W,L$2)</f>
        <v>0</v>
      </c>
      <c r="M40" s="41"/>
      <c r="N40" s="275">
        <f t="shared" si="11"/>
        <v>0</v>
      </c>
      <c r="O40" s="252"/>
      <c r="P40" s="290">
        <f t="shared" si="12"/>
        <v>0</v>
      </c>
      <c r="Q40" s="255">
        <f t="array" ref="Q40">+SUMPRODUCT(('Réel 2024'!$A$8:$A$502=$A40)*('Réel 2024'!$C$3:$AO$3=Q$2),'Réel 2024'!$C$8:$AO$502)</f>
        <v>0</v>
      </c>
      <c r="R40" s="252"/>
      <c r="S40" s="275">
        <f t="shared" si="13"/>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0.45437318401673754</v>
      </c>
      <c r="F41" s="306">
        <f>SUM(F31:F40)</f>
        <v>737735.22342227923</v>
      </c>
      <c r="G41" s="307"/>
      <c r="H41" s="305"/>
      <c r="I41" s="306"/>
      <c r="J41" s="307" t="s">
        <v>119</v>
      </c>
      <c r="K41" s="305">
        <f>L41/L$27</f>
        <v>0.67123493136078849</v>
      </c>
      <c r="L41" s="306">
        <f>SUM(L31:L40)</f>
        <v>670700.86999999988</v>
      </c>
      <c r="M41" s="308"/>
      <c r="N41" s="306">
        <f t="shared" si="11"/>
        <v>-67034.353422279353</v>
      </c>
      <c r="O41" s="307" t="s">
        <v>119</v>
      </c>
      <c r="P41" s="305">
        <f>Q41/Q$27</f>
        <v>0.49422999963066855</v>
      </c>
      <c r="Q41" s="309">
        <f>SUM(Q31:Q40)</f>
        <v>608735</v>
      </c>
      <c r="R41" s="310"/>
      <c r="S41" s="306">
        <f t="shared" si="13"/>
        <v>61965.869999999879</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f t="array" ref="F42">+SUMPRODUCT(('Budget original'!$A$8:$A$502=$A42)*('Budget original'!$C$3:$AO$3=F$2),'Budget original'!$C$8:$AO$502)</f>
        <v>155496.5554487179</v>
      </c>
      <c r="G42" s="252"/>
      <c r="H42" s="41"/>
      <c r="I42" s="253"/>
      <c r="J42" s="252"/>
      <c r="K42" s="41"/>
      <c r="L42" s="255">
        <f>SUMIFS(BV_Data_An_Cour!$P:$P,BV_Data_An_Cour!$U:$U,$B42,BV_Data_An_Cour!$V:$V,$C42,BV_Data_An_Cour!$W:$W,L$2)</f>
        <v>94578.72</v>
      </c>
      <c r="M42" s="252"/>
      <c r="N42" s="275">
        <f t="shared" si="11"/>
        <v>-60917.835448717902</v>
      </c>
      <c r="O42" s="252"/>
      <c r="P42" s="41"/>
      <c r="Q42" s="255">
        <f t="array" ref="Q42">+SUMPRODUCT(('Réel 2024'!$A$8:$A$502=$A42)*('Réel 2024'!$C$3:$AO$3=Q$2),'Réel 2024'!$C$8:$AO$502)</f>
        <v>147609.15000000002</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f t="array" ref="F43">+SUMPRODUCT(('Budget original'!$A$8:$A$502=$A43)*('Budget original'!$C$3:$AO$3=F$2),'Budget original'!$C$8:$AO$502)</f>
        <v>134652.10647434875</v>
      </c>
      <c r="G43" s="297"/>
      <c r="H43" s="41"/>
      <c r="I43" s="247"/>
      <c r="J43" s="252"/>
      <c r="K43" s="560"/>
      <c r="L43" s="255">
        <f>SUMIFS(BV_Data_An_Cour!$P:$P,BV_Data_An_Cour!$U:$U,$B43,BV_Data_An_Cour!$V:$V,$C43,BV_Data_An_Cour!$W:$W,L$2)</f>
        <v>100622.19</v>
      </c>
      <c r="M43" s="252"/>
      <c r="N43" s="275">
        <f t="shared" si="11"/>
        <v>-34029.916474348749</v>
      </c>
      <c r="O43" s="252"/>
      <c r="P43" s="41"/>
      <c r="Q43" s="255">
        <f t="array" ref="Q43">+SUMPRODUCT(('Réel 2024'!$A$8:$A$502=$A43)*('Réel 2024'!$C$3:$AO$3=Q$2),'Réel 2024'!$C$8:$AO$502)</f>
        <v>89645.49</v>
      </c>
      <c r="R43" s="252"/>
      <c r="S43" s="275">
        <f t="shared" ref="S43:S53" si="14">L43-Q43</f>
        <v>10976.699999999997</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f t="array" ref="F44">+SUMPRODUCT(('Budget original'!$A$8:$A$502=$A44)*('Budget original'!$C$3:$AO$3=F$2),'Budget original'!$C$8:$AO$502)</f>
        <v>341.84999999999997</v>
      </c>
      <c r="G44" s="315"/>
      <c r="H44" s="314"/>
      <c r="I44" s="253"/>
      <c r="J44" s="240"/>
      <c r="K44" s="314"/>
      <c r="L44" s="271">
        <f>SUMIFS(BV_Data_An_Cour!$P:$P,BV_Data_An_Cour!$U:$U,$B44,BV_Data_An_Cour!$V:$V,$C44,BV_Data_An_Cour!$W:$W,L$2)</f>
        <v>21633.74</v>
      </c>
      <c r="M44" s="240"/>
      <c r="N44" s="316">
        <f t="shared" si="11"/>
        <v>21291.890000000003</v>
      </c>
      <c r="O44" s="240"/>
      <c r="P44" s="314"/>
      <c r="Q44" s="271">
        <f t="array" ref="Q44">+SUMPRODUCT(('Réel 2024'!$A$8:$A$502=$A44)*('Réel 2024'!$C$3:$AO$3=Q$2),'Réel 2024'!$C$8:$AO$502)</f>
        <v>11647.1</v>
      </c>
      <c r="R44" s="240"/>
      <c r="S44" s="316">
        <f t="shared" si="14"/>
        <v>9986.6400000000012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f t="array" ref="F45">+SUMPRODUCT(('Budget original'!$A$8:$A$502=$A45)*('Budget original'!$C$3:$AO$3=F$2),'Budget original'!$C$8:$AO$502)</f>
        <v>0</v>
      </c>
      <c r="G45" s="297"/>
      <c r="H45" s="41"/>
      <c r="I45" s="253"/>
      <c r="J45" s="252"/>
      <c r="K45" s="41"/>
      <c r="L45" s="255">
        <f>SUMIFS(BV_Data_An_Cour!$P:$P,BV_Data_An_Cour!$U:$U,$B45,BV_Data_An_Cour!$V:$V,$C45,BV_Data_An_Cour!$W:$W,L$2)</f>
        <v>0</v>
      </c>
      <c r="M45" s="252"/>
      <c r="N45" s="275">
        <f t="shared" si="11"/>
        <v>0</v>
      </c>
      <c r="O45" s="252"/>
      <c r="P45" s="41"/>
      <c r="Q45" s="255">
        <f t="array" ref="Q45">+SUMPRODUCT(('Réel 2024'!$A$8:$A$502=$A45)*('Réel 2024'!$C$3:$AO$3=Q$2),'Réel 2024'!$C$8:$AO$502)</f>
        <v>0</v>
      </c>
      <c r="R45" s="252"/>
      <c r="S45" s="275">
        <f t="shared" si="14"/>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f t="array" ref="F46">+SUMPRODUCT(('Budget original'!$A$8:$A$502=$A46)*('Budget original'!$C$3:$AO$3=F$2),'Budget original'!$C$8:$AO$502)</f>
        <v>0</v>
      </c>
      <c r="G46" s="297"/>
      <c r="H46" s="41"/>
      <c r="I46" s="253"/>
      <c r="J46" s="252"/>
      <c r="K46" s="41"/>
      <c r="L46" s="255">
        <f>SUMIFS(BV_Data_An_Cour!$P:$P,BV_Data_An_Cour!$U:$U,$B46,BV_Data_An_Cour!$V:$V,$C46,BV_Data_An_Cour!$W:$W,L$2)</f>
        <v>0</v>
      </c>
      <c r="M46" s="252"/>
      <c r="N46" s="275">
        <f t="shared" si="11"/>
        <v>0</v>
      </c>
      <c r="O46" s="252"/>
      <c r="P46" s="41"/>
      <c r="Q46" s="255">
        <f t="array" ref="Q46">+SUMPRODUCT(('Réel 2024'!$A$8:$A$502=$A46)*('Réel 2024'!$C$3:$AO$3=Q$2),'Réel 2024'!$C$8:$AO$502)</f>
        <v>0</v>
      </c>
      <c r="R46" s="252"/>
      <c r="S46" s="275">
        <f t="shared" si="14"/>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f t="array" ref="F47">+SUMPRODUCT(('Budget original'!$A$8:$A$502=$A47)*('Budget original'!$C$3:$AO$3=F$2),'Budget original'!$C$8:$AO$502)</f>
        <v>0</v>
      </c>
      <c r="G47" s="297"/>
      <c r="H47" s="41"/>
      <c r="I47" s="253"/>
      <c r="J47" s="252"/>
      <c r="K47" s="41"/>
      <c r="L47" s="255">
        <f>SUMIFS(BV_Data_An_Cour!$P:$P,BV_Data_An_Cour!$U:$U,$B47,BV_Data_An_Cour!$V:$V,$C47,BV_Data_An_Cour!$W:$W,L$2)</f>
        <v>0</v>
      </c>
      <c r="M47" s="252"/>
      <c r="N47" s="275">
        <f t="shared" si="11"/>
        <v>0</v>
      </c>
      <c r="O47" s="252"/>
      <c r="P47" s="41"/>
      <c r="Q47" s="255">
        <f t="array" ref="Q47">+SUMPRODUCT(('Réel 2024'!$A$8:$A$502=$A47)*('Réel 2024'!$C$3:$AO$3=Q$2),'Réel 2024'!$C$8:$AO$502)</f>
        <v>0</v>
      </c>
      <c r="R47" s="252"/>
      <c r="S47" s="275">
        <f t="shared" si="14"/>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f t="array" ref="F48">+SUMPRODUCT(('Budget original'!$A$8:$A$502=$A48)*('Budget original'!$C$3:$AO$3=F$2),'Budget original'!$C$8:$AO$502)</f>
        <v>0</v>
      </c>
      <c r="G48" s="297"/>
      <c r="H48" s="41"/>
      <c r="I48" s="253"/>
      <c r="J48" s="252"/>
      <c r="K48" s="41"/>
      <c r="L48" s="255">
        <f>SUMIFS(BV_Data_An_Cour!$P:$P,BV_Data_An_Cour!$U:$U,$B48,BV_Data_An_Cour!$V:$V,$C48,BV_Data_An_Cour!$W:$W,L$2)</f>
        <v>0</v>
      </c>
      <c r="M48" s="252"/>
      <c r="N48" s="275">
        <f t="shared" si="11"/>
        <v>0</v>
      </c>
      <c r="O48" s="252"/>
      <c r="P48" s="41"/>
      <c r="Q48" s="255">
        <f t="array" ref="Q48">+SUMPRODUCT(('Réel 2024'!$A$8:$A$502=$A48)*('Réel 2024'!$C$3:$AO$3=Q$2),'Réel 2024'!$C$8:$AO$502)</f>
        <v>0</v>
      </c>
      <c r="R48" s="252"/>
      <c r="S48" s="275">
        <f t="shared" si="14"/>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f t="array" ref="F49">+SUMPRODUCT(('Budget original'!$A$8:$A$502=$A49)*('Budget original'!$C$3:$AO$3=F$2),'Budget original'!$C$8:$AO$502)</f>
        <v>86106.300260299598</v>
      </c>
      <c r="G49" s="297"/>
      <c r="H49" s="41"/>
      <c r="I49" s="247"/>
      <c r="J49" s="252"/>
      <c r="K49" s="41"/>
      <c r="L49" s="247">
        <f>SUMIFS(BV_Data_An_Cour!$P:$P,BV_Data_An_Cour!$U:$U,$B49,BV_Data_An_Cour!$V:$V,$C49,BV_Data_An_Cour!$W:$W,L$2)</f>
        <v>85804.82</v>
      </c>
      <c r="M49" s="252"/>
      <c r="N49" s="275">
        <f t="shared" si="11"/>
        <v>-301.48026029959146</v>
      </c>
      <c r="O49" s="252"/>
      <c r="P49" s="41"/>
      <c r="Q49" s="247">
        <f t="array" ref="Q49">+SUMPRODUCT(('Réel 2024'!$A$8:$A$502=$A49)*('Réel 2024'!$C$3:$AO$3=Q$2),'Réel 2024'!$C$8:$AO$502)</f>
        <v>81458.850000000006</v>
      </c>
      <c r="R49" s="252"/>
      <c r="S49" s="275">
        <f t="shared" si="14"/>
        <v>4345.9700000000012</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f t="array" ref="F50">+SUMPRODUCT(('Budget original'!$A$8:$A$502=$A50)*('Budget original'!$C$3:$AO$3=F$2),'Budget original'!$C$8:$AO$502)</f>
        <v>104693.12278344798</v>
      </c>
      <c r="G50" s="315"/>
      <c r="H50" s="314"/>
      <c r="I50" s="253"/>
      <c r="J50" s="240"/>
      <c r="K50" s="314"/>
      <c r="L50" s="255">
        <f>SUMIFS(BV_Data_An_Cour!$P:$P,BV_Data_An_Cour!$U:$U,$B50,BV_Data_An_Cour!$V:$V,$C50,BV_Data_An_Cour!$W:$W,L$2)</f>
        <v>95249.02</v>
      </c>
      <c r="M50" s="240"/>
      <c r="N50" s="316">
        <f t="shared" si="11"/>
        <v>-9444.1027834479755</v>
      </c>
      <c r="O50" s="240"/>
      <c r="P50" s="314"/>
      <c r="Q50" s="255">
        <f t="array" ref="Q50">+SUMPRODUCT(('Réel 2024'!$A$8:$A$502=$A50)*('Réel 2024'!$C$3:$AO$3=Q$2),'Réel 2024'!$C$8:$AO$502)</f>
        <v>102645.73</v>
      </c>
      <c r="R50" s="240"/>
      <c r="S50" s="316">
        <f t="shared" si="14"/>
        <v>-7396.7099999999919</v>
      </c>
      <c r="T50" s="41"/>
      <c r="U50" s="253">
        <f>L50-Print_Mois!L50</f>
        <v>81115.290000000008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f t="array" ref="F51">+SUMPRODUCT(('Budget original'!$A$8:$A$502=$A51)*('Budget original'!$C$3:$AO$3=F$2),'Budget original'!$C$8:$AO$502)</f>
        <v>53939.717607993851</v>
      </c>
      <c r="G51" s="297"/>
      <c r="H51" s="41"/>
      <c r="I51" s="253"/>
      <c r="J51" s="252"/>
      <c r="K51" s="41"/>
      <c r="L51" s="255">
        <f>SUMIFS(BV_Data_An_Cour!$P:$P,BV_Data_An_Cour!$U:$U,$B51,BV_Data_An_Cour!$V:$V,$C51,BV_Data_An_Cour!$W:$W,L$2)</f>
        <v>45111.119999999995</v>
      </c>
      <c r="M51" s="252"/>
      <c r="N51" s="275">
        <f t="shared" si="11"/>
        <v>-8828.5976079938555</v>
      </c>
      <c r="O51" s="252"/>
      <c r="P51" s="41"/>
      <c r="Q51" s="255">
        <f t="array" ref="Q51">+SUMPRODUCT(('Réel 2024'!$A$8:$A$502=$A51)*('Réel 2024'!$C$3:$AO$3=Q$2),'Réel 2024'!$C$8:$AO$502)</f>
        <v>50180.93</v>
      </c>
      <c r="R51" s="252"/>
      <c r="S51" s="275">
        <f t="shared" si="14"/>
        <v>-5069.8100000000049</v>
      </c>
      <c r="T51" s="41"/>
      <c r="U51" s="253">
        <f>L51-Print_Mois!L51</f>
        <v>39107.949999999997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f t="array" ref="F52">+SUMPRODUCT(('Budget original'!$A$8:$A$502=$A52)*('Budget original'!$C$3:$AO$3=F$2),'Budget original'!$C$8:$AO$502)</f>
        <v>23518.020335412224</v>
      </c>
      <c r="G52" s="297"/>
      <c r="H52" s="41"/>
      <c r="I52" s="253"/>
      <c r="J52" s="252"/>
      <c r="K52" s="41"/>
      <c r="L52" s="255">
        <f>SUMIFS(BV_Data_An_Cour!$P:$P,BV_Data_An_Cour!$U:$U,$B52,BV_Data_An_Cour!$V:$V,$C52,BV_Data_An_Cour!$W:$W,L$2)</f>
        <v>16862.91</v>
      </c>
      <c r="M52" s="252"/>
      <c r="N52" s="275">
        <f t="shared" si="11"/>
        <v>-6655.1103354122242</v>
      </c>
      <c r="O52" s="252"/>
      <c r="P52" s="41"/>
      <c r="Q52" s="255">
        <f t="array" ref="Q52">+SUMPRODUCT(('Réel 2024'!$A$8:$A$502=$A52)*('Réel 2024'!$C$3:$AO$3=Q$2),'Réel 2024'!$C$8:$AO$502)</f>
        <v>19890.39</v>
      </c>
      <c r="R52" s="252"/>
      <c r="S52" s="275">
        <f t="shared" si="14"/>
        <v>-3027.4799999999996</v>
      </c>
      <c r="T52" s="41"/>
      <c r="U52" s="253">
        <f>L52-Print_Mois!L52</f>
        <v>14458.8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f t="array" ref="F53">+SUMPRODUCT(('Budget original'!$A$8:$A$502=$A53)*('Budget original'!$C$3:$AO$3=F$2),'Budget original'!$C$8:$AO$502)</f>
        <v>0</v>
      </c>
      <c r="G53" s="299"/>
      <c r="H53" s="317"/>
      <c r="I53" s="253"/>
      <c r="J53" s="245"/>
      <c r="K53" s="317"/>
      <c r="L53" s="255">
        <f>SUMIFS(BV_Data_An_Cour!$P:$P,BV_Data_An_Cour!$U:$U,$B53,BV_Data_An_Cour!$V:$V,$C53,BV_Data_An_Cour!$W:$W,L$2)</f>
        <v>0</v>
      </c>
      <c r="M53" s="245"/>
      <c r="N53" s="295">
        <f t="shared" si="11"/>
        <v>0</v>
      </c>
      <c r="O53" s="245"/>
      <c r="P53" s="317"/>
      <c r="Q53" s="255">
        <f t="array" ref="Q53">+SUMPRODUCT(('Réel 2024'!$A$8:$A$502=$A53)*('Réel 2024'!$C$3:$AO$3=Q$2),'Réel 2024'!$C$8:$AO$502)</f>
        <v>0</v>
      </c>
      <c r="R53" s="245"/>
      <c r="S53" s="295">
        <f t="shared" si="14"/>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0.34413425188570484</v>
      </c>
      <c r="F54" s="306">
        <f>+SUM(F42:F53)</f>
        <v>558747.67291022022</v>
      </c>
      <c r="G54" s="307"/>
      <c r="H54" s="305"/>
      <c r="I54" s="306"/>
      <c r="J54" s="307" t="s">
        <v>119</v>
      </c>
      <c r="K54" s="305">
        <f>L54/L$27</f>
        <v>0.46022869635997232</v>
      </c>
      <c r="L54" s="306">
        <f>+SUM(L42:L53)</f>
        <v>459862.51999999996</v>
      </c>
      <c r="M54" s="310"/>
      <c r="N54" s="306">
        <f>+SUM(N42:N53)</f>
        <v>-98885.152910220291</v>
      </c>
      <c r="O54" s="307" t="s">
        <v>119</v>
      </c>
      <c r="P54" s="305">
        <f>Q54/Q$27</f>
        <v>0.40844712696230318</v>
      </c>
      <c r="Q54" s="306">
        <f>+SUM(Q42:Q53)</f>
        <v>503077.64</v>
      </c>
      <c r="R54" s="310"/>
      <c r="S54" s="306">
        <f>+SUM(S42:S53)</f>
        <v>9815.3100000000013</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f t="array" ref="F55">+SUMPRODUCT(('Budget original'!$A$8:$A$502=$A55)*('Budget original'!$C$3:$AO$3=F$2),'Budget original'!$C$8:$AO$502)</f>
        <v>0</v>
      </c>
      <c r="G55" s="297"/>
      <c r="H55" s="41"/>
      <c r="I55" s="253"/>
      <c r="J55" s="252"/>
      <c r="K55" s="41"/>
      <c r="L55" s="255">
        <f>SUMIFS(BV_Data_An_Cour!$P:$P,BV_Data_An_Cour!$U:$U,$B55,BV_Data_An_Cour!$V:$V,$C55,BV_Data_An_Cour!$W:$W,L$2)</f>
        <v>0</v>
      </c>
      <c r="M55" s="252"/>
      <c r="N55" s="275">
        <f t="shared" ref="N55:N71" si="15">L55-F55</f>
        <v>0</v>
      </c>
      <c r="O55" s="252"/>
      <c r="P55" s="41"/>
      <c r="Q55" s="255">
        <f t="array" ref="Q55">+SUMPRODUCT(('Réel 2024'!$A$8:$A$502=$A55)*('Réel 2024'!$C$3:$AO$3=Q$2),'Réel 2024'!$C$8:$AO$502)</f>
        <v>0</v>
      </c>
      <c r="R55" s="252"/>
      <c r="S55" s="275">
        <f t="shared" ref="S55:S71" si="16">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f t="array" ref="F56">+SUMPRODUCT(('Budget original'!$A$8:$A$502=$A56)*('Budget original'!$C$3:$AO$3=F$2),'Budget original'!$C$8:$AO$502)</f>
        <v>0</v>
      </c>
      <c r="G56" s="297"/>
      <c r="H56" s="41"/>
      <c r="I56" s="253"/>
      <c r="J56" s="252"/>
      <c r="K56" s="41"/>
      <c r="L56" s="255">
        <f>SUMIFS(BV_Data_An_Cour!$P:$P,BV_Data_An_Cour!$U:$U,$B56,BV_Data_An_Cour!$V:$V,$C56,BV_Data_An_Cour!$W:$W,L$2)</f>
        <v>0</v>
      </c>
      <c r="M56" s="252"/>
      <c r="N56" s="275">
        <f t="shared" si="15"/>
        <v>0</v>
      </c>
      <c r="O56" s="252"/>
      <c r="P56" s="41"/>
      <c r="Q56" s="255">
        <f t="array" ref="Q56">+SUMPRODUCT(('Réel 2024'!$A$8:$A$502=$A56)*('Réel 2024'!$C$3:$AO$3=Q$2),'Réel 2024'!$C$8:$AO$502)</f>
        <v>0</v>
      </c>
      <c r="R56" s="252"/>
      <c r="S56" s="275">
        <f t="shared" si="16"/>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f t="array" ref="F57">+SUMPRODUCT(('Budget original'!$A$8:$A$502=$A57)*('Budget original'!$C$3:$AO$3=F$2),'Budget original'!$C$8:$AO$502)</f>
        <v>62667.835533333338</v>
      </c>
      <c r="G57" s="299"/>
      <c r="H57" s="317"/>
      <c r="I57" s="247"/>
      <c r="J57" s="245"/>
      <c r="K57" s="317"/>
      <c r="L57" s="247">
        <f>SUMIFS(BV_Data_An_Cour!$P:$P,BV_Data_An_Cour!$U:$U,$B57,BV_Data_An_Cour!$V:$V,$C57,BV_Data_An_Cour!$W:$W,L$2)</f>
        <v>49224.33</v>
      </c>
      <c r="M57" s="245"/>
      <c r="N57" s="295">
        <f t="shared" si="15"/>
        <v>-13443.505533333337</v>
      </c>
      <c r="O57" s="245"/>
      <c r="P57" s="317"/>
      <c r="Q57" s="247">
        <f t="array" ref="Q57">+SUMPRODUCT(('Réel 2024'!$A$8:$A$502=$A57)*('Réel 2024'!$C$3:$AO$3=Q$2),'Réel 2024'!$C$8:$AO$502)</f>
        <v>68002.81</v>
      </c>
      <c r="R57" s="245"/>
      <c r="S57" s="295">
        <f t="shared" si="16"/>
        <v>-18778.479999999996</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f t="array" ref="F58">+SUMPRODUCT(('Budget original'!$A$8:$A$502=$A58)*('Budget original'!$C$3:$AO$3=F$2),'Budget original'!$C$8:$AO$502)</f>
        <v>50334</v>
      </c>
      <c r="G58" s="297"/>
      <c r="H58" s="41"/>
      <c r="I58" s="253"/>
      <c r="J58" s="252"/>
      <c r="K58" s="41"/>
      <c r="L58" s="255">
        <f>SUMIFS(BV_Data_An_Cour!$P:$P,BV_Data_An_Cour!$U:$U,$B58,BV_Data_An_Cour!$V:$V,$C58,BV_Data_An_Cour!$W:$W,L$2)</f>
        <v>57672.05</v>
      </c>
      <c r="M58" s="252"/>
      <c r="N58" s="275">
        <f t="shared" si="15"/>
        <v>7338.0500000000029</v>
      </c>
      <c r="O58" s="252"/>
      <c r="P58" s="41"/>
      <c r="Q58" s="255">
        <f t="array" ref="Q58">+SUMPRODUCT(('Réel 2024'!$A$8:$A$502=$A58)*('Réel 2024'!$C$3:$AO$3=Q$2),'Réel 2024'!$C$8:$AO$502)</f>
        <v>49901.91</v>
      </c>
      <c r="R58" s="252"/>
      <c r="S58" s="275">
        <f t="shared" si="16"/>
        <v>7770.1399999999994</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f t="array" ref="F59">+SUMPRODUCT(('Budget original'!$A$8:$A$502=$A59)*('Budget original'!$C$3:$AO$3=F$2),'Budget original'!$C$8:$AO$502)</f>
        <v>10500</v>
      </c>
      <c r="G59" s="297"/>
      <c r="H59" s="41"/>
      <c r="I59" s="253"/>
      <c r="J59" s="252"/>
      <c r="K59" s="41"/>
      <c r="L59" s="255">
        <f>SUMIFS(BV_Data_An_Cour!$P:$P,BV_Data_An_Cour!$U:$U,$B59,BV_Data_An_Cour!$V:$V,$C59,BV_Data_An_Cour!$W:$W,L$2)</f>
        <v>7768.87</v>
      </c>
      <c r="M59" s="252"/>
      <c r="N59" s="275">
        <f t="shared" si="15"/>
        <v>-2731.13</v>
      </c>
      <c r="O59" s="252"/>
      <c r="P59" s="41"/>
      <c r="Q59" s="255">
        <f t="array" ref="Q59">+SUMPRODUCT(('Réel 2024'!$A$8:$A$502=$A59)*('Réel 2024'!$C$3:$AO$3=Q$2),'Réel 2024'!$C$8:$AO$502)</f>
        <v>10666.130000000001</v>
      </c>
      <c r="R59" s="252"/>
      <c r="S59" s="275">
        <f t="shared" si="16"/>
        <v>-2897.2600000000011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f t="array" ref="F60">+SUMPRODUCT(('Budget original'!$A$8:$A$502=$A60)*('Budget original'!$C$3:$AO$3=F$2),'Budget original'!$C$8:$AO$502)</f>
        <v>29083.839999999997</v>
      </c>
      <c r="G60" s="299"/>
      <c r="H60" s="317"/>
      <c r="I60" s="247"/>
      <c r="J60" s="245"/>
      <c r="K60" s="317"/>
      <c r="L60" s="247">
        <f>SUMIFS(BV_Data_An_Cour!$P:$P,BV_Data_An_Cour!$U:$U,$B60,BV_Data_An_Cour!$V:$V,$C60,BV_Data_An_Cour!$W:$W,L$2)</f>
        <v>31910.5</v>
      </c>
      <c r="M60" s="245"/>
      <c r="N60" s="295">
        <f t="shared" si="15"/>
        <v>2826.6600000000035</v>
      </c>
      <c r="O60" s="245"/>
      <c r="P60" s="317"/>
      <c r="Q60" s="247">
        <f t="array" ref="Q60">+SUMPRODUCT(('Réel 2024'!$A$8:$A$502=$A60)*('Réel 2024'!$C$3:$AO$3=Q$2),'Réel 2024'!$C$8:$AO$502)</f>
        <v>55199.59</v>
      </c>
      <c r="R60" s="245"/>
      <c r="S60" s="295">
        <f t="shared" si="16"/>
        <v>-23289.089999999997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f t="array" ref="F61">+SUMPRODUCT(('Budget original'!$A$8:$A$502=$A61)*('Budget original'!$C$3:$AO$3=F$2),'Budget original'!$C$8:$AO$502)</f>
        <v>490</v>
      </c>
      <c r="G61" s="297"/>
      <c r="H61" s="41"/>
      <c r="I61" s="253"/>
      <c r="J61" s="252"/>
      <c r="K61" s="41"/>
      <c r="L61" s="255">
        <f>SUMIFS(BV_Data_An_Cour!$P:$P,BV_Data_An_Cour!$U:$U,$B61,BV_Data_An_Cour!$V:$V,$C61,BV_Data_An_Cour!$W:$W,L$2)</f>
        <v>0</v>
      </c>
      <c r="M61" s="252"/>
      <c r="N61" s="275">
        <f t="shared" si="15"/>
        <v>-490</v>
      </c>
      <c r="O61" s="252"/>
      <c r="P61" s="41"/>
      <c r="Q61" s="255">
        <f t="array" ref="Q61">+SUMPRODUCT(('Réel 2024'!$A$8:$A$502=$A61)*('Réel 2024'!$C$3:$AO$3=Q$2),'Réel 2024'!$C$8:$AO$502)</f>
        <v>306.39</v>
      </c>
      <c r="R61" s="252"/>
      <c r="S61" s="275">
        <f t="shared" si="16"/>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f t="array" ref="F62">+SUMPRODUCT(('Budget original'!$A$8:$A$502=$A62)*('Budget original'!$C$3:$AO$3=F$2),'Budget original'!$C$8:$AO$502)</f>
        <v>0</v>
      </c>
      <c r="G62" s="297"/>
      <c r="H62" s="41"/>
      <c r="I62" s="253"/>
      <c r="J62" s="252"/>
      <c r="K62" s="41"/>
      <c r="L62" s="255">
        <f>SUMIFS(BV_Data_An_Cour!$P:$P,BV_Data_An_Cour!$U:$U,$B62,BV_Data_An_Cour!$V:$V,$C62,BV_Data_An_Cour!$W:$W,L$2)</f>
        <v>124.75</v>
      </c>
      <c r="M62" s="252"/>
      <c r="N62" s="275">
        <f t="shared" si="15"/>
        <v>124.75</v>
      </c>
      <c r="O62" s="252"/>
      <c r="P62" s="41"/>
      <c r="Q62" s="255">
        <f t="array" ref="Q62">+SUMPRODUCT(('Réel 2024'!$A$8:$A$502=$A62)*('Réel 2024'!$C$3:$AO$3=Q$2),'Réel 2024'!$C$8:$AO$502)</f>
        <v>623</v>
      </c>
      <c r="R62" s="252"/>
      <c r="S62" s="275">
        <f t="shared" si="16"/>
        <v>-498.25</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f t="array" ref="F63">+SUMPRODUCT(('Budget original'!$A$8:$A$502=$A63)*('Budget original'!$C$3:$AO$3=F$2),'Budget original'!$C$8:$AO$502)</f>
        <v>4165</v>
      </c>
      <c r="G63" s="297"/>
      <c r="H63" s="41"/>
      <c r="I63" s="253"/>
      <c r="J63" s="252"/>
      <c r="K63" s="41"/>
      <c r="L63" s="255">
        <f>SUMIFS(BV_Data_An_Cour!$P:$P,BV_Data_An_Cour!$U:$U,$B63,BV_Data_An_Cour!$V:$V,$C63,BV_Data_An_Cour!$W:$W,L$2)</f>
        <v>4944.38</v>
      </c>
      <c r="M63" s="252"/>
      <c r="N63" s="275">
        <f t="shared" si="15"/>
        <v>779.38000000000011</v>
      </c>
      <c r="O63" s="252"/>
      <c r="P63" s="41"/>
      <c r="Q63" s="255">
        <f t="array" ref="Q63">+SUMPRODUCT(('Réel 2024'!$A$8:$A$502=$A63)*('Réel 2024'!$C$3:$AO$3=Q$2),'Réel 2024'!$C$8:$AO$502)</f>
        <v>3479.2500000000005</v>
      </c>
      <c r="R63" s="252"/>
      <c r="S63" s="275">
        <f t="shared" si="16"/>
        <v>1465.1299999999997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f t="array" ref="F64">+SUMPRODUCT(('Budget original'!$A$8:$A$502=$A64)*('Budget original'!$C$3:$AO$3=F$2),'Budget original'!$C$8:$AO$502)</f>
        <v>3062.5</v>
      </c>
      <c r="G64" s="297"/>
      <c r="H64" s="41"/>
      <c r="I64" s="253"/>
      <c r="J64" s="252"/>
      <c r="K64" s="41"/>
      <c r="L64" s="255">
        <f>SUMIFS(BV_Data_An_Cour!$P:$P,BV_Data_An_Cour!$U:$U,$B64,BV_Data_An_Cour!$V:$V,$C64,BV_Data_An_Cour!$W:$W,L$2)</f>
        <v>1991.68</v>
      </c>
      <c r="M64" s="252"/>
      <c r="N64" s="275">
        <f t="shared" si="15"/>
        <v>-1070.82</v>
      </c>
      <c r="O64" s="252"/>
      <c r="P64" s="41"/>
      <c r="Q64" s="255">
        <f t="array" ref="Q64">+SUMPRODUCT(('Réel 2024'!$A$8:$A$502=$A64)*('Réel 2024'!$C$3:$AO$3=Q$2),'Réel 2024'!$C$8:$AO$502)</f>
        <v>2909.8100000000004</v>
      </c>
      <c r="R64" s="252"/>
      <c r="S64" s="275">
        <f t="shared" si="16"/>
        <v>-918.13000000000034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f t="array" ref="F65">+SUMPRODUCT(('Budget original'!$A$8:$A$502=$A65)*('Budget original'!$C$3:$AO$3=F$2),'Budget original'!$C$8:$AO$502)</f>
        <v>1595.44</v>
      </c>
      <c r="G65" s="297"/>
      <c r="H65" s="41"/>
      <c r="I65" s="253"/>
      <c r="J65" s="252"/>
      <c r="K65" s="41"/>
      <c r="L65" s="255">
        <f>SUMIFS(BV_Data_An_Cour!$P:$P,BV_Data_An_Cour!$U:$U,$B65,BV_Data_An_Cour!$V:$V,$C65,BV_Data_An_Cour!$W:$W,L$2)</f>
        <v>867.15</v>
      </c>
      <c r="M65" s="252"/>
      <c r="N65" s="275">
        <f t="shared" si="15"/>
        <v>-728.29000000000008</v>
      </c>
      <c r="O65" s="252"/>
      <c r="P65" s="41"/>
      <c r="Q65" s="255">
        <f t="array" ref="Q65">+SUMPRODUCT(('Réel 2024'!$A$8:$A$502=$A65)*('Réel 2024'!$C$3:$AO$3=Q$2),'Réel 2024'!$C$8:$AO$502)</f>
        <v>2064.9199999999996</v>
      </c>
      <c r="R65" s="252"/>
      <c r="S65" s="275">
        <f t="shared" si="16"/>
        <v>-1197.7699999999995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f t="array" ref="F66">+SUMPRODUCT(('Budget original'!$A$8:$A$502=$A66)*('Budget original'!$C$3:$AO$3=F$2),'Budget original'!$C$8:$AO$502)</f>
        <v>840</v>
      </c>
      <c r="G66" s="297"/>
      <c r="H66" s="41"/>
      <c r="I66" s="253"/>
      <c r="J66" s="252"/>
      <c r="K66" s="41"/>
      <c r="L66" s="255">
        <f>SUMIFS(BV_Data_An_Cour!$P:$P,BV_Data_An_Cour!$U:$U,$B66,BV_Data_An_Cour!$V:$V,$C66,BV_Data_An_Cour!$W:$W,L$2)</f>
        <v>1080.1600000000001</v>
      </c>
      <c r="M66" s="252"/>
      <c r="N66" s="275">
        <f t="shared" si="15"/>
        <v>240.16000000000008</v>
      </c>
      <c r="O66" s="252"/>
      <c r="P66" s="41"/>
      <c r="Q66" s="255">
        <f t="array" ref="Q66">+SUMPRODUCT(('Réel 2024'!$A$8:$A$502=$A66)*('Réel 2024'!$C$3:$AO$3=Q$2),'Réel 2024'!$C$8:$AO$502)</f>
        <v>590.04</v>
      </c>
      <c r="R66" s="252"/>
      <c r="S66" s="275">
        <f t="shared" si="16"/>
        <v>490.12000000000012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f t="array" ref="F67">+SUMPRODUCT(('Budget original'!$A$8:$A$502=$A67)*('Budget original'!$C$3:$AO$3=F$2),'Budget original'!$C$8:$AO$502)</f>
        <v>13416.666666666666</v>
      </c>
      <c r="G67" s="297"/>
      <c r="H67" s="41"/>
      <c r="I67" s="253"/>
      <c r="J67" s="252"/>
      <c r="K67" s="41"/>
      <c r="L67" s="255">
        <f>SUMIFS(BV_Data_An_Cour!$P:$P,BV_Data_An_Cour!$U:$U,$B67,BV_Data_An_Cour!$V:$V,$C67,BV_Data_An_Cour!$W:$W,L$2)</f>
        <v>13572.97</v>
      </c>
      <c r="M67" s="252"/>
      <c r="N67" s="275">
        <f t="shared" si="15"/>
        <v>156.30333333333328</v>
      </c>
      <c r="O67" s="252"/>
      <c r="P67" s="41"/>
      <c r="Q67" s="255">
        <f t="array" ref="Q67">+SUMPRODUCT(('Réel 2024'!$A$8:$A$502=$A67)*('Réel 2024'!$C$3:$AO$3=Q$2),'Réel 2024'!$C$8:$AO$502)</f>
        <v>15505.24</v>
      </c>
      <c r="R67" s="252"/>
      <c r="S67" s="275">
        <f t="shared" si="16"/>
        <v>-1932.2700000000004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f t="array" ref="F68">+SUMPRODUCT(('Budget original'!$A$8:$A$502=$A68)*('Budget original'!$C$3:$AO$3=F$2),'Budget original'!$C$8:$AO$502)</f>
        <v>25804.427316419464</v>
      </c>
      <c r="G68" s="297"/>
      <c r="H68" s="41"/>
      <c r="I68" s="253"/>
      <c r="J68" s="252"/>
      <c r="K68" s="41"/>
      <c r="L68" s="851">
        <f>SUMIFS(BV_Data_An_Cour!$P:$P,BV_Data_An_Cour!$U:$U,$B68,BV_Data_An_Cour!$V:$V,$C68,BV_Data_An_Cour!$W:$W,L$2)</f>
        <v>30015.360000000001</v>
      </c>
      <c r="M68" s="886"/>
      <c r="N68" s="860">
        <f t="shared" si="15"/>
        <v>4210.9326835805368</v>
      </c>
      <c r="O68" s="252"/>
      <c r="P68" s="41"/>
      <c r="Q68" s="255">
        <f t="array" ref="Q68">+SUMPRODUCT(('Réel 2024'!$A$8:$A$502=$A68)*('Réel 2024'!$C$3:$AO$3=Q$2),'Réel 2024'!$C$8:$AO$502)</f>
        <v>25272.27</v>
      </c>
      <c r="R68" s="252"/>
      <c r="S68" s="275">
        <f t="shared" si="16"/>
        <v>4743.09</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f t="array" ref="F69">+SUMPRODUCT(('Budget original'!$A$8:$A$502=$A69)*('Budget original'!$C$3:$AO$3=F$2),'Budget original'!$C$8:$AO$502)</f>
        <v>0</v>
      </c>
      <c r="G69" s="297"/>
      <c r="H69" s="41"/>
      <c r="I69" s="253"/>
      <c r="J69" s="252"/>
      <c r="K69" s="41"/>
      <c r="L69" s="255"/>
      <c r="M69" s="252"/>
      <c r="N69" s="275">
        <f t="shared" si="15"/>
        <v>0</v>
      </c>
      <c r="O69" s="252"/>
      <c r="P69" s="41"/>
      <c r="Q69" s="255">
        <f t="array" ref="Q69">+SUMPRODUCT(('Réel 2024'!$A$8:$A$502=$A69)*('Réel 2024'!$C$3:$AO$3=Q$2),'Réel 2024'!$C$8:$AO$502)</f>
        <v>0</v>
      </c>
      <c r="R69" s="252"/>
      <c r="S69" s="275">
        <f t="shared" si="16"/>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f t="array" ref="F70">+SUMPRODUCT(('Budget original'!$A$8:$A$502=$A70)*('Budget original'!$C$3:$AO$3=F$2),'Budget original'!$C$8:$AO$502)</f>
        <v>0</v>
      </c>
      <c r="G70" s="297"/>
      <c r="H70" s="41"/>
      <c r="I70" s="253"/>
      <c r="J70" s="252"/>
      <c r="K70" s="41"/>
      <c r="L70" s="255">
        <f>SUMIFS(BV_Data_An_Cour!$P:$P,BV_Data_An_Cour!$U:$U,$B70,BV_Data_An_Cour!$V:$V,$C70,BV_Data_An_Cour!$W:$W,L$2)</f>
        <v>0</v>
      </c>
      <c r="M70" s="252"/>
      <c r="N70" s="275">
        <f t="shared" si="15"/>
        <v>0</v>
      </c>
      <c r="O70" s="252"/>
      <c r="P70" s="41"/>
      <c r="Q70" s="255">
        <f t="array" ref="Q70">+SUMPRODUCT(('Réel 2024'!$A$8:$A$502=$A70)*('Réel 2024'!$C$3:$AO$3=Q$2),'Réel 2024'!$C$8:$AO$502)</f>
        <v>0</v>
      </c>
      <c r="R70" s="252"/>
      <c r="S70" s="275">
        <f t="shared" si="16"/>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f t="array" ref="F71">+SUMPRODUCT(('Budget original'!$A$8:$A$502=$A71)*('Budget original'!$C$3:$AO$3=F$2),'Budget original'!$C$8:$AO$502)</f>
        <v>0</v>
      </c>
      <c r="G71" s="297"/>
      <c r="H71" s="41"/>
      <c r="I71" s="253"/>
      <c r="J71" s="252"/>
      <c r="K71" s="41"/>
      <c r="L71" s="255">
        <f>SUMIFS(BV_Data_An_Cour!$P:$P,BV_Data_An_Cour!$U:$U,$B71,BV_Data_An_Cour!$V:$V,$C71,BV_Data_An_Cour!$W:$W,L$2)*0.32</f>
        <v>0</v>
      </c>
      <c r="M71" s="252"/>
      <c r="N71" s="275">
        <f t="shared" si="15"/>
        <v>0</v>
      </c>
      <c r="O71" s="252"/>
      <c r="P71" s="41"/>
      <c r="Q71" s="255">
        <f t="array" ref="Q71">+SUMPRODUCT(('Réel 2024'!$A$8:$A$502=$A71)*('Réel 2024'!$C$3:$AO$3=Q$2),'Réel 2024'!$C$8:$AO$502)</f>
        <v>0</v>
      </c>
      <c r="R71" s="252"/>
      <c r="S71" s="275">
        <f t="shared" si="16"/>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0.12438754900488821</v>
      </c>
      <c r="F72" s="306">
        <f>+SUM(F55:F71)</f>
        <v>201959.70951641945</v>
      </c>
      <c r="G72" s="307"/>
      <c r="H72" s="305"/>
      <c r="I72" s="306"/>
      <c r="J72" s="307" t="s">
        <v>119</v>
      </c>
      <c r="K72" s="305">
        <f>L72/L$27</f>
        <v>0.19933079555417493</v>
      </c>
      <c r="L72" s="306">
        <f>+SUM(L55:L71)</f>
        <v>199172.2</v>
      </c>
      <c r="M72" s="310"/>
      <c r="N72" s="306">
        <f>+SUM(N55:N71)</f>
        <v>-2787.5095164194609</v>
      </c>
      <c r="O72" s="307" t="s">
        <v>119</v>
      </c>
      <c r="P72" s="305">
        <f>Q72/Q$27</f>
        <v>0.19040714213275711</v>
      </c>
      <c r="Q72" s="306">
        <f>+SUM(Q55:Q71)</f>
        <v>234521.36000000002</v>
      </c>
      <c r="R72" s="310"/>
      <c r="S72" s="306">
        <f>+SUM(S55:S71)</f>
        <v>-35349.159999999989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0.9228949849073308</v>
      </c>
      <c r="F74" s="306">
        <f>F41+F54+F72</f>
        <v>1498442.6058489191</v>
      </c>
      <c r="G74" s="307"/>
      <c r="H74" s="305"/>
      <c r="I74" s="306"/>
      <c r="J74" s="307" t="s">
        <v>119</v>
      </c>
      <c r="K74" s="305">
        <f>L74/L$27</f>
        <v>1.3307944232749358</v>
      </c>
      <c r="L74" s="306">
        <f>L41+L54+L72</f>
        <v>1329735.5899999999</v>
      </c>
      <c r="M74" s="310"/>
      <c r="N74" s="319">
        <f t="shared" ref="N74:N82" si="17">L74-F74</f>
        <v>-168707.01584891928</v>
      </c>
      <c r="O74" s="307" t="s">
        <v>119</v>
      </c>
      <c r="P74" s="305">
        <f>Q74/Q$27</f>
        <v>1.0930842687257289</v>
      </c>
      <c r="Q74" s="306">
        <f>Q41+Q54+Q72</f>
        <v>1346334.0000000002</v>
      </c>
      <c r="R74" s="310"/>
      <c r="S74" s="319">
        <f>L74-Q74</f>
        <v>-16598.410000000382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f t="array" ref="F75">+SUMPRODUCT(('Budget original'!$A$8:$A$502=$A75)*('Budget original'!$C$3:$AO$3=F$2),'Budget original'!$C$8:$AO$502)</f>
        <v>70000</v>
      </c>
      <c r="G75" s="297"/>
      <c r="H75" s="41"/>
      <c r="I75" s="253"/>
      <c r="J75" s="252"/>
      <c r="K75" s="41"/>
      <c r="L75" s="255">
        <f>-SUMIFS(BV_Data_An_Cour!$P:$P,BV_Data_An_Cour!$U:$U,$B75,BV_Data_An_Cour!$V:$V,$C75,BV_Data_An_Cour!$W:$W,L$2)</f>
        <v>164910</v>
      </c>
      <c r="M75" s="252"/>
      <c r="N75" s="275">
        <f t="shared" si="17"/>
        <v>94910</v>
      </c>
      <c r="O75" s="252"/>
      <c r="P75" s="41"/>
      <c r="Q75" s="255">
        <f t="array" ref="Q75">+SUMPRODUCT(('Réel 2024'!$A$8:$A$502=$A75)*('Réel 2024'!$C$3:$AO$3=Q$2),'Réel 2024'!$C$8:$AO$502)</f>
        <v>12000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f t="array" ref="F76">+SUMPRODUCT(('Budget original'!$A$8:$A$502=$A76)*('Budget original'!$C$3:$AO$3=F$2),'Budget original'!$C$8:$AO$502)</f>
        <v>0</v>
      </c>
      <c r="G76" s="297"/>
      <c r="H76" s="41"/>
      <c r="I76" s="253"/>
      <c r="J76" s="252"/>
      <c r="K76" s="41"/>
      <c r="L76" s="255">
        <f>-SUMIFS(BV_Data_An_Cour!$P:$P,BV_Data_An_Cour!$U:$U,$B76,BV_Data_An_Cour!$V:$V,$C76,BV_Data_An_Cour!$W:$W,L$2)</f>
        <v>0</v>
      </c>
      <c r="M76" s="252"/>
      <c r="N76" s="275">
        <f t="shared" si="17"/>
        <v>0</v>
      </c>
      <c r="O76" s="252"/>
      <c r="P76" s="41"/>
      <c r="Q76" s="255">
        <f t="array" ref="Q76">+SUMPRODUCT(('Réel 2024'!$A$8:$A$502=$A76)*('Réel 2024'!$C$3:$AO$3=Q$2),'Réel 2024'!$C$8:$AO$502)</f>
        <v>0</v>
      </c>
      <c r="R76" s="252"/>
      <c r="S76" s="275">
        <f t="shared" ref="S76:S82" si="18">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f t="array" ref="F77">+SUMPRODUCT(('Budget original'!$A$8:$A$502=$A77)*('Budget original'!$C$3:$AO$3=F$2),'Budget original'!$C$8:$AO$502)</f>
        <v>0</v>
      </c>
      <c r="G77" s="297"/>
      <c r="H77" s="41"/>
      <c r="I77" s="253"/>
      <c r="J77" s="252"/>
      <c r="K77" s="41"/>
      <c r="L77" s="255">
        <f>-SUMIFS(BV_Data_An_Cour!$P:$P,BV_Data_An_Cour!$U:$U,$B77,BV_Data_An_Cour!$V:$V,$C77,BV_Data_An_Cour!$W:$W,L$2)</f>
        <v>0</v>
      </c>
      <c r="M77" s="252"/>
      <c r="N77" s="275">
        <f t="shared" si="17"/>
        <v>0</v>
      </c>
      <c r="O77" s="252"/>
      <c r="P77" s="41"/>
      <c r="Q77" s="255">
        <f t="array" ref="Q77">+SUMPRODUCT(('Réel 2024'!$A$8:$A$502=$A77)*('Réel 2024'!$C$3:$AO$3=Q$2),'Réel 2024'!$C$8:$AO$502)</f>
        <v>0</v>
      </c>
      <c r="R77" s="252"/>
      <c r="S77" s="275">
        <f t="shared" si="18"/>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f t="array" ref="F78">+SUMPRODUCT(('Budget original'!$A$8:$A$502=$A78)*('Budget original'!$C$3:$AO$3=F$2),'Budget original'!$C$8:$AO$502)</f>
        <v>626179.79233426007</v>
      </c>
      <c r="G78" s="297"/>
      <c r="H78" s="41"/>
      <c r="I78" s="253"/>
      <c r="J78" s="252"/>
      <c r="K78" s="41"/>
      <c r="L78" s="255">
        <f>-SUMIFS(BV_Data_An_Cour!$P:$P,BV_Data_An_Cour!$U:$U,$B78,BV_Data_An_Cour!$V:$V,$C78,BV_Data_An_Cour!$W:$W,L$2)</f>
        <v>612341.85</v>
      </c>
      <c r="M78" s="252"/>
      <c r="N78" s="275">
        <f t="shared" si="17"/>
        <v>-13837.942334260093</v>
      </c>
      <c r="O78" s="252"/>
      <c r="P78" s="41"/>
      <c r="Q78" s="255">
        <f t="array" ref="Q78">+SUMPRODUCT(('Réel 2024'!$A$8:$A$502=$A78)*('Réel 2024'!$C$3:$AO$3=Q$2),'Réel 2024'!$C$8:$AO$502)</f>
        <v>503120.4</v>
      </c>
      <c r="R78" s="252"/>
      <c r="S78" s="275">
        <f t="shared" si="18"/>
        <v>109221.44999999995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f t="array" ref="F79">+SUMPRODUCT(('Budget original'!$A$8:$A$502=$A79)*('Budget original'!$C$3:$AO$3=F$2),'Budget original'!$C$8:$AO$502)</f>
        <v>0</v>
      </c>
      <c r="G79" s="297"/>
      <c r="H79" s="41"/>
      <c r="I79" s="253"/>
      <c r="J79" s="252"/>
      <c r="K79" s="41"/>
      <c r="L79" s="255">
        <f>-SUMIFS(BV_Data_An_Cour!$P:$P,BV_Data_An_Cour!$U:$U,$B79,BV_Data_An_Cour!$V:$V,$C79,BV_Data_An_Cour!$W:$W,L$2)</f>
        <v>0</v>
      </c>
      <c r="M79" s="252"/>
      <c r="N79" s="275">
        <f t="shared" si="17"/>
        <v>0</v>
      </c>
      <c r="O79" s="252"/>
      <c r="P79" s="41"/>
      <c r="Q79" s="255">
        <f t="array" ref="Q79">+SUMPRODUCT(('Réel 2024'!$A$8:$A$502=$A79)*('Réel 2024'!$C$3:$AO$3=Q$2),'Réel 2024'!$C$8:$AO$502)</f>
        <v>0</v>
      </c>
      <c r="R79" s="252"/>
      <c r="S79" s="275">
        <f t="shared" si="18"/>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f t="array" ref="F80">+SUMPRODUCT(('Budget original'!$A$8:$A$502=$A80)*('Budget original'!$C$3:$AO$3=F$2),'Budget original'!$C$8:$AO$502)</f>
        <v>0</v>
      </c>
      <c r="G80" s="297"/>
      <c r="H80" s="41"/>
      <c r="I80" s="253"/>
      <c r="J80" s="252"/>
      <c r="K80" s="41"/>
      <c r="L80" s="255">
        <f>-SUMIFS(BV_Data_An_Cour!$P:$P,BV_Data_An_Cour!$U:$U,$B80,BV_Data_An_Cour!$V:$V,$C80,BV_Data_An_Cour!$W:$W,L$2)</f>
        <v>0</v>
      </c>
      <c r="M80" s="252"/>
      <c r="N80" s="275">
        <f t="shared" si="17"/>
        <v>0</v>
      </c>
      <c r="O80" s="252"/>
      <c r="P80" s="41"/>
      <c r="Q80" s="255">
        <f t="array" ref="Q80">+SUMPRODUCT(('Réel 2024'!$A$8:$A$502=$A80)*('Réel 2024'!$C$3:$AO$3=Q$2),'Réel 2024'!$C$8:$AO$502)</f>
        <v>0</v>
      </c>
      <c r="R80" s="252"/>
      <c r="S80" s="275">
        <f t="shared" si="18"/>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f t="array" ref="F81">+SUMPRODUCT(('Budget original'!$A$8:$A$502=$A81)*('Budget original'!$C$3:$AO$3=F$2),'Budget original'!$C$8:$AO$502)</f>
        <v>0</v>
      </c>
      <c r="G81" s="297"/>
      <c r="H81" s="41"/>
      <c r="I81" s="253"/>
      <c r="J81" s="252"/>
      <c r="K81" s="41"/>
      <c r="L81" s="255">
        <f>-SUMIFS(BV_Data_An_Cour!$P:$P,BV_Data_An_Cour!$U:$U,$B81,BV_Data_An_Cour!$V:$V,$C81,BV_Data_An_Cour!$W:$W,L$2)</f>
        <v>0</v>
      </c>
      <c r="M81" s="252"/>
      <c r="N81" s="275">
        <f t="shared" si="17"/>
        <v>0</v>
      </c>
      <c r="O81" s="252"/>
      <c r="P81" s="41"/>
      <c r="Q81" s="255">
        <f t="array" ref="Q81">+SUMPRODUCT(('Réel 2024'!$A$8:$A$502=$A81)*('Réel 2024'!$C$3:$AO$3=Q$2),'Réel 2024'!$C$8:$AO$502)</f>
        <v>0</v>
      </c>
      <c r="R81" s="252"/>
      <c r="S81" s="275">
        <f t="shared" si="18"/>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f t="array" ref="F82">+SUMPRODUCT(('Budget original'!$A$8:$A$502=$A82)*('Budget original'!$C$3:$AO$3=F$2),'Budget original'!$C$8:$AO$502)</f>
        <v>210688.14999999997</v>
      </c>
      <c r="G82" s="297"/>
      <c r="H82" s="41"/>
      <c r="I82" s="253"/>
      <c r="J82" s="252"/>
      <c r="K82" s="41"/>
      <c r="L82" s="255">
        <f>-SUMIFS(BV_Data_An_Cour!$P:$P,BV_Data_An_Cour!$U:$U,$B82,BV_Data_An_Cour!$V:$V,$C82,BV_Data_An_Cour!$W:$W,L$2)</f>
        <v>219284</v>
      </c>
      <c r="M82" s="252"/>
      <c r="N82" s="275">
        <f t="shared" si="17"/>
        <v>8595.8500000000349</v>
      </c>
      <c r="O82" s="252"/>
      <c r="P82" s="41"/>
      <c r="Q82" s="255">
        <f t="array" ref="Q82">+SUMPRODUCT(('Réel 2024'!$A$8:$A$502=$A82)*('Réel 2024'!$C$3:$AO$3=Q$2),'Réel 2024'!$C$8:$AO$502)</f>
        <v>178065</v>
      </c>
      <c r="R82" s="252"/>
      <c r="S82" s="275">
        <f t="shared" si="18"/>
        <v>41219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906867.94233426009</v>
      </c>
      <c r="G83" s="307"/>
      <c r="H83" s="305"/>
      <c r="I83" s="306"/>
      <c r="J83" s="307"/>
      <c r="K83" s="305"/>
      <c r="L83" s="306">
        <f>+SUM(L75:L82)</f>
        <v>996535.85</v>
      </c>
      <c r="M83" s="310"/>
      <c r="N83" s="306">
        <f>+SUM(N75:N82)</f>
        <v>89667.907665739942</v>
      </c>
      <c r="O83" s="307"/>
      <c r="P83" s="305"/>
      <c r="Q83" s="306">
        <f>+SUM(Q75:Q82)</f>
        <v>693185.4</v>
      </c>
      <c r="R83" s="310"/>
      <c r="S83" s="306">
        <f>+SUM(S75:S82)</f>
        <v>150440.44999999995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1032058.1770076891</v>
      </c>
      <c r="G85" s="335"/>
      <c r="H85" s="333"/>
      <c r="I85" s="334"/>
      <c r="J85" s="335"/>
      <c r="K85" s="332"/>
      <c r="L85" s="334">
        <f>L27-L74+L83</f>
        <v>666004.61999999906</v>
      </c>
      <c r="M85" s="335"/>
      <c r="N85" s="334">
        <f>N27-N41-N54-N72+N83</f>
        <v>-366053.55700769019</v>
      </c>
      <c r="O85" s="335"/>
      <c r="P85" s="332"/>
      <c r="Q85" s="334">
        <f>Q27-Q74+Q83</f>
        <v>578535.02999999875</v>
      </c>
      <c r="R85" s="335"/>
      <c r="S85" s="334">
        <f>L85-Q85</f>
        <v>87469.590000000317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Juillet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8" t="s">
        <v>343</v>
      </c>
      <c r="E91" s="1179"/>
      <c r="F91" s="1180"/>
      <c r="G91" s="1181"/>
      <c r="H91" s="1179"/>
      <c r="I91" s="1180"/>
      <c r="J91" s="1181" t="s">
        <v>344</v>
      </c>
      <c r="K91" s="1179"/>
      <c r="L91" s="1180"/>
      <c r="M91" s="1181" t="s">
        <v>3255</v>
      </c>
      <c r="N91" s="1180"/>
      <c r="O91" s="1178" t="s">
        <v>345</v>
      </c>
      <c r="P91" s="1179"/>
      <c r="Q91" s="1180"/>
      <c r="R91" s="1182" t="s">
        <v>3257</v>
      </c>
      <c r="S91" s="118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19">+B93&amp;C93</f>
        <v>Véhicules usagésVentes nettes</v>
      </c>
      <c r="B93" s="41" t="s">
        <v>152</v>
      </c>
      <c r="C93" s="245" t="s">
        <v>96</v>
      </c>
      <c r="D93" s="249"/>
      <c r="E93" s="249"/>
      <c r="F93" s="247">
        <f t="array" ref="F93">+SUMPRODUCT(('Budget original'!$A$8:$A$502=$A93)*('Budget original'!$C$3:$AO$3=F$2),'Budget original'!$C$8:$AO$502)</f>
        <v>10219837.72584996</v>
      </c>
      <c r="G93" s="266"/>
      <c r="H93" s="249"/>
      <c r="I93" s="247"/>
      <c r="J93" s="245"/>
      <c r="K93" s="249"/>
      <c r="L93" s="247">
        <f>-SUMIFS(BV_Data_An_Cour!$P:$P,BV_Data_An_Cour!$X:$X,"Oui",BV_Data_An_Cour!$U:$U,$B93)</f>
        <v>9374312.8000000007</v>
      </c>
      <c r="M93" s="341"/>
      <c r="N93" s="342"/>
      <c r="O93" s="245"/>
      <c r="P93" s="249"/>
      <c r="Q93" s="247">
        <f t="array" ref="Q93">+SUMPRODUCT(('Réel 2024'!$A$8:$A$502=$A93)*('Réel 2024'!$C$3:$AO$3=Q$2),'Réel 2024'!$C$8:$AO$502)</f>
        <v>7968673.879999999</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19"/>
        <v>Véhicules usagésCertifié</v>
      </c>
      <c r="B94" s="41" t="s">
        <v>152</v>
      </c>
      <c r="C94" s="252" t="s">
        <v>153</v>
      </c>
      <c r="D94" s="253">
        <f t="array" ref="D94">+SUMPRODUCT(('Budget original'!$A$8:$A$502=$A94)*('Budget original'!$C$3:$AO$3=D$2),'Budget original'!$C$8:$AO$502)</f>
        <v>197</v>
      </c>
      <c r="E94" s="253">
        <f t="shared" ref="E94:E101" si="20">IF(D94=0,0,F94/D94)</f>
        <v>1500</v>
      </c>
      <c r="F94" s="253">
        <f t="array" ref="F94">+SUMPRODUCT(('Budget original'!$A$8:$A$502=$A94)*('Budget original'!$C$3:$AO$3=F$2),'Budget original'!$C$8:$AO$502)</f>
        <v>295500</v>
      </c>
      <c r="G94" s="254"/>
      <c r="H94" s="253"/>
      <c r="I94" s="253"/>
      <c r="J94" s="254">
        <f>-SUMIFS(BV_Data_An_Cour!$P:$P,BV_Data_An_Cour!$U:$U,$B94,BV_Data_An_Cour!$V:$V,$C94,BV_Data_An_Cour!$W:$W,J$2)</f>
        <v>147</v>
      </c>
      <c r="K94" s="253">
        <f>IF(J94=0,0,L94/J94)</f>
        <v>846.87006802721066</v>
      </c>
      <c r="L94" s="255">
        <f>-SUMIFS(BV_Data_An_Cour!$P:$P,BV_Data_An_Cour!$U:$U,$B94,BV_Data_An_Cour!$V:$V,$C94,BV_Data_An_Cour!$W:$W,$L2)</f>
        <v>124489.89999999997</v>
      </c>
      <c r="M94" s="254">
        <f>J94-D94</f>
        <v>-50</v>
      </c>
      <c r="N94" s="255">
        <f>L94-F94</f>
        <v>-171010.10000000003</v>
      </c>
      <c r="O94" s="254">
        <f t="array" ref="O94">+SUMPRODUCT(('Réel 2024'!$A$8:$A$502=$A94)*('Réel 2024'!$C$3:$AO$3=O$2),'Réel 2024'!$C$8:$AO$502)</f>
        <v>174</v>
      </c>
      <c r="P94" s="253">
        <f t="shared" ref="P94:P101" si="21">IF(O94=0,0,Q94/O94)</f>
        <v>1369.9351724137903</v>
      </c>
      <c r="Q94" s="255">
        <f t="array" ref="Q94">+SUMPRODUCT(('Réel 2024'!$A$8:$A$502=$A94)*('Réel 2024'!$C$3:$AO$3=Q$2),'Réel 2024'!$C$8:$AO$502)</f>
        <v>238368.71999999951</v>
      </c>
      <c r="R94" s="254">
        <f>J94-O94</f>
        <v>-27</v>
      </c>
      <c r="S94" s="255">
        <f>L94-Q94</f>
        <v>-113878.81999999954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19"/>
        <v>Véhicules usagésNon Certifié</v>
      </c>
      <c r="B95" s="41" t="s">
        <v>152</v>
      </c>
      <c r="C95" s="252" t="s">
        <v>154</v>
      </c>
      <c r="D95" s="253">
        <f t="array" ref="D95">+SUMPRODUCT(('Budget original'!$A$8:$A$502=$A95)*('Budget original'!$C$3:$AO$3=D$2),'Budget original'!$C$8:$AO$502)</f>
        <v>60</v>
      </c>
      <c r="E95" s="975">
        <f t="shared" si="20"/>
        <v>1500</v>
      </c>
      <c r="F95" s="253">
        <f t="array" ref="F95">+SUMPRODUCT(('Budget original'!$A$8:$A$502=$A95)*('Budget original'!$C$3:$AO$3=F$2),'Budget original'!$C$8:$AO$502)</f>
        <v>90000</v>
      </c>
      <c r="G95" s="254"/>
      <c r="H95" s="253"/>
      <c r="I95" s="253"/>
      <c r="J95" s="254">
        <f>-SUMIFS(BV_Data_An_Cour!$P:$P,BV_Data_An_Cour!$U:$U,$B95,BV_Data_An_Cour!$V:$V,$C95,BV_Data_An_Cour!$W:$W,J$2)</f>
        <v>20</v>
      </c>
      <c r="K95" s="253">
        <f>IF(J95=0,0,L95/J95)</f>
        <v>1039.0259999999992</v>
      </c>
      <c r="L95" s="255">
        <f>-SUMIFS(BV_Data_An_Cour!$P:$P,BV_Data_An_Cour!$U:$U,$B95,BV_Data_An_Cour!$V:$V,$C95,BV_Data_An_Cour!$W:$W,$L2)</f>
        <v>20780.519999999982</v>
      </c>
      <c r="M95" s="254">
        <f>J95-D95</f>
        <v>-40</v>
      </c>
      <c r="N95" s="255">
        <f>L95-F95</f>
        <v>-69219.48000000001</v>
      </c>
      <c r="O95" s="254">
        <f t="array" ref="O95">+SUMPRODUCT(('Réel 2024'!$A$8:$A$502=$A95)*('Réel 2024'!$C$3:$AO$3=O$2),'Réel 2024'!$C$8:$AO$502)</f>
        <v>8</v>
      </c>
      <c r="P95" s="253">
        <f t="shared" si="21"/>
        <v>574.73749999999757</v>
      </c>
      <c r="Q95" s="255">
        <f t="array" ref="Q95">+SUMPRODUCT(('Réel 2024'!$A$8:$A$502=$A95)*('Réel 2024'!$C$3:$AO$3=Q$2),'Réel 2024'!$C$8:$AO$502)</f>
        <v>4597.8999999999805</v>
      </c>
      <c r="R95" s="254">
        <f>J95-O95</f>
        <v>12</v>
      </c>
      <c r="S95" s="255">
        <f>L95-Q95</f>
        <v>16182.620000000003</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19"/>
        <v>Véhicules usagésAutres marques</v>
      </c>
      <c r="B96" s="41" t="s">
        <v>152</v>
      </c>
      <c r="C96" s="886" t="s">
        <v>3802</v>
      </c>
      <c r="D96" s="253">
        <f t="array" ref="D96">+SUMPRODUCT(('Budget original'!$A$8:$A$502=$A96)*('Budget original'!$C$3:$AO$3=D$2),'Budget original'!$C$8:$AO$502)</f>
        <v>60</v>
      </c>
      <c r="E96" s="977">
        <f t="shared" si="20"/>
        <v>1500</v>
      </c>
      <c r="F96" s="253">
        <f t="array" ref="F96">+SUMPRODUCT(('Budget original'!$A$8:$A$502=$A96)*('Budget original'!$C$3:$AO$3=F$2),'Budget original'!$C$8:$AO$502)</f>
        <v>90000</v>
      </c>
      <c r="G96" s="976"/>
      <c r="H96" s="253"/>
      <c r="I96" s="253"/>
      <c r="J96" s="976">
        <f>-SUMIFS(BV_Data_An_Cour!$P:$P,BV_Data_An_Cour!$U:$U,$B96,BV_Data_An_Cour!$V:$V,$C96,BV_Data_An_Cour!$W:$W,J$2)</f>
        <v>13</v>
      </c>
      <c r="K96" s="253">
        <f>IF(J96=0,0,L96/J96)</f>
        <v>2883.3038461538472</v>
      </c>
      <c r="L96" s="851">
        <f>-SUMIFS(BV_Data_An_Cour!$P:$P,BV_Data_An_Cour!$U:$U,$B96,BV_Data_An_Cour!$V:$V,$C96,BV_Data_An_Cour!$W:$W,$L2)</f>
        <v>37482.950000000012</v>
      </c>
      <c r="M96" s="976">
        <f>J96-D96</f>
        <v>-47</v>
      </c>
      <c r="N96" s="851">
        <f>L96-F96</f>
        <v>-52517.049999999988</v>
      </c>
      <c r="O96" s="976">
        <f t="array" ref="O96">+SUMPRODUCT(('Réel 2024'!$A$8:$A$502=$A96)*('Réel 2024'!$C$3:$AO$3=O$2),'Réel 2024'!$C$8:$AO$502)</f>
        <v>7</v>
      </c>
      <c r="P96" s="253">
        <f t="shared" si="21"/>
        <v>2353.299999999997</v>
      </c>
      <c r="Q96" s="851">
        <f t="array" ref="Q96">+SUMPRODUCT(('Réel 2024'!$A$8:$A$502=$A96)*('Réel 2024'!$C$3:$AO$3=Q$2),'Réel 2024'!$C$8:$AO$502)</f>
        <v>16473.09999999998</v>
      </c>
      <c r="R96" s="976">
        <f>J96-O96</f>
        <v>6</v>
      </c>
      <c r="S96" s="851">
        <f>L96-Q96</f>
        <v>21009.850000000031</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19"/>
        <v>Véhicules usagésTotal Usagés</v>
      </c>
      <c r="B97" s="41" t="s">
        <v>152</v>
      </c>
      <c r="C97" s="258" t="s">
        <v>155</v>
      </c>
      <c r="D97" s="259">
        <f>+D95+D94+D96</f>
        <v>317</v>
      </c>
      <c r="E97" s="253">
        <f t="shared" si="20"/>
        <v>1500</v>
      </c>
      <c r="F97" s="260">
        <f>+F94+F95+F96</f>
        <v>475500</v>
      </c>
      <c r="G97" s="261"/>
      <c r="H97" s="259"/>
      <c r="I97" s="260"/>
      <c r="J97" s="261">
        <f>+J94+J95+J96</f>
        <v>180</v>
      </c>
      <c r="K97" s="259">
        <f>IF(J97&lt;=0,0,L97/J97)</f>
        <v>1015.2964999999998</v>
      </c>
      <c r="L97" s="260">
        <f>+L94+L95+L96</f>
        <v>182753.36999999997</v>
      </c>
      <c r="M97" s="261">
        <f>J97-D97</f>
        <v>-137</v>
      </c>
      <c r="N97" s="260">
        <f>L97-F97</f>
        <v>-292746.63</v>
      </c>
      <c r="O97" s="261">
        <f>+O95+O94+O96</f>
        <v>189</v>
      </c>
      <c r="P97" s="259">
        <f t="shared" si="21"/>
        <v>1372.6969312169285</v>
      </c>
      <c r="Q97" s="260">
        <f>+Q94+Q95+Q96</f>
        <v>259439.71999999948</v>
      </c>
      <c r="R97" s="261">
        <f>R94+R95</f>
        <v>-15</v>
      </c>
      <c r="S97" s="260">
        <f>S94+S95</f>
        <v>-97696.199999999546</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19"/>
        <v>Véhicules usagés</v>
      </c>
      <c r="B98" s="41" t="s">
        <v>152</v>
      </c>
      <c r="C98" s="252"/>
      <c r="D98" s="41"/>
      <c r="E98" s="253"/>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19"/>
        <v>Véhicules usagésRachat bail</v>
      </c>
      <c r="B99" s="41" t="s">
        <v>152</v>
      </c>
      <c r="C99" s="886" t="s">
        <v>104</v>
      </c>
      <c r="D99" s="253">
        <f t="array" ref="D99">+SUMPRODUCT(('Budget original'!$A$8:$A$502=$A99)*('Budget original'!$C$3:$AO$3=D$2),'Budget original'!$C$8:$AO$502)</f>
        <v>0</v>
      </c>
      <c r="E99" s="253">
        <f>IF(D99=0,0,F99/D99)</f>
        <v>0</v>
      </c>
      <c r="F99" s="253">
        <f t="array" ref="F99">+SUMPRODUCT(('Budget original'!$A$8:$A$502=$A99)*('Budget original'!$C$3:$AO$3=F$2),'Budget original'!$C$8:$AO$502)</f>
        <v>63876.651982378855</v>
      </c>
      <c r="G99" s="253"/>
      <c r="H99" s="253"/>
      <c r="I99" s="253"/>
      <c r="J99" s="254"/>
      <c r="K99" s="253"/>
      <c r="L99" s="255">
        <f>-SUMIFS(BV_Data_An_Cour!$P:$P,BV_Data_An_Cour!$U:$U,$B99,BV_Data_An_Cour!$V:$V,$C99,BV_Data_An_Cour!$W:$W,L$2)</f>
        <v>38859.630000000121</v>
      </c>
      <c r="M99" s="254"/>
      <c r="N99" s="255">
        <f>L99-F99</f>
        <v>-25017.021982378734</v>
      </c>
      <c r="O99" s="254"/>
      <c r="P99" s="253"/>
      <c r="Q99" s="255">
        <f t="array" ref="Q99">+SUMPRODUCT(('Réel 2024'!$A$8:$A$502=$A99)*('Réel 2024'!$C$3:$AO$3=Q$2),'Réel 2024'!$C$8:$AO$502)</f>
        <v>61119.409999999873</v>
      </c>
      <c r="R99" s="254">
        <f>J99-O99</f>
        <v>0</v>
      </c>
      <c r="S99" s="255">
        <f>L99-Q99</f>
        <v>-22259.779999999751</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19"/>
        <v>Véhicules usagés</v>
      </c>
      <c r="B100" s="41" t="s">
        <v>152</v>
      </c>
      <c r="C100" s="252"/>
      <c r="D100" s="253"/>
      <c r="E100" s="253"/>
      <c r="F100" s="253"/>
      <c r="G100" s="252"/>
      <c r="H100" s="253"/>
      <c r="I100" s="253"/>
      <c r="J100" s="254"/>
      <c r="K100" s="253"/>
      <c r="L100" s="255"/>
      <c r="M100" s="254"/>
      <c r="N100" s="255"/>
      <c r="O100" s="254"/>
      <c r="P100" s="253"/>
      <c r="Q100" s="255"/>
      <c r="R100" s="254"/>
      <c r="S100" s="255"/>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19"/>
        <v>Véhicules usagésVentes au Gros</v>
      </c>
      <c r="B101" s="41" t="s">
        <v>152</v>
      </c>
      <c r="C101" s="252" t="s">
        <v>156</v>
      </c>
      <c r="D101" s="253">
        <f t="array" ref="D101">+SUMPRODUCT(('Budget original'!$A$8:$A$502=$A101)*('Budget original'!$C$3:$AO$3=D$2),'Budget original'!$C$8:$AO$502)</f>
        <v>155</v>
      </c>
      <c r="E101" s="253">
        <f t="shared" si="20"/>
        <v>500</v>
      </c>
      <c r="F101" s="253">
        <f t="array" ref="F101">+SUMPRODUCT(('Budget original'!$A$8:$A$502=$A101)*('Budget original'!$C$3:$AO$3=F$2),'Budget original'!$C$8:$AO$502)</f>
        <v>77500</v>
      </c>
      <c r="G101" s="253"/>
      <c r="H101" s="253"/>
      <c r="I101" s="253"/>
      <c r="J101" s="254">
        <f>-SUMIFS(BV_Data_An_Cour!$P:$P,BV_Data_An_Cour!$U:$U,$B101,BV_Data_An_Cour!$V:$V,$C101,BV_Data_An_Cour!$W:$W,J$2)</f>
        <v>184</v>
      </c>
      <c r="K101" s="253">
        <f>IF(J101=0,0,L101/J101)</f>
        <v>806.00135869565213</v>
      </c>
      <c r="L101" s="255">
        <f>-SUMIFS(BV_Data_An_Cour!$P:$P,BV_Data_An_Cour!$U:$U,$B101,BV_Data_An_Cour!$V:$V,$C101,BV_Data_An_Cour!$W:$W,L$2)</f>
        <v>148304.25</v>
      </c>
      <c r="M101" s="254">
        <f>J101-D101</f>
        <v>29</v>
      </c>
      <c r="N101" s="255">
        <f>L101-F101</f>
        <v>70804.25</v>
      </c>
      <c r="O101" s="254">
        <f t="array" ref="O101">+SUMPRODUCT(('Réel 2024'!$A$8:$A$502=$A101)*('Réel 2024'!$C$3:$AO$3=O$2),'Réel 2024'!$C$8:$AO$502)</f>
        <v>179</v>
      </c>
      <c r="P101" s="253">
        <f t="shared" si="21"/>
        <v>835.81061452513859</v>
      </c>
      <c r="Q101" s="255">
        <f t="array" ref="Q101">+SUMPRODUCT(('Réel 2024'!$A$8:$A$502=$A101)*('Réel 2024'!$C$3:$AO$3=Q$2),'Réel 2024'!$C$8:$AO$502)</f>
        <v>149610.0999999998</v>
      </c>
      <c r="R101" s="254">
        <f>J101-O101</f>
        <v>5</v>
      </c>
      <c r="S101" s="255">
        <f>L101-Q101</f>
        <v>-1305.8499999998021</v>
      </c>
      <c r="T101" s="41"/>
      <c r="U101" s="41"/>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tr">
        <f t="shared" si="19"/>
        <v>Véhicules usagés</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41"/>
      <c r="X102" s="41"/>
      <c r="Y102" s="41"/>
      <c r="Z102" s="41"/>
      <c r="AA102" s="41"/>
      <c r="AB102" s="41"/>
      <c r="AC102" s="41"/>
      <c r="AD102" s="41"/>
      <c r="AE102" s="41"/>
      <c r="AF102" s="346"/>
      <c r="AG102" s="41"/>
      <c r="AH102" s="41"/>
      <c r="AI102" s="41"/>
      <c r="AJ102" s="41"/>
      <c r="AK102" s="41"/>
      <c r="AL102" s="41"/>
      <c r="AM102" s="41"/>
      <c r="AN102" s="41"/>
    </row>
    <row r="103" spans="1:40" ht="15.75" customHeight="1">
      <c r="A103" s="5" t="str">
        <f t="shared" si="19"/>
        <v>Véhicules usagésRev. Finances</v>
      </c>
      <c r="B103" s="41" t="s">
        <v>152</v>
      </c>
      <c r="C103" s="252" t="s">
        <v>105</v>
      </c>
      <c r="D103" s="253">
        <f t="array" ref="D103">+SUMPRODUCT(('Budget original'!$A$8:$A$502=$A103)*('Budget original'!$C$3:$AO$3=D$2),'Budget original'!$C$8:$AO$502)</f>
        <v>0</v>
      </c>
      <c r="E103" s="253">
        <f>IF(D103=0,0,F103/D103)</f>
        <v>0</v>
      </c>
      <c r="F103" s="255">
        <f t="array" ref="F103">+SUMPRODUCT(('Budget original'!$A$8:$A$502=$A103)*('Budget original'!$C$3:$AO$3=F$2),'Budget original'!$C$8:$AO$502)</f>
        <v>110950</v>
      </c>
      <c r="G103" s="254"/>
      <c r="H103" s="253"/>
      <c r="I103" s="253"/>
      <c r="J103" s="254"/>
      <c r="K103" s="253">
        <f>IF(J97=0,0,L103/J97)</f>
        <v>287.14327777777777</v>
      </c>
      <c r="L103" s="255">
        <f>-SUMIFS(BV_Data_An_Cour!$P:$P,BV_Data_An_Cour!$U:$U,$B103,BV_Data_An_Cour!$V:$V,$C103,BV_Data_An_Cour!$W:$W,$L2)</f>
        <v>51685.79</v>
      </c>
      <c r="M103" s="254"/>
      <c r="N103" s="255">
        <f>L103-F103</f>
        <v>-59264.21</v>
      </c>
      <c r="O103" s="254">
        <f t="array" ref="O103">+SUMPRODUCT(('Réel 2024'!$A$8:$A$502=$A103)*('Réel 2024'!$C$3:$AO$3=O$2),'Réel 2024'!$C$8:$AO$502)</f>
        <v>0</v>
      </c>
      <c r="P103" s="253">
        <f>IF(O103=0,0,Q103/O103)</f>
        <v>0</v>
      </c>
      <c r="Q103" s="255">
        <f t="array" ref="Q103">+SUMPRODUCT(('Réel 2024'!$A$8:$A$502=$A103)*('Réel 2024'!$C$3:$AO$3=Q$2),'Réel 2024'!$C$8:$AO$502)</f>
        <v>68029.900000000009</v>
      </c>
      <c r="R103" s="254">
        <f>O103-K103</f>
        <v>-287.14327777777777</v>
      </c>
      <c r="S103" s="255">
        <f>L103-Q103</f>
        <v>-16344.110000000008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19"/>
        <v>Véhicules usagésRev. Protections</v>
      </c>
      <c r="B104" s="41" t="s">
        <v>152</v>
      </c>
      <c r="C104" s="252" t="s">
        <v>106</v>
      </c>
      <c r="D104" s="253">
        <f t="array" ref="D104">+SUMPRODUCT(('Budget original'!$A$8:$A$502=$A104)*('Budget original'!$C$3:$AO$3=D$2),'Budget original'!$C$8:$AO$502)</f>
        <v>0</v>
      </c>
      <c r="E104" s="253">
        <f>IF(D104=0,0,F104/D104)</f>
        <v>0</v>
      </c>
      <c r="F104" s="255">
        <f t="array" ref="F104">+SUMPRODUCT(('Budget original'!$A$8:$A$502=$A104)*('Budget original'!$C$3:$AO$3=F$2),'Budget original'!$C$8:$AO$502)</f>
        <v>507200</v>
      </c>
      <c r="G104" s="254"/>
      <c r="H104" s="253"/>
      <c r="I104" s="253"/>
      <c r="J104" s="254"/>
      <c r="K104" s="253">
        <f>IF(J97=0,0,L104/J97)</f>
        <v>1341.8480000000002</v>
      </c>
      <c r="L104" s="255">
        <f>-SUMIFS(BV_Data_An_Cour!$P:$P,BV_Data_An_Cour!$U:$U,$B104,BV_Data_An_Cour!$V:$V,$C104,BV_Data_An_Cour!$W:$W,$L2)</f>
        <v>241532.64</v>
      </c>
      <c r="M104" s="254"/>
      <c r="N104" s="255">
        <f>L104-F104</f>
        <v>-265667.36</v>
      </c>
      <c r="O104" s="254">
        <f t="array" ref="O104">+SUMPRODUCT(('Réel 2024'!$A$8:$A$502=$A104)*('Réel 2024'!$C$3:$AO$3=O$2),'Réel 2024'!$C$8:$AO$502)</f>
        <v>0</v>
      </c>
      <c r="P104" s="253">
        <f>IF(O104=0,0,Q104/O104)</f>
        <v>0</v>
      </c>
      <c r="Q104" s="255">
        <f t="array" ref="Q104">+SUMPRODUCT(('Réel 2024'!$A$8:$A$502=$A104)*('Réel 2024'!$C$3:$AO$3=Q$2),'Réel 2024'!$C$8:$AO$502)</f>
        <v>298997.06999999989</v>
      </c>
      <c r="R104" s="254">
        <f>O104-K104</f>
        <v>-1341.8480000000002</v>
      </c>
      <c r="S104" s="255">
        <f>L104-Q104</f>
        <v>-57464.429999999877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19"/>
        <v>Véhicules usagésRev. Autres</v>
      </c>
      <c r="B105" s="41" t="s">
        <v>152</v>
      </c>
      <c r="C105" s="252" t="s">
        <v>107</v>
      </c>
      <c r="D105" s="253">
        <f t="array" ref="D105">+SUMPRODUCT(('Budget original'!$A$8:$A$502=$A105)*('Budget original'!$C$3:$AO$3=D$2),'Budget original'!$C$8:$AO$502)</f>
        <v>0</v>
      </c>
      <c r="E105" s="249">
        <f>IF(D105=0,0,F105/D105)</f>
        <v>0</v>
      </c>
      <c r="F105" s="255">
        <f t="array" ref="F105">+SUMPRODUCT(('Budget original'!$A$8:$A$502=$A105)*('Budget original'!$C$3:$AO$3=F$2),'Budget original'!$C$8:$AO$502)</f>
        <v>15850</v>
      </c>
      <c r="G105" s="254"/>
      <c r="H105" s="249"/>
      <c r="I105" s="253"/>
      <c r="J105" s="254"/>
      <c r="K105" s="249">
        <f>IF(J97=0,0,L105/J97)</f>
        <v>24.779166666666665</v>
      </c>
      <c r="L105" s="255">
        <f>-SUMIFS(BV_Data_An_Cour!$P:$P,BV_Data_An_Cour!$U:$U,$B105,BV_Data_An_Cour!$V:$V,$C105,BV_Data_An_Cour!$W:$W,$L$2)</f>
        <v>4460.25</v>
      </c>
      <c r="M105" s="266"/>
      <c r="N105" s="255">
        <f>L105-F105</f>
        <v>-11389.75</v>
      </c>
      <c r="O105" s="254">
        <f t="array" ref="O105">+SUMPRODUCT(('Réel 2024'!$A$8:$A$502=$A105)*('Réel 2024'!$C$3:$AO$3=O$2),'Réel 2024'!$C$8:$AO$502)</f>
        <v>7</v>
      </c>
      <c r="P105" s="249">
        <f>IF(O105=0,0,Q105/O105)</f>
        <v>1006.7014285714284</v>
      </c>
      <c r="Q105" s="255">
        <f t="array" ref="Q105">+SUMPRODUCT(('Réel 2024'!$A$8:$A$502=$A105)*('Réel 2024'!$C$3:$AO$3=Q$2),'Réel 2024'!$C$8:$AO$502)</f>
        <v>7046.9099999999989</v>
      </c>
      <c r="R105" s="254">
        <f>O105-K105</f>
        <v>-17.779166666666665</v>
      </c>
      <c r="S105" s="255">
        <f>L105-Q105</f>
        <v>-2586.6599999999989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19"/>
        <v>Véhicules usagésTotal F&amp;I</v>
      </c>
      <c r="B106" s="41" t="s">
        <v>152</v>
      </c>
      <c r="C106" s="258" t="s">
        <v>108</v>
      </c>
      <c r="D106" s="259">
        <f>D97</f>
        <v>317</v>
      </c>
      <c r="E106" s="253">
        <f>IF(D106=0,0,F106/D106)</f>
        <v>2000</v>
      </c>
      <c r="F106" s="260">
        <f>F103+F104+F105</f>
        <v>634000</v>
      </c>
      <c r="G106" s="261"/>
      <c r="H106" s="259"/>
      <c r="I106" s="260"/>
      <c r="J106" s="261">
        <f>J97</f>
        <v>180</v>
      </c>
      <c r="K106" s="259">
        <f>IF(J106&lt;=0,0,L106/J106)</f>
        <v>1653.7704444444444</v>
      </c>
      <c r="L106" s="260">
        <f>L103+L104+L105</f>
        <v>297678.68</v>
      </c>
      <c r="M106" s="254">
        <f>J106-D106</f>
        <v>-137</v>
      </c>
      <c r="N106" s="260">
        <f>L106-F106</f>
        <v>-336321.32</v>
      </c>
      <c r="O106" s="261">
        <f>O97</f>
        <v>189</v>
      </c>
      <c r="P106" s="259">
        <f>IF(O106=0,0,Q106/O106)</f>
        <v>1979.2268783068778</v>
      </c>
      <c r="Q106" s="260">
        <f>Q103+Q104+Q105</f>
        <v>374073.87999999989</v>
      </c>
      <c r="R106" s="272"/>
      <c r="S106" s="260">
        <f>L106-Q106</f>
        <v>-76395.199999999895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19"/>
        <v>Véhicules usagés</v>
      </c>
      <c r="B107" s="41" t="s">
        <v>152</v>
      </c>
      <c r="C107" s="252"/>
      <c r="D107" s="41"/>
      <c r="E107" s="41"/>
      <c r="F107" s="275"/>
      <c r="G107" s="252"/>
      <c r="H107" s="348"/>
      <c r="I107" s="275"/>
      <c r="J107" s="252"/>
      <c r="K107" s="41"/>
      <c r="L107" s="275"/>
      <c r="M107" s="263"/>
      <c r="N107" s="264">
        <f>N106/F106</f>
        <v>-0.5304752681388013</v>
      </c>
      <c r="O107" s="252"/>
      <c r="P107" s="41"/>
      <c r="Q107" s="275"/>
      <c r="R107" s="276"/>
      <c r="S107" s="264">
        <f>IF(Q106=0,0,(S106/Q106))</f>
        <v>-0.20422489803351124</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19"/>
        <v>Véhicules usagés</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19"/>
        <v>Véhicules usagésTotal Dépt. Usagés</v>
      </c>
      <c r="B109" s="41" t="s">
        <v>152</v>
      </c>
      <c r="C109" s="277" t="s">
        <v>157</v>
      </c>
      <c r="D109" s="278">
        <f>D97+D101</f>
        <v>472</v>
      </c>
      <c r="E109" s="349">
        <f>IF(D109&lt;=0,0,F109/D109)</f>
        <v>2650.162398267752</v>
      </c>
      <c r="F109" s="280">
        <f>F97+F106+F101+F99</f>
        <v>1250876.6519823789</v>
      </c>
      <c r="G109" s="281"/>
      <c r="H109" s="349"/>
      <c r="I109" s="280"/>
      <c r="J109" s="281">
        <f>J97+J101</f>
        <v>364</v>
      </c>
      <c r="K109" s="349">
        <f>IF(J109&lt;=0,0,L109/J109)</f>
        <v>1834.0547527472529</v>
      </c>
      <c r="L109" s="280">
        <f>L97+L106+L101+L99</f>
        <v>667595.93000000005</v>
      </c>
      <c r="M109" s="281">
        <f>J109-D109</f>
        <v>-108</v>
      </c>
      <c r="N109" s="280">
        <f>L109-F109</f>
        <v>-583280.72198237886</v>
      </c>
      <c r="O109" s="281">
        <f>O97+O101</f>
        <v>368</v>
      </c>
      <c r="P109" s="349">
        <f>IF(O109&lt;=0,0,Q109/O109)</f>
        <v>2294.1388858695632</v>
      </c>
      <c r="Q109" s="280">
        <f>Q97+Q106+Q101+Q99</f>
        <v>844243.10999999917</v>
      </c>
      <c r="R109" s="281">
        <f>J109-O109</f>
        <v>-4</v>
      </c>
      <c r="S109" s="280">
        <f>L109-Q109</f>
        <v>-176647.17999999912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tr">
        <f t="shared" si="19"/>
        <v>Véhicules usagés</v>
      </c>
      <c r="B110" s="41" t="s">
        <v>152</v>
      </c>
      <c r="C110" s="282"/>
      <c r="D110" s="283"/>
      <c r="E110" s="283"/>
      <c r="F110" s="284"/>
      <c r="G110" s="282"/>
      <c r="H110" s="283"/>
      <c r="I110" s="284"/>
      <c r="J110" s="282"/>
      <c r="K110" s="283"/>
      <c r="L110" s="351">
        <f>+L109/F109</f>
        <v>0.53370244695350222</v>
      </c>
      <c r="M110" s="285">
        <f>M109/D109</f>
        <v>-0.2288135593220339</v>
      </c>
      <c r="N110" s="286">
        <f>N109/F109</f>
        <v>-0.46629755304649778</v>
      </c>
      <c r="O110" s="282"/>
      <c r="P110" s="283"/>
      <c r="Q110" s="284"/>
      <c r="R110" s="285">
        <f>O109/R109</f>
        <v>-92</v>
      </c>
      <c r="S110" s="351">
        <f>IF(Q109=0,0,(S109/Q109))</f>
        <v>-0.20923733686141577</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19"/>
        <v>Véhicules usagés</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19"/>
        <v>Véhicules usagésDEPENSES</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19"/>
        <v>Véhicules usagésComm. vendeurs</v>
      </c>
      <c r="B113" s="41" t="s">
        <v>152</v>
      </c>
      <c r="C113" s="252" t="s">
        <v>111</v>
      </c>
      <c r="D113" s="289">
        <f>F113/F97</f>
        <v>0.31416403785488961</v>
      </c>
      <c r="E113" s="290">
        <f t="shared" ref="E113:E122" si="22">F113/D$97</f>
        <v>471.24605678233439</v>
      </c>
      <c r="F113" s="253">
        <f t="array" ref="F113">+SUMPRODUCT(('Budget original'!$A$8:$A$502=$A113)*('Budget original'!$C$3:$AO$3=F$2),'Budget original'!$C$8:$AO$502)</f>
        <v>149385</v>
      </c>
      <c r="G113" s="297"/>
      <c r="H113" s="290"/>
      <c r="I113" s="253"/>
      <c r="J113" s="291">
        <f>+L113/L97</f>
        <v>0.53987814287638047</v>
      </c>
      <c r="K113" s="290">
        <f>IF($J$97=0,0,L113/(J$94+J$95+J96))</f>
        <v>548.13638888888886</v>
      </c>
      <c r="L113" s="255">
        <f>SUMIFS(BV_Data_An_Cour!$P:$P,BV_Data_An_Cour!$U:$U,$B113,BV_Data_An_Cour!$V:$V,$C113,BV_Data_An_Cour!$W:$W,$L$2)</f>
        <v>98664.55</v>
      </c>
      <c r="M113" s="252"/>
      <c r="N113" s="275">
        <f t="shared" ref="N113:N154" si="23">L113-F113</f>
        <v>-50720.45</v>
      </c>
      <c r="O113" s="252">
        <f>Q113/Q97</f>
        <v>0.35517842063659405</v>
      </c>
      <c r="P113" s="290">
        <f t="shared" ref="P113:P122" si="24">Q113/O$97</f>
        <v>487.55232804232804</v>
      </c>
      <c r="Q113" s="255">
        <f t="array" ref="Q113">+SUMPRODUCT(('Réel 2024'!$A$8:$A$502=$A113)*('Réel 2024'!$C$3:$AO$3=Q$2),'Réel 2024'!$C$8:$AO$502)</f>
        <v>92147.39</v>
      </c>
      <c r="R113" s="252"/>
      <c r="S113" s="275">
        <f t="shared" ref="S113:S123" si="25">L113-Q113</f>
        <v>6517.1600000000035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19"/>
        <v>Véhicules usagésComm. F&amp;I</v>
      </c>
      <c r="B114" s="41" t="s">
        <v>152</v>
      </c>
      <c r="C114" s="245" t="s">
        <v>112</v>
      </c>
      <c r="D114" s="292">
        <f>F114/(F106+F19)</f>
        <v>0.26015036340138131</v>
      </c>
      <c r="E114" s="293">
        <f t="shared" si="22"/>
        <v>520.30072680276271</v>
      </c>
      <c r="F114" s="247">
        <f t="array" ref="F114">+SUMPRODUCT(('Budget original'!$A$8:$A$502=$A114)*('Budget original'!$C$3:$AO$3=F$2),'Budget original'!$C$8:$AO$502)</f>
        <v>164935.33039647577</v>
      </c>
      <c r="G114" s="299"/>
      <c r="H114" s="293"/>
      <c r="I114" s="247"/>
      <c r="J114" s="294">
        <f>L114/L106</f>
        <v>0.27890055814544729</v>
      </c>
      <c r="K114" s="293">
        <f>IF($J$97=0,0,L114/(J$94+J$95+J96))</f>
        <v>461.23750000000001</v>
      </c>
      <c r="L114" s="255">
        <f>SUMIFS(BV_Data_An_Cour!$P:$P,BV_Data_An_Cour!$U:$U,$B114,BV_Data_An_Cour!$V:$V,$C114,BV_Data_An_Cour!$W:$W,$L$2)</f>
        <v>83022.75</v>
      </c>
      <c r="M114" s="245"/>
      <c r="N114" s="295">
        <f t="shared" si="23"/>
        <v>-81912.580396475765</v>
      </c>
      <c r="O114" s="245">
        <f>Q114/(Q106+Q19)</f>
        <v>0.2930515758010156</v>
      </c>
      <c r="P114" s="293">
        <f t="shared" si="24"/>
        <v>580.01555555555547</v>
      </c>
      <c r="Q114" s="255">
        <f t="array" ref="Q114">+SUMPRODUCT(('Réel 2024'!$A$8:$A$502=$A114)*('Réel 2024'!$C$3:$AO$3=Q$2),'Réel 2024'!$C$8:$AO$502)</f>
        <v>109622.93999999999</v>
      </c>
      <c r="R114" s="245"/>
      <c r="S114" s="295">
        <f t="shared" si="25"/>
        <v>-26600.189999999988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19"/>
        <v>Véhicules usagésFrais de livraison</v>
      </c>
      <c r="B115" s="41" t="s">
        <v>152</v>
      </c>
      <c r="C115" s="252" t="s">
        <v>113</v>
      </c>
      <c r="D115" s="296"/>
      <c r="E115" s="290">
        <f t="shared" si="22"/>
        <v>8</v>
      </c>
      <c r="F115" s="253">
        <f t="array" ref="F115">+SUMPRODUCT(('Budget original'!$A$8:$A$502=$A115)*('Budget original'!$C$3:$AO$3=F$2),'Budget original'!$C$8:$AO$502)</f>
        <v>2536</v>
      </c>
      <c r="G115" s="297"/>
      <c r="H115" s="290"/>
      <c r="I115" s="253"/>
      <c r="J115" s="252"/>
      <c r="K115" s="290">
        <f>IF($J$97=0,0,L115/(J$94+J$95+J96))</f>
        <v>-41.887944444444443</v>
      </c>
      <c r="L115" s="271">
        <f>SUMIFS(BV_Data_An_Cour!$P:$P,BV_Data_An_Cour!$U:$U,$B115,BV_Data_An_Cour!$V:$V,$C115,BV_Data_An_Cour!$W:$W,$L$2)</f>
        <v>-7539.83</v>
      </c>
      <c r="M115" s="252"/>
      <c r="N115" s="275">
        <f t="shared" si="23"/>
        <v>-10075.83</v>
      </c>
      <c r="O115" s="252"/>
      <c r="P115" s="290">
        <f t="shared" si="24"/>
        <v>-56.405026455026452</v>
      </c>
      <c r="Q115" s="271">
        <f t="array" ref="Q115">+SUMPRODUCT(('Réel 2024'!$A$8:$A$502=$A115)*('Réel 2024'!$C$3:$AO$3=Q$2),'Réel 2024'!$C$8:$AO$502)</f>
        <v>-10660.55</v>
      </c>
      <c r="R115" s="252"/>
      <c r="S115" s="275">
        <f t="shared" si="25"/>
        <v>3120.7199999999993</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19"/>
        <v>Véhicules usagésService gratuit 1</v>
      </c>
      <c r="B116" s="41" t="s">
        <v>152</v>
      </c>
      <c r="C116" s="252" t="s">
        <v>114</v>
      </c>
      <c r="D116" s="296"/>
      <c r="E116" s="290">
        <f t="shared" si="22"/>
        <v>50</v>
      </c>
      <c r="F116" s="253">
        <f t="array" ref="F116">+SUMPRODUCT(('Budget original'!$A$8:$A$502=$A116)*('Budget original'!$C$3:$AO$3=F$2),'Budget original'!$C$8:$AO$502)</f>
        <v>15850</v>
      </c>
      <c r="G116" s="297"/>
      <c r="H116" s="290"/>
      <c r="I116" s="253"/>
      <c r="J116" s="252"/>
      <c r="K116" s="290">
        <f>IF($J$97=0,0,L116/(J$94+J$95+J96))</f>
        <v>75.145388888888888</v>
      </c>
      <c r="L116" s="255">
        <f>SUMIFS(BV_Data_An_Cour!$P:$P,BV_Data_An_Cour!$U:$U,$B116,BV_Data_An_Cour!$V:$V,$C116,BV_Data_An_Cour!$W:$W,$L$2)</f>
        <v>13526.17</v>
      </c>
      <c r="M116" s="252"/>
      <c r="N116" s="275">
        <f t="shared" si="23"/>
        <v>-2323.83</v>
      </c>
      <c r="O116" s="252"/>
      <c r="P116" s="290">
        <f t="shared" si="24"/>
        <v>70.943068783068782</v>
      </c>
      <c r="Q116" s="255">
        <f t="array" ref="Q116">+SUMPRODUCT(('Réel 2024'!$A$8:$A$502=$A116)*('Réel 2024'!$C$3:$AO$3=Q$2),'Réel 2024'!$C$8:$AO$502)</f>
        <v>13408.24</v>
      </c>
      <c r="R116" s="252"/>
      <c r="S116" s="275">
        <f t="shared" si="25"/>
        <v>117.93000000000029</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19"/>
        <v>Véhicules usagésEntretien stock</v>
      </c>
      <c r="B117" s="41" t="s">
        <v>152</v>
      </c>
      <c r="C117" s="245" t="s">
        <v>115</v>
      </c>
      <c r="D117" s="298"/>
      <c r="E117" s="293">
        <f t="shared" si="22"/>
        <v>170</v>
      </c>
      <c r="F117" s="247">
        <f t="array" ref="F117">+SUMPRODUCT(('Budget original'!$A$8:$A$502=$A117)*('Budget original'!$C$3:$AO$3=F$2),'Budget original'!$C$8:$AO$502)</f>
        <v>53890</v>
      </c>
      <c r="G117" s="299"/>
      <c r="H117" s="293"/>
      <c r="I117" s="247"/>
      <c r="J117" s="245"/>
      <c r="K117" s="293">
        <f>IF($J$97=0,0,L117/(J$94+J$95+J96))</f>
        <v>146.24816666666666</v>
      </c>
      <c r="L117" s="247">
        <f>SUMIFS(BV_Data_An_Cour!$P:$P,BV_Data_An_Cour!$U:$U,$B117,BV_Data_An_Cour!$V:$V,$C117,BV_Data_An_Cour!$W:$W,$L$2)</f>
        <v>26324.67</v>
      </c>
      <c r="M117" s="245"/>
      <c r="N117" s="295">
        <f t="shared" si="23"/>
        <v>-27565.33</v>
      </c>
      <c r="O117" s="245"/>
      <c r="P117" s="293">
        <f t="shared" si="24"/>
        <v>174.50873015873017</v>
      </c>
      <c r="Q117" s="247">
        <f t="array" ref="Q117">+SUMPRODUCT(('Réel 2024'!$A$8:$A$502=$A117)*('Réel 2024'!$C$3:$AO$3=Q$2),'Réel 2024'!$C$8:$AO$502)</f>
        <v>32982.15</v>
      </c>
      <c r="R117" s="245"/>
      <c r="S117" s="295">
        <f t="shared" si="25"/>
        <v>-6657.4800000000032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19"/>
        <v>Véhicules usagésPublicité 1</v>
      </c>
      <c r="B118" s="41" t="s">
        <v>152</v>
      </c>
      <c r="C118" s="252" t="s">
        <v>116</v>
      </c>
      <c r="D118" s="296"/>
      <c r="E118" s="290">
        <f t="shared" si="22"/>
        <v>216.90141955835963</v>
      </c>
      <c r="F118" s="253">
        <f t="array" ref="F118">+SUMPRODUCT(('Budget original'!$A$8:$A$502=$A118)*('Budget original'!$C$3:$AO$3=F$2),'Budget original'!$C$8:$AO$502)</f>
        <v>68757.75</v>
      </c>
      <c r="G118" s="297"/>
      <c r="H118" s="290"/>
      <c r="I118" s="253"/>
      <c r="J118" s="252"/>
      <c r="K118" s="290">
        <f>IF($J$97=0,0,L118/(J$94+J$95+J96))</f>
        <v>353.88661111111111</v>
      </c>
      <c r="L118" s="255">
        <f>SUMIFS(BV_Data_An_Cour!$P:$P,BV_Data_An_Cour!$U:$U,$B118,BV_Data_An_Cour!$V:$V,$C118,BV_Data_An_Cour!$W:$W,$L$2)</f>
        <v>63699.59</v>
      </c>
      <c r="M118" s="252"/>
      <c r="N118" s="275">
        <f t="shared" si="23"/>
        <v>-5058.1600000000035</v>
      </c>
      <c r="O118" s="252"/>
      <c r="P118" s="290">
        <f t="shared" si="24"/>
        <v>376.55476190476196</v>
      </c>
      <c r="Q118" s="255">
        <f t="array" ref="Q118">+SUMPRODUCT(('Réel 2024'!$A$8:$A$502=$A118)*('Réel 2024'!$C$3:$AO$3=Q$2),'Réel 2024'!$C$8:$AO$502)</f>
        <v>71168.850000000006</v>
      </c>
      <c r="R118" s="252"/>
      <c r="S118" s="275">
        <f t="shared" si="25"/>
        <v>-7469.2600000000093</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19"/>
        <v>Véhicules usagésIntérêt de gros</v>
      </c>
      <c r="B119" s="41" t="s">
        <v>152</v>
      </c>
      <c r="C119" s="252" t="s">
        <v>117</v>
      </c>
      <c r="D119" s="296"/>
      <c r="E119" s="290">
        <f t="shared" si="22"/>
        <v>0</v>
      </c>
      <c r="F119" s="253">
        <f t="array" ref="F119">+SUMPRODUCT(('Budget original'!$A$8:$A$502=$A119)*('Budget original'!$C$3:$AO$3=F$2),'Budget original'!$C$8:$AO$502)</f>
        <v>0</v>
      </c>
      <c r="G119" s="297"/>
      <c r="H119" s="290"/>
      <c r="I119" s="253"/>
      <c r="J119" s="252"/>
      <c r="K119" s="290">
        <f>IF($J$97=0,0,L119/(J$94+J$95+J96))</f>
        <v>55.24644444444445</v>
      </c>
      <c r="L119" s="851">
        <f>SUMIFS(BV_Data_An_Cour!$P:$P,BV_Data_An_Cour!$U:$U,$B119,BV_Data_An_Cour!$V:$V,$C119,BV_Data_An_Cour!$W:$W,$L$2)</f>
        <v>9944.36</v>
      </c>
      <c r="M119" s="886"/>
      <c r="N119" s="860">
        <f t="shared" si="23"/>
        <v>9944.36</v>
      </c>
      <c r="O119" s="252"/>
      <c r="P119" s="290">
        <f t="shared" si="24"/>
        <v>121.06920634920635</v>
      </c>
      <c r="Q119" s="255">
        <f t="array" ref="Q119">+SUMPRODUCT(('Réel 2024'!$A$8:$A$502=$A119)*('Réel 2024'!$C$3:$AO$3=Q$2),'Réel 2024'!$C$8:$AO$502)</f>
        <v>22882.080000000002</v>
      </c>
      <c r="R119" s="252"/>
      <c r="S119" s="275">
        <f t="shared" si="25"/>
        <v>-12937.720000000001</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19"/>
        <v>Véhicules usagés[...]</v>
      </c>
      <c r="B120" s="41" t="s">
        <v>152</v>
      </c>
      <c r="C120" s="252" t="s">
        <v>59</v>
      </c>
      <c r="D120" s="296"/>
      <c r="E120" s="290">
        <f t="shared" si="22"/>
        <v>0</v>
      </c>
      <c r="F120" s="253">
        <f t="array" ref="F120">+SUMPRODUCT(('Budget original'!$A$8:$A$502=$A120)*('Budget original'!$C$3:$AO$3=F$2),'Budget original'!$C$8:$AO$502)</f>
        <v>0</v>
      </c>
      <c r="G120" s="297"/>
      <c r="H120" s="290"/>
      <c r="I120" s="253"/>
      <c r="J120" s="252"/>
      <c r="K120" s="290">
        <f>IF($J$97=0,0,L120/(J$94+J$95))</f>
        <v>0</v>
      </c>
      <c r="L120" s="255">
        <f>SUMIFS(BV_Data_An_Cour!$P:$P,BV_Data_An_Cour!$U:$U,$B120,BV_Data_An_Cour!$V:$V,$C120,BV_Data_An_Cour!$W:$W,$L$2)</f>
        <v>0</v>
      </c>
      <c r="M120" s="252"/>
      <c r="N120" s="275">
        <f t="shared" si="23"/>
        <v>0</v>
      </c>
      <c r="O120" s="252"/>
      <c r="P120" s="290">
        <f t="shared" si="24"/>
        <v>0</v>
      </c>
      <c r="Q120" s="255">
        <f t="array" ref="Q120">+SUMPRODUCT(('Réel 2024'!$A$8:$A$502=$A120)*('Réel 2024'!$C$3:$AO$3=Q$2),'Réel 2024'!$C$8:$AO$502)</f>
        <v>0</v>
      </c>
      <c r="R120" s="252"/>
      <c r="S120" s="275">
        <f t="shared" si="25"/>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19"/>
        <v>Véhicules usagés[...]</v>
      </c>
      <c r="B121" s="41" t="s">
        <v>152</v>
      </c>
      <c r="C121" s="252" t="s">
        <v>59</v>
      </c>
      <c r="D121" s="296"/>
      <c r="E121" s="290">
        <f t="shared" si="22"/>
        <v>0</v>
      </c>
      <c r="F121" s="253">
        <f t="array" ref="F121">+SUMPRODUCT(('Budget original'!$A$8:$A$502=$A121)*('Budget original'!$C$3:$AO$3=F$2),'Budget original'!$C$8:$AO$502)</f>
        <v>0</v>
      </c>
      <c r="G121" s="297"/>
      <c r="H121" s="290"/>
      <c r="I121" s="253"/>
      <c r="J121" s="252"/>
      <c r="K121" s="290">
        <f>IF($J$97=0,0,L121/(J$94+J$95))</f>
        <v>0</v>
      </c>
      <c r="L121" s="255">
        <f>SUMIFS(BV_Data_An_Cour!$P:$P,BV_Data_An_Cour!$U:$U,$B121,BV_Data_An_Cour!$V:$V,$C121,BV_Data_An_Cour!$W:$W,$L$2)</f>
        <v>0</v>
      </c>
      <c r="M121" s="252"/>
      <c r="N121" s="275">
        <f t="shared" si="23"/>
        <v>0</v>
      </c>
      <c r="O121" s="252"/>
      <c r="P121" s="290">
        <f t="shared" si="24"/>
        <v>0</v>
      </c>
      <c r="Q121" s="255">
        <f t="array" ref="Q121">+SUMPRODUCT(('Réel 2024'!$A$8:$A$502=$A121)*('Réel 2024'!$C$3:$AO$3=Q$2),'Réel 2024'!$C$8:$AO$502)</f>
        <v>0</v>
      </c>
      <c r="R121" s="252"/>
      <c r="S121" s="275">
        <f t="shared" si="25"/>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19"/>
        <v>Véhicules usagés[...]</v>
      </c>
      <c r="B122" s="41" t="s">
        <v>152</v>
      </c>
      <c r="C122" s="252" t="s">
        <v>59</v>
      </c>
      <c r="D122" s="296"/>
      <c r="E122" s="290">
        <f t="shared" si="22"/>
        <v>0</v>
      </c>
      <c r="F122" s="253">
        <f t="array" ref="F122">+SUMPRODUCT(('Budget original'!$A$8:$A$502=$A122)*('Budget original'!$C$3:$AO$3=F$2),'Budget original'!$C$8:$AO$502)</f>
        <v>0</v>
      </c>
      <c r="G122" s="297"/>
      <c r="H122" s="290"/>
      <c r="I122" s="253"/>
      <c r="J122" s="252"/>
      <c r="K122" s="290">
        <f>IF($J$97=0,0,L122/(J$94+J$95))</f>
        <v>0</v>
      </c>
      <c r="L122" s="255">
        <f>SUMIFS(BV_Data_An_Cour!$P:$P,BV_Data_An_Cour!$U:$U,$B122,BV_Data_An_Cour!$V:$V,$C122,BV_Data_An_Cour!$W:$W,$L$2)</f>
        <v>0</v>
      </c>
      <c r="M122" s="252"/>
      <c r="N122" s="275">
        <f t="shared" si="23"/>
        <v>0</v>
      </c>
      <c r="O122" s="252"/>
      <c r="P122" s="290">
        <f t="shared" si="24"/>
        <v>0</v>
      </c>
      <c r="Q122" s="255">
        <f t="array" ref="Q122">+SUMPRODUCT(('Réel 2024'!$A$8:$A$502=$A122)*('Réel 2024'!$C$3:$AO$3=Q$2),'Réel 2024'!$C$8:$AO$502)</f>
        <v>0</v>
      </c>
      <c r="R122" s="252"/>
      <c r="S122" s="275">
        <f t="shared" si="25"/>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19"/>
        <v>Véhicules usagésTOTAL VARIABLES</v>
      </c>
      <c r="B123" s="41" t="s">
        <v>152</v>
      </c>
      <c r="C123" s="303" t="s">
        <v>118</v>
      </c>
      <c r="D123" s="304" t="s">
        <v>119</v>
      </c>
      <c r="E123" s="305">
        <f>F123/F$109</f>
        <v>0.36402796364840162</v>
      </c>
      <c r="F123" s="306">
        <f>SUM(F113:F122)</f>
        <v>455354.08039647574</v>
      </c>
      <c r="G123" s="307"/>
      <c r="H123" s="305"/>
      <c r="I123" s="306"/>
      <c r="J123" s="307" t="s">
        <v>119</v>
      </c>
      <c r="K123" s="305">
        <f>L123/L$109</f>
        <v>0.43086281247999819</v>
      </c>
      <c r="L123" s="306">
        <f>SUM(L113:L122)</f>
        <v>287642.26</v>
      </c>
      <c r="M123" s="310"/>
      <c r="N123" s="306">
        <f t="shared" si="23"/>
        <v>-167711.82039647573</v>
      </c>
      <c r="O123" s="307" t="s">
        <v>119</v>
      </c>
      <c r="P123" s="305">
        <f>Q123/Q$109</f>
        <v>0.3927199358488106</v>
      </c>
      <c r="Q123" s="306">
        <f>SUM(Q113:Q122)</f>
        <v>331551.10000000003</v>
      </c>
      <c r="R123" s="310"/>
      <c r="S123" s="306">
        <f t="shared" si="25"/>
        <v>-43908.840000000026</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19"/>
        <v>Véhicules usagésSalaires cadres</v>
      </c>
      <c r="B124" s="41" t="s">
        <v>152</v>
      </c>
      <c r="C124" s="311" t="s">
        <v>120</v>
      </c>
      <c r="D124" s="41"/>
      <c r="E124" s="41"/>
      <c r="F124" s="253">
        <f t="array" ref="F124">+SUMPRODUCT(('Budget original'!$A$8:$A$502=$A124)*('Budget original'!$C$3:$AO$3=F$2),'Budget original'!$C$8:$AO$502)</f>
        <v>82765.972435897434</v>
      </c>
      <c r="G124" s="252"/>
      <c r="H124" s="41"/>
      <c r="I124" s="253"/>
      <c r="J124" s="252"/>
      <c r="K124" s="41"/>
      <c r="L124" s="255">
        <f>SUMIFS(BV_Data_An_Cour!$P:$P,BV_Data_An_Cour!$U:$U,$B124,BV_Data_An_Cour!$V:$V,$C124,BV_Data_An_Cour!$W:$W,$L$2)</f>
        <v>57733.42</v>
      </c>
      <c r="M124" s="252"/>
      <c r="N124" s="275">
        <f t="shared" si="23"/>
        <v>-25032.552435897436</v>
      </c>
      <c r="O124" s="252"/>
      <c r="P124" s="41"/>
      <c r="Q124" s="255">
        <f t="array" ref="Q124">+SUMPRODUCT(('Réel 2024'!$A$8:$A$502=$A124)*('Réel 2024'!$C$3:$AO$3=Q$2),'Réel 2024'!$C$8:$AO$502)</f>
        <v>65902.25</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19"/>
        <v>Véhicules usagésSalaires commis</v>
      </c>
      <c r="B125" s="41" t="s">
        <v>152</v>
      </c>
      <c r="C125" s="312" t="s">
        <v>121</v>
      </c>
      <c r="D125" s="296"/>
      <c r="E125" s="41"/>
      <c r="F125" s="247">
        <f t="array" ref="F125">+SUMPRODUCT(('Budget original'!$A$8:$A$502=$A125)*('Budget original'!$C$3:$AO$3=F$2),'Budget original'!$C$8:$AO$502)</f>
        <v>42427.515369620516</v>
      </c>
      <c r="G125" s="297"/>
      <c r="H125" s="41"/>
      <c r="I125" s="247"/>
      <c r="J125" s="252"/>
      <c r="K125" s="41"/>
      <c r="L125" s="247">
        <f>SUMIFS(BV_Data_An_Cour!$P:$P,BV_Data_An_Cour!$U:$U,$B125,BV_Data_An_Cour!$V:$V,$C125,BV_Data_An_Cour!$W:$W,$L$2)</f>
        <v>31165.3</v>
      </c>
      <c r="M125" s="252"/>
      <c r="N125" s="275">
        <f t="shared" si="23"/>
        <v>-11262.215369620517</v>
      </c>
      <c r="O125" s="252"/>
      <c r="P125" s="41"/>
      <c r="Q125" s="247">
        <f t="array" ref="Q125">+SUMPRODUCT(('Réel 2024'!$A$8:$A$502=$A125)*('Réel 2024'!$C$3:$AO$3=Q$2),'Réel 2024'!$C$8:$AO$502)</f>
        <v>24783.42</v>
      </c>
      <c r="R125" s="252"/>
      <c r="S125" s="275">
        <f t="shared" ref="S125:S154" si="26">L125-Q125</f>
        <v>6381.880000000001</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19"/>
        <v>Véhicules usagésSalaires autres</v>
      </c>
      <c r="B126" s="41" t="s">
        <v>152</v>
      </c>
      <c r="C126" s="311" t="s">
        <v>122</v>
      </c>
      <c r="D126" s="313"/>
      <c r="E126" s="314"/>
      <c r="F126" s="253">
        <f t="array" ref="F126">+SUMPRODUCT(('Budget original'!$A$8:$A$502=$A126)*('Budget original'!$C$3:$AO$3=F$2),'Budget original'!$C$8:$AO$502)</f>
        <v>3623.6333333333332</v>
      </c>
      <c r="G126" s="315"/>
      <c r="H126" s="314"/>
      <c r="I126" s="253"/>
      <c r="J126" s="240"/>
      <c r="K126" s="314"/>
      <c r="L126" s="255">
        <f>SUMIFS(BV_Data_An_Cour!$P:$P,BV_Data_An_Cour!$U:$U,$B126,BV_Data_An_Cour!$V:$V,$C126,BV_Data_An_Cour!$W:$W,$L$2)</f>
        <v>25181.7</v>
      </c>
      <c r="M126" s="240"/>
      <c r="N126" s="316">
        <f t="shared" si="23"/>
        <v>21558.066666666666</v>
      </c>
      <c r="O126" s="240"/>
      <c r="P126" s="314"/>
      <c r="Q126" s="255">
        <f t="array" ref="Q126">+SUMPRODUCT(('Réel 2024'!$A$8:$A$502=$A126)*('Réel 2024'!$C$3:$AO$3=Q$2),'Réel 2024'!$C$8:$AO$502)</f>
        <v>35619.1</v>
      </c>
      <c r="R126" s="240"/>
      <c r="S126" s="316">
        <f t="shared" si="26"/>
        <v>-10437.399999999998</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19"/>
        <v>Véhicules usagésSalaires spécialistes</v>
      </c>
      <c r="B127" s="41" t="s">
        <v>152</v>
      </c>
      <c r="C127" s="311" t="s">
        <v>123</v>
      </c>
      <c r="D127" s="296"/>
      <c r="E127" s="41"/>
      <c r="F127" s="253">
        <f t="array" ref="F127">+SUMPRODUCT(('Budget original'!$A$8:$A$502=$A127)*('Budget original'!$C$3:$AO$3=F$2),'Budget original'!$C$8:$AO$502)</f>
        <v>0</v>
      </c>
      <c r="G127" s="297"/>
      <c r="H127" s="41"/>
      <c r="I127" s="253"/>
      <c r="J127" s="252"/>
      <c r="K127" s="41"/>
      <c r="L127" s="255">
        <f>SUMIFS(BV_Data_An_Cour!$P:$P,BV_Data_An_Cour!$U:$U,$B127,BV_Data_An_Cour!$V:$V,$C127,BV_Data_An_Cour!$W:$W,$L$2)</f>
        <v>0</v>
      </c>
      <c r="M127" s="252"/>
      <c r="N127" s="275">
        <f t="shared" si="23"/>
        <v>0</v>
      </c>
      <c r="O127" s="252"/>
      <c r="P127" s="41"/>
      <c r="Q127" s="255">
        <f t="array" ref="Q127">+SUMPRODUCT(('Réel 2024'!$A$8:$A$502=$A127)*('Réel 2024'!$C$3:$AO$3=Q$2),'Réel 2024'!$C$8:$AO$502)</f>
        <v>0</v>
      </c>
      <c r="R127" s="252"/>
      <c r="S127" s="275">
        <f t="shared" si="26"/>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19"/>
        <v>Véhicules usagés[...]</v>
      </c>
      <c r="B128" s="41" t="s">
        <v>152</v>
      </c>
      <c r="C128" s="311" t="s">
        <v>59</v>
      </c>
      <c r="D128" s="296"/>
      <c r="E128" s="41"/>
      <c r="F128" s="253">
        <f t="array" ref="F128">+SUMPRODUCT(('Budget original'!$A$8:$A$502=$A128)*('Budget original'!$C$3:$AO$3=F$2),'Budget original'!$C$8:$AO$502)</f>
        <v>0</v>
      </c>
      <c r="G128" s="297"/>
      <c r="H128" s="41"/>
      <c r="I128" s="253"/>
      <c r="J128" s="252"/>
      <c r="K128" s="41"/>
      <c r="L128" s="255">
        <f>SUMIFS(BV_Data_An_Cour!$P:$P,BV_Data_An_Cour!$U:$U,$B128,BV_Data_An_Cour!$V:$V,$C128,BV_Data_An_Cour!$W:$W,$L$2)</f>
        <v>0</v>
      </c>
      <c r="M128" s="252"/>
      <c r="N128" s="275">
        <f t="shared" si="23"/>
        <v>0</v>
      </c>
      <c r="O128" s="252"/>
      <c r="P128" s="41"/>
      <c r="Q128" s="255">
        <f t="array" ref="Q128">+SUMPRODUCT(('Réel 2024'!$A$8:$A$502=$A128)*('Réel 2024'!$C$3:$AO$3=Q$2),'Réel 2024'!$C$8:$AO$502)</f>
        <v>0</v>
      </c>
      <c r="R128" s="252"/>
      <c r="S128" s="275">
        <f t="shared" si="26"/>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19"/>
        <v>Véhicules usagés[...]</v>
      </c>
      <c r="B129" s="41" t="s">
        <v>152</v>
      </c>
      <c r="C129" s="311" t="s">
        <v>59</v>
      </c>
      <c r="D129" s="296"/>
      <c r="E129" s="41"/>
      <c r="F129" s="253">
        <f t="array" ref="F129">+SUMPRODUCT(('Budget original'!$A$8:$A$502=$A129)*('Budget original'!$C$3:$AO$3=F$2),'Budget original'!$C$8:$AO$502)</f>
        <v>0</v>
      </c>
      <c r="G129" s="297"/>
      <c r="H129" s="41"/>
      <c r="I129" s="253"/>
      <c r="J129" s="252"/>
      <c r="K129" s="41"/>
      <c r="L129" s="255">
        <f>SUMIFS(BV_Data_An_Cour!$P:$P,BV_Data_An_Cour!$U:$U,$B129,BV_Data_An_Cour!$V:$V,$C129,BV_Data_An_Cour!$W:$W,$L$2)</f>
        <v>0</v>
      </c>
      <c r="M129" s="252"/>
      <c r="N129" s="275">
        <f t="shared" si="23"/>
        <v>0</v>
      </c>
      <c r="O129" s="252"/>
      <c r="P129" s="41"/>
      <c r="Q129" s="255">
        <f t="array" ref="Q129">+SUMPRODUCT(('Réel 2024'!$A$8:$A$502=$A129)*('Réel 2024'!$C$3:$AO$3=Q$2),'Réel 2024'!$C$8:$AO$502)</f>
        <v>0</v>
      </c>
      <c r="R129" s="252"/>
      <c r="S129" s="275">
        <f t="shared" si="26"/>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19"/>
        <v>Véhicules usagés[...]</v>
      </c>
      <c r="B130" s="41" t="s">
        <v>152</v>
      </c>
      <c r="C130" s="311" t="s">
        <v>59</v>
      </c>
      <c r="D130" s="296"/>
      <c r="E130" s="41"/>
      <c r="F130" s="253">
        <f t="array" ref="F130">+SUMPRODUCT(('Budget original'!$A$8:$A$502=$A130)*('Budget original'!$C$3:$AO$3=F$2),'Budget original'!$C$8:$AO$502)</f>
        <v>0</v>
      </c>
      <c r="G130" s="297"/>
      <c r="H130" s="41"/>
      <c r="I130" s="253"/>
      <c r="J130" s="252"/>
      <c r="K130" s="41"/>
      <c r="L130" s="255">
        <f>SUMIFS(BV_Data_An_Cour!$P:$P,BV_Data_An_Cour!$U:$U,$B130,BV_Data_An_Cour!$V:$V,$C130,BV_Data_An_Cour!$W:$W,$L$2)</f>
        <v>0</v>
      </c>
      <c r="M130" s="252"/>
      <c r="N130" s="275">
        <f t="shared" si="23"/>
        <v>0</v>
      </c>
      <c r="O130" s="252"/>
      <c r="P130" s="41"/>
      <c r="Q130" s="255">
        <f t="array" ref="Q130">+SUMPRODUCT(('Réel 2024'!$A$8:$A$502=$A130)*('Réel 2024'!$C$3:$AO$3=Q$2),'Réel 2024'!$C$8:$AO$502)</f>
        <v>0</v>
      </c>
      <c r="R130" s="252"/>
      <c r="S130" s="275">
        <f t="shared" si="26"/>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19"/>
        <v>Véhicules usagésSalaires en absences</v>
      </c>
      <c r="B131" s="41" t="s">
        <v>152</v>
      </c>
      <c r="C131" s="312" t="s">
        <v>124</v>
      </c>
      <c r="D131" s="296"/>
      <c r="E131" s="41"/>
      <c r="F131" s="253">
        <f t="array" ref="F131">+SUMPRODUCT(('Budget original'!$A$8:$A$502=$A131)*('Budget original'!$C$3:$AO$3=F$2),'Budget original'!$C$8:$AO$502)</f>
        <v>54405.550917432694</v>
      </c>
      <c r="G131" s="297"/>
      <c r="H131" s="41"/>
      <c r="I131" s="253"/>
      <c r="J131" s="252"/>
      <c r="K131" s="41"/>
      <c r="L131" s="255">
        <f>SUMIFS(BV_Data_An_Cour!$P:$P,BV_Data_An_Cour!$U:$U,$B131,BV_Data_An_Cour!$V:$V,$C131,BV_Data_An_Cour!$W:$W,$L$2)</f>
        <v>49503.31</v>
      </c>
      <c r="M131" s="252"/>
      <c r="N131" s="275">
        <f t="shared" si="23"/>
        <v>-4902.2409174326967</v>
      </c>
      <c r="O131" s="252"/>
      <c r="P131" s="41"/>
      <c r="Q131" s="255">
        <f t="array" ref="Q131">+SUMPRODUCT(('Réel 2024'!$A$8:$A$502=$A131)*('Réel 2024'!$C$3:$AO$3=Q$2),'Réel 2024'!$C$8:$AO$502)</f>
        <v>55702.400000000001</v>
      </c>
      <c r="R131" s="252"/>
      <c r="S131" s="275">
        <f t="shared" si="26"/>
        <v>-6199.0900000000038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19"/>
        <v>Véhicules usagésDéduction à la source</v>
      </c>
      <c r="B132" s="41" t="s">
        <v>152</v>
      </c>
      <c r="C132" s="311" t="s">
        <v>125</v>
      </c>
      <c r="D132" s="313"/>
      <c r="E132" s="314"/>
      <c r="F132" s="270">
        <f t="array" ref="F132">+SUMPRODUCT(('Budget original'!$A$8:$A$502=$A132)*('Budget original'!$C$3:$AO$3=F$2),'Budget original'!$C$8:$AO$502)</f>
        <v>66149.480410623015</v>
      </c>
      <c r="G132" s="315"/>
      <c r="H132" s="314"/>
      <c r="I132" s="270"/>
      <c r="J132" s="240"/>
      <c r="K132" s="314"/>
      <c r="L132" s="271">
        <f>SUMIFS(BV_Data_An_Cour!$P:$P,BV_Data_An_Cour!$U:$U,$B132,BV_Data_An_Cour!$V:$V,$C132,BV_Data_An_Cour!$W:$W,$L$2)</f>
        <v>60113.11</v>
      </c>
      <c r="M132" s="240"/>
      <c r="N132" s="316">
        <f t="shared" si="23"/>
        <v>-6036.3704106230143</v>
      </c>
      <c r="O132" s="240"/>
      <c r="P132" s="314"/>
      <c r="Q132" s="271">
        <f t="array" ref="Q132">+SUMPRODUCT(('Réel 2024'!$A$8:$A$502=$A132)*('Réel 2024'!$C$3:$AO$3=Q$2),'Réel 2024'!$C$8:$AO$502)</f>
        <v>64775.39</v>
      </c>
      <c r="R132" s="240"/>
      <c r="S132" s="316">
        <f t="shared" si="26"/>
        <v>-4662.2799999999988</v>
      </c>
      <c r="T132" s="41"/>
      <c r="U132" s="253">
        <f>L132-Print_Mois!L132</f>
        <v>52449.06</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19"/>
        <v>Véhicules usagésBénéfices marginaux</v>
      </c>
      <c r="B133" s="41" t="s">
        <v>152</v>
      </c>
      <c r="C133" s="311" t="s">
        <v>126</v>
      </c>
      <c r="D133" s="296"/>
      <c r="E133" s="41"/>
      <c r="F133" s="253">
        <f t="array" ref="F133">+SUMPRODUCT(('Budget original'!$A$8:$A$502=$A133)*('Budget original'!$C$3:$AO$3=F$2),'Budget original'!$C$8:$AO$502)</f>
        <v>34081.362733299247</v>
      </c>
      <c r="G133" s="297"/>
      <c r="H133" s="41"/>
      <c r="I133" s="253"/>
      <c r="J133" s="252"/>
      <c r="K133" s="41"/>
      <c r="L133" s="255">
        <f>SUMIFS(BV_Data_An_Cour!$P:$P,BV_Data_An_Cour!$U:$U,$B133,BV_Data_An_Cour!$V:$V,$C133,BV_Data_An_Cour!$W:$W,$L$2)</f>
        <v>29833.1</v>
      </c>
      <c r="M133" s="252"/>
      <c r="N133" s="275">
        <f t="shared" si="23"/>
        <v>-4248.2627332992488</v>
      </c>
      <c r="O133" s="252"/>
      <c r="P133" s="41"/>
      <c r="Q133" s="255">
        <f t="array" ref="Q133">+SUMPRODUCT(('Réel 2024'!$A$8:$A$502=$A133)*('Réel 2024'!$C$3:$AO$3=Q$2),'Réel 2024'!$C$8:$AO$502)</f>
        <v>31779.299999999985</v>
      </c>
      <c r="R133" s="252"/>
      <c r="S133" s="275">
        <f t="shared" si="26"/>
        <v>-1946.1999999999862</v>
      </c>
      <c r="T133" s="41"/>
      <c r="U133" s="253">
        <f>L133-Print_Mois!L133</f>
        <v>26030.39</v>
      </c>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19"/>
        <v>Véhicules usagésCsst</v>
      </c>
      <c r="B134" s="41" t="s">
        <v>152</v>
      </c>
      <c r="C134" s="311" t="s">
        <v>127</v>
      </c>
      <c r="D134" s="296"/>
      <c r="E134" s="41"/>
      <c r="F134" s="253">
        <f t="array" ref="F134">+SUMPRODUCT(('Budget original'!$A$8:$A$502=$A134)*('Budget original'!$C$3:$AO$3=F$2),'Budget original'!$C$8:$AO$502)</f>
        <v>14859.665889342852</v>
      </c>
      <c r="G134" s="297"/>
      <c r="H134" s="41"/>
      <c r="I134" s="253"/>
      <c r="J134" s="252"/>
      <c r="K134" s="41"/>
      <c r="L134" s="255">
        <f>SUMIFS(BV_Data_An_Cour!$P:$P,BV_Data_An_Cour!$U:$U,$B134,BV_Data_An_Cour!$V:$V,$C134,BV_Data_An_Cour!$W:$W,$L$2)</f>
        <v>8452.5300000000007</v>
      </c>
      <c r="M134" s="252"/>
      <c r="N134" s="275">
        <f t="shared" si="23"/>
        <v>-6407.1358893428514</v>
      </c>
      <c r="O134" s="252"/>
      <c r="P134" s="41"/>
      <c r="Q134" s="255">
        <f t="array" ref="Q134">+SUMPRODUCT(('Réel 2024'!$A$8:$A$502=$A134)*('Réel 2024'!$C$3:$AO$3=Q$2),'Réel 2024'!$C$8:$AO$502)</f>
        <v>8669.5399999999991</v>
      </c>
      <c r="R134" s="252"/>
      <c r="S134" s="275">
        <f t="shared" si="26"/>
        <v>-217.0099999999984</v>
      </c>
      <c r="T134" s="41"/>
      <c r="U134" s="253">
        <f>L134-Print_Mois!L134</f>
        <v>6801.920000000001</v>
      </c>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19"/>
        <v>Véhicules usagés[...]</v>
      </c>
      <c r="B135" s="41" t="s">
        <v>152</v>
      </c>
      <c r="C135" s="252" t="s">
        <v>59</v>
      </c>
      <c r="D135" s="298"/>
      <c r="E135" s="317"/>
      <c r="F135" s="253">
        <f t="array" ref="F135">+SUMPRODUCT(('Budget original'!$A$8:$A$502=$A135)*('Budget original'!$C$3:$AO$3=F$2),'Budget original'!$C$8:$AO$502)</f>
        <v>0</v>
      </c>
      <c r="G135" s="299"/>
      <c r="H135" s="317"/>
      <c r="I135" s="253"/>
      <c r="J135" s="245"/>
      <c r="K135" s="317"/>
      <c r="L135" s="255">
        <f>SUMIFS(BV_Data_An_Cour!$P:$P,BV_Data_An_Cour!$U:$U,$B135,BV_Data_An_Cour!$V:$V,$C135,BV_Data_An_Cour!$W:$W,$L$2)</f>
        <v>0</v>
      </c>
      <c r="M135" s="245"/>
      <c r="N135" s="295">
        <f t="shared" si="23"/>
        <v>0</v>
      </c>
      <c r="O135" s="245"/>
      <c r="P135" s="317"/>
      <c r="Q135" s="255">
        <f t="array" ref="Q135">+SUMPRODUCT(('Réel 2024'!$A$8:$A$502=$A135)*('Réel 2024'!$C$3:$AO$3=Q$2),'Réel 2024'!$C$8:$AO$502)</f>
        <v>0</v>
      </c>
      <c r="R135" s="245"/>
      <c r="S135" s="295">
        <f t="shared" si="26"/>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19"/>
        <v>Véhicules usagésTOTAL PERSONNEL</v>
      </c>
      <c r="B136" s="41" t="s">
        <v>152</v>
      </c>
      <c r="C136" s="303" t="s">
        <v>128</v>
      </c>
      <c r="D136" s="304" t="s">
        <v>119</v>
      </c>
      <c r="E136" s="305">
        <f>F136/F$109</f>
        <v>0.23848329139150917</v>
      </c>
      <c r="F136" s="306">
        <f>+SUM(F124:F135)</f>
        <v>298313.18108954909</v>
      </c>
      <c r="G136" s="307"/>
      <c r="H136" s="305"/>
      <c r="I136" s="306"/>
      <c r="J136" s="307" t="s">
        <v>119</v>
      </c>
      <c r="K136" s="305">
        <f>L136/L$109</f>
        <v>0.39242670338029167</v>
      </c>
      <c r="L136" s="306">
        <f>SUM(L124:L135)</f>
        <v>261982.46999999997</v>
      </c>
      <c r="M136" s="354"/>
      <c r="N136" s="319">
        <f t="shared" si="23"/>
        <v>-36330.711089549121</v>
      </c>
      <c r="O136" s="307" t="s">
        <v>119</v>
      </c>
      <c r="P136" s="305">
        <f>Q136/Q$109</f>
        <v>0.34022356427640876</v>
      </c>
      <c r="Q136" s="306">
        <f>+SUM(Q124:Q135)</f>
        <v>287231.39999999997</v>
      </c>
      <c r="R136" s="354"/>
      <c r="S136" s="319">
        <f t="shared" si="26"/>
        <v>-25248.929999999993</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19"/>
        <v>Véhicules usagésPublicité 2</v>
      </c>
      <c r="B137" s="41" t="s">
        <v>152</v>
      </c>
      <c r="C137" s="252" t="s">
        <v>129</v>
      </c>
      <c r="D137" s="296"/>
      <c r="E137" s="41"/>
      <c r="F137" s="253">
        <f t="array" ref="F137">+SUMPRODUCT(('Budget original'!$A$8:$A$502=$A137)*('Budget original'!$C$3:$AO$3=F$2),'Budget original'!$C$8:$AO$502)</f>
        <v>0</v>
      </c>
      <c r="G137" s="297"/>
      <c r="H137" s="41"/>
      <c r="I137" s="253"/>
      <c r="J137" s="252"/>
      <c r="K137" s="41"/>
      <c r="L137" s="255">
        <f>SUMIFS(BV_Data_An_Cour!$P:$P,BV_Data_An_Cour!$U:$U,$B137,BV_Data_An_Cour!$V:$V,$C137,BV_Data_An_Cour!$W:$W,$L$2)</f>
        <v>0</v>
      </c>
      <c r="M137" s="252"/>
      <c r="N137" s="275">
        <f t="shared" si="23"/>
        <v>0</v>
      </c>
      <c r="O137" s="252"/>
      <c r="P137" s="41"/>
      <c r="Q137" s="255">
        <f t="array" ref="Q137">+SUMPRODUCT(('Réel 2024'!$A$8:$A$502=$A137)*('Réel 2024'!$C$3:$AO$3=Q$2),'Réel 2024'!$C$8:$AO$502)</f>
        <v>0</v>
      </c>
      <c r="R137" s="252"/>
      <c r="S137" s="275">
        <f t="shared" si="26"/>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19"/>
        <v>Véhicules usagésService gratuit 2</v>
      </c>
      <c r="B138" s="41" t="s">
        <v>152</v>
      </c>
      <c r="C138" s="252" t="s">
        <v>130</v>
      </c>
      <c r="D138" s="296"/>
      <c r="E138" s="41"/>
      <c r="F138" s="253">
        <f t="array" ref="F138">+SUMPRODUCT(('Budget original'!$A$8:$A$502=$A138)*('Budget original'!$C$3:$AO$3=F$2),'Budget original'!$C$8:$AO$502)</f>
        <v>0</v>
      </c>
      <c r="G138" s="297"/>
      <c r="H138" s="41"/>
      <c r="I138" s="253"/>
      <c r="J138" s="252"/>
      <c r="K138" s="41"/>
      <c r="L138" s="255">
        <f>SUMIFS(BV_Data_An_Cour!$P:$P,BV_Data_An_Cour!$U:$U,$B138,BV_Data_An_Cour!$V:$V,$C138,BV_Data_An_Cour!$W:$W,$L$2)</f>
        <v>0</v>
      </c>
      <c r="M138" s="252"/>
      <c r="N138" s="275">
        <f t="shared" si="23"/>
        <v>0</v>
      </c>
      <c r="O138" s="252"/>
      <c r="P138" s="41"/>
      <c r="Q138" s="255">
        <f t="array" ref="Q138">+SUMPRODUCT(('Réel 2024'!$A$8:$A$502=$A138)*('Réel 2024'!$C$3:$AO$3=Q$2),'Réel 2024'!$C$8:$AO$502)</f>
        <v>0</v>
      </c>
      <c r="R138" s="252"/>
      <c r="S138" s="275">
        <f t="shared" si="26"/>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19"/>
        <v>Véhicules usagésFrais véhicules de cie</v>
      </c>
      <c r="B139" s="41" t="s">
        <v>152</v>
      </c>
      <c r="C139" s="245" t="s">
        <v>131</v>
      </c>
      <c r="D139" s="298"/>
      <c r="E139" s="317"/>
      <c r="F139" s="247">
        <f t="array" ref="F139">+SUMPRODUCT(('Budget original'!$A$8:$A$502=$A139)*('Budget original'!$C$3:$AO$3=F$2),'Budget original'!$C$8:$AO$502)</f>
        <v>8989.0730222222228</v>
      </c>
      <c r="G139" s="299"/>
      <c r="H139" s="317"/>
      <c r="I139" s="247"/>
      <c r="J139" s="245"/>
      <c r="K139" s="317"/>
      <c r="L139" s="247">
        <f>SUMIFS(BV_Data_An_Cour!$P:$P,BV_Data_An_Cour!$U:$U,$B139,BV_Data_An_Cour!$V:$V,$C139,BV_Data_An_Cour!$W:$W,$L$2)</f>
        <v>18316.16</v>
      </c>
      <c r="M139" s="245"/>
      <c r="N139" s="295">
        <f t="shared" si="23"/>
        <v>9327.0869777777771</v>
      </c>
      <c r="O139" s="245"/>
      <c r="P139" s="317"/>
      <c r="Q139" s="247">
        <f t="array" ref="Q139">+SUMPRODUCT(('Réel 2024'!$A$8:$A$502=$A139)*('Réel 2024'!$C$3:$AO$3=Q$2),'Réel 2024'!$C$8:$AO$502)</f>
        <v>14759.94</v>
      </c>
      <c r="R139" s="245"/>
      <c r="S139" s="295">
        <f t="shared" si="26"/>
        <v>3556.2199999999993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19"/>
        <v>Véhicules usagésInformatique</v>
      </c>
      <c r="B140" s="41" t="s">
        <v>152</v>
      </c>
      <c r="C140" s="252" t="s">
        <v>132</v>
      </c>
      <c r="D140" s="296"/>
      <c r="E140" s="41"/>
      <c r="F140" s="253">
        <f t="array" ref="F140">+SUMPRODUCT(('Budget original'!$A$8:$A$502=$A140)*('Budget original'!$C$3:$AO$3=F$2),'Budget original'!$C$8:$AO$502)</f>
        <v>24344</v>
      </c>
      <c r="G140" s="297"/>
      <c r="H140" s="41"/>
      <c r="I140" s="253"/>
      <c r="J140" s="252"/>
      <c r="K140" s="41"/>
      <c r="L140" s="255">
        <f>SUMIFS(BV_Data_An_Cour!$P:$P,BV_Data_An_Cour!$U:$U,$B140,BV_Data_An_Cour!$V:$V,$C140,BV_Data_An_Cour!$W:$W,$L$2)</f>
        <v>25537.3</v>
      </c>
      <c r="M140" s="252"/>
      <c r="N140" s="275">
        <f t="shared" si="23"/>
        <v>1193.2999999999993</v>
      </c>
      <c r="O140" s="252"/>
      <c r="P140" s="41"/>
      <c r="Q140" s="255">
        <f t="array" ref="Q140">+SUMPRODUCT(('Réel 2024'!$A$8:$A$502=$A140)*('Réel 2024'!$C$3:$AO$3=Q$2),'Réel 2024'!$C$8:$AO$502)</f>
        <v>23923.15</v>
      </c>
      <c r="R140" s="252"/>
      <c r="S140" s="275">
        <f t="shared" si="26"/>
        <v>1614.1499999999978</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19"/>
        <v>Véhicules usagésFrais de déplacement</v>
      </c>
      <c r="B141" s="41" t="s">
        <v>152</v>
      </c>
      <c r="C141" s="252" t="s">
        <v>133</v>
      </c>
      <c r="D141" s="296"/>
      <c r="E141" s="41"/>
      <c r="F141" s="253">
        <f t="array" ref="F141">+SUMPRODUCT(('Budget original'!$A$8:$A$502=$A141)*('Budget original'!$C$3:$AO$3=F$2),'Budget original'!$C$8:$AO$502)</f>
        <v>5250</v>
      </c>
      <c r="G141" s="297"/>
      <c r="H141" s="41"/>
      <c r="I141" s="253"/>
      <c r="J141" s="252"/>
      <c r="K141" s="41"/>
      <c r="L141" s="255">
        <f>SUMIFS(BV_Data_An_Cour!$P:$P,BV_Data_An_Cour!$U:$U,$B141,BV_Data_An_Cour!$V:$V,$C141,BV_Data_An_Cour!$W:$W,$L$2)</f>
        <v>2394.0700000000002</v>
      </c>
      <c r="M141" s="252"/>
      <c r="N141" s="275">
        <f t="shared" si="23"/>
        <v>-2855.93</v>
      </c>
      <c r="O141" s="252"/>
      <c r="P141" s="41"/>
      <c r="Q141" s="255">
        <f t="array" ref="Q141">+SUMPRODUCT(('Réel 2024'!$A$8:$A$502=$A141)*('Réel 2024'!$C$3:$AO$3=Q$2),'Réel 2024'!$C$8:$AO$502)</f>
        <v>3679.3599999999997</v>
      </c>
      <c r="R141" s="252"/>
      <c r="S141" s="275">
        <f t="shared" si="26"/>
        <v>-1285.2899999999995</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19"/>
        <v>Véhicules usagésServices extérieurs</v>
      </c>
      <c r="B142" s="41" t="s">
        <v>152</v>
      </c>
      <c r="C142" s="245" t="s">
        <v>134</v>
      </c>
      <c r="D142" s="298"/>
      <c r="E142" s="317"/>
      <c r="F142" s="247">
        <f t="array" ref="F142">+SUMPRODUCT(('Budget original'!$A$8:$A$502=$A142)*('Budget original'!$C$3:$AO$3=F$2),'Budget original'!$C$8:$AO$502)</f>
        <v>10906.44</v>
      </c>
      <c r="G142" s="299"/>
      <c r="H142" s="317"/>
      <c r="I142" s="247"/>
      <c r="J142" s="245"/>
      <c r="K142" s="317"/>
      <c r="L142" s="247">
        <f>SUMIFS(BV_Data_An_Cour!$P:$P,BV_Data_An_Cour!$U:$U,$B142,BV_Data_An_Cour!$V:$V,$C142,BV_Data_An_Cour!$W:$W,$L$2)</f>
        <v>16942.189999999999</v>
      </c>
      <c r="M142" s="245"/>
      <c r="N142" s="295">
        <f t="shared" si="23"/>
        <v>6035.7499999999982</v>
      </c>
      <c r="O142" s="245"/>
      <c r="P142" s="317"/>
      <c r="Q142" s="247">
        <f t="array" ref="Q142">+SUMPRODUCT(('Réel 2024'!$A$8:$A$502=$A142)*('Réel 2024'!$C$3:$AO$3=Q$2),'Réel 2024'!$C$8:$AO$502)</f>
        <v>21242.6</v>
      </c>
      <c r="R142" s="245"/>
      <c r="S142" s="295">
        <f t="shared" si="26"/>
        <v>-4300.41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19"/>
        <v>Véhicules usagésFournitures autres</v>
      </c>
      <c r="B143" s="41" t="s">
        <v>152</v>
      </c>
      <c r="C143" s="252" t="s">
        <v>135</v>
      </c>
      <c r="D143" s="296"/>
      <c r="E143" s="41"/>
      <c r="F143" s="253">
        <f t="array" ref="F143">+SUMPRODUCT(('Budget original'!$A$8:$A$502=$A143)*('Budget original'!$C$3:$AO$3=F$2),'Budget original'!$C$8:$AO$502)</f>
        <v>350</v>
      </c>
      <c r="G143" s="297"/>
      <c r="H143" s="41"/>
      <c r="I143" s="253"/>
      <c r="J143" s="252"/>
      <c r="K143" s="41"/>
      <c r="L143" s="255">
        <f>SUMIFS(BV_Data_An_Cour!$P:$P,BV_Data_An_Cour!$U:$U,$B143,BV_Data_An_Cour!$V:$V,$C143,BV_Data_An_Cour!$W:$W,$L$2)</f>
        <v>0</v>
      </c>
      <c r="M143" s="252"/>
      <c r="N143" s="275">
        <f t="shared" si="23"/>
        <v>-350</v>
      </c>
      <c r="O143" s="252"/>
      <c r="P143" s="41"/>
      <c r="Q143" s="255">
        <f t="array" ref="Q143">+SUMPRODUCT(('Réel 2024'!$A$8:$A$502=$A143)*('Réel 2024'!$C$3:$AO$3=Q$2),'Réel 2024'!$C$8:$AO$502)</f>
        <v>306.39</v>
      </c>
      <c r="R143" s="252"/>
      <c r="S143" s="275">
        <f t="shared" si="26"/>
        <v>-306.39</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19"/>
        <v>Véhicules usagésUniformes</v>
      </c>
      <c r="B144" s="41" t="s">
        <v>152</v>
      </c>
      <c r="C144" s="252" t="s">
        <v>136</v>
      </c>
      <c r="D144" s="296"/>
      <c r="E144" s="41"/>
      <c r="F144" s="253">
        <f t="array" ref="F144">+SUMPRODUCT(('Budget original'!$A$8:$A$502=$A144)*('Budget original'!$C$3:$AO$3=F$2),'Budget original'!$C$8:$AO$502)</f>
        <v>0</v>
      </c>
      <c r="G144" s="297"/>
      <c r="H144" s="41"/>
      <c r="I144" s="253"/>
      <c r="J144" s="252"/>
      <c r="K144" s="41"/>
      <c r="L144" s="255">
        <f>SUMIFS(BV_Data_An_Cour!$P:$P,BV_Data_An_Cour!$U:$U,$B144,BV_Data_An_Cour!$V:$V,$C144,BV_Data_An_Cour!$W:$W,$L$2)</f>
        <v>124.75</v>
      </c>
      <c r="M144" s="252"/>
      <c r="N144" s="275">
        <f t="shared" si="23"/>
        <v>124.75</v>
      </c>
      <c r="O144" s="252"/>
      <c r="P144" s="41"/>
      <c r="Q144" s="255">
        <f t="array" ref="Q144">+SUMPRODUCT(('Réel 2024'!$A$8:$A$502=$A144)*('Réel 2024'!$C$3:$AO$3=Q$2),'Réel 2024'!$C$8:$AO$502)</f>
        <v>0</v>
      </c>
      <c r="R144" s="252"/>
      <c r="S144" s="275">
        <f t="shared" si="26"/>
        <v>124.75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19"/>
        <v>Véhicules usagésPapeterie</v>
      </c>
      <c r="B145" s="41" t="s">
        <v>152</v>
      </c>
      <c r="C145" s="252" t="s">
        <v>137</v>
      </c>
      <c r="D145" s="296"/>
      <c r="E145" s="41"/>
      <c r="F145" s="253">
        <f t="array" ref="F145">+SUMPRODUCT(('Budget original'!$A$8:$A$502=$A145)*('Budget original'!$C$3:$AO$3=F$2),'Budget original'!$C$8:$AO$502)</f>
        <v>1904</v>
      </c>
      <c r="G145" s="297"/>
      <c r="H145" s="41"/>
      <c r="I145" s="253"/>
      <c r="J145" s="252"/>
      <c r="K145" s="41"/>
      <c r="L145" s="255">
        <f>SUMIFS(BV_Data_An_Cour!$P:$P,BV_Data_An_Cour!$U:$U,$B145,BV_Data_An_Cour!$V:$V,$C145,BV_Data_An_Cour!$W:$W,$L$2)</f>
        <v>4605.1400000000003</v>
      </c>
      <c r="M145" s="252"/>
      <c r="N145" s="275">
        <f t="shared" si="23"/>
        <v>2701.1400000000003</v>
      </c>
      <c r="O145" s="252"/>
      <c r="P145" s="41"/>
      <c r="Q145" s="255">
        <f t="array" ref="Q145">+SUMPRODUCT(('Réel 2024'!$A$8:$A$502=$A145)*('Réel 2024'!$C$3:$AO$3=Q$2),'Réel 2024'!$C$8:$AO$502)</f>
        <v>2054.12</v>
      </c>
      <c r="R145" s="252"/>
      <c r="S145" s="275">
        <f t="shared" si="26"/>
        <v>2551.0200000000004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19"/>
        <v>Véhicules usagésTéléphone</v>
      </c>
      <c r="B146" s="41" t="s">
        <v>152</v>
      </c>
      <c r="C146" s="252" t="s">
        <v>138</v>
      </c>
      <c r="D146" s="296"/>
      <c r="E146" s="41"/>
      <c r="F146" s="253">
        <f t="array" ref="F146">+SUMPRODUCT(('Budget original'!$A$8:$A$502=$A146)*('Budget original'!$C$3:$AO$3=F$2),'Budget original'!$C$8:$AO$502)</f>
        <v>612.5</v>
      </c>
      <c r="G146" s="297"/>
      <c r="H146" s="41"/>
      <c r="I146" s="253"/>
      <c r="J146" s="252"/>
      <c r="K146" s="41"/>
      <c r="L146" s="255">
        <f>SUMIFS(BV_Data_An_Cour!$P:$P,BV_Data_An_Cour!$U:$U,$B146,BV_Data_An_Cour!$V:$V,$C146,BV_Data_An_Cour!$W:$W,$L$2)</f>
        <v>511.04</v>
      </c>
      <c r="M146" s="252"/>
      <c r="N146" s="275">
        <f t="shared" si="23"/>
        <v>-101.45999999999998</v>
      </c>
      <c r="O146" s="252"/>
      <c r="P146" s="41"/>
      <c r="Q146" s="255">
        <f t="array" ref="Q146">+SUMPRODUCT(('Réel 2024'!$A$8:$A$502=$A146)*('Réel 2024'!$C$3:$AO$3=Q$2),'Réel 2024'!$C$8:$AO$502)</f>
        <v>568.86</v>
      </c>
      <c r="R146" s="252"/>
      <c r="S146" s="275">
        <f t="shared" si="26"/>
        <v>-57.819999999999993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19"/>
        <v>Véhicules usagésFrais postaux</v>
      </c>
      <c r="B147" s="41" t="s">
        <v>152</v>
      </c>
      <c r="C147" s="252" t="s">
        <v>139</v>
      </c>
      <c r="D147" s="296"/>
      <c r="E147" s="41"/>
      <c r="F147" s="253">
        <f t="array" ref="F147">+SUMPRODUCT(('Budget original'!$A$8:$A$502=$A147)*('Budget original'!$C$3:$AO$3=F$2),'Budget original'!$C$8:$AO$502)</f>
        <v>598.29</v>
      </c>
      <c r="G147" s="297"/>
      <c r="H147" s="41"/>
      <c r="I147" s="253"/>
      <c r="J147" s="252"/>
      <c r="K147" s="41"/>
      <c r="L147" s="255">
        <f>SUMIFS(BV_Data_An_Cour!$P:$P,BV_Data_An_Cour!$U:$U,$B147,BV_Data_An_Cour!$V:$V,$C147,BV_Data_An_Cour!$W:$W,$L$2)</f>
        <v>548.59</v>
      </c>
      <c r="M147" s="252"/>
      <c r="N147" s="275">
        <f t="shared" si="23"/>
        <v>-49.699999999999932</v>
      </c>
      <c r="O147" s="252"/>
      <c r="P147" s="41"/>
      <c r="Q147" s="255">
        <f t="array" ref="Q147">+SUMPRODUCT(('Réel 2024'!$A$8:$A$502=$A147)*('Réel 2024'!$C$3:$AO$3=Q$2),'Réel 2024'!$C$8:$AO$502)</f>
        <v>901.28</v>
      </c>
      <c r="R147" s="252"/>
      <c r="S147" s="275">
        <f t="shared" si="26"/>
        <v>-352.68999999999994</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19"/>
        <v>Véhicules usagésDivers</v>
      </c>
      <c r="B148" s="41" t="s">
        <v>152</v>
      </c>
      <c r="C148" s="252" t="s">
        <v>140</v>
      </c>
      <c r="D148" s="296"/>
      <c r="E148" s="41"/>
      <c r="F148" s="253">
        <f t="array" ref="F148">+SUMPRODUCT(('Budget original'!$A$8:$A$502=$A148)*('Budget original'!$C$3:$AO$3=F$2),'Budget original'!$C$8:$AO$502)</f>
        <v>315</v>
      </c>
      <c r="G148" s="297"/>
      <c r="H148" s="41"/>
      <c r="I148" s="253"/>
      <c r="J148" s="252"/>
      <c r="K148" s="41"/>
      <c r="L148" s="255">
        <f>SUMIFS(BV_Data_An_Cour!$P:$P,BV_Data_An_Cour!$U:$U,$B148,BV_Data_An_Cour!$V:$V,$C148,BV_Data_An_Cour!$W:$W,$L$2)</f>
        <v>405.05</v>
      </c>
      <c r="M148" s="252"/>
      <c r="N148" s="275">
        <f t="shared" si="23"/>
        <v>90.050000000000011</v>
      </c>
      <c r="O148" s="252"/>
      <c r="P148" s="41"/>
      <c r="Q148" s="255">
        <f t="array" ref="Q148">+SUMPRODUCT(('Réel 2024'!$A$8:$A$502=$A148)*('Réel 2024'!$C$3:$AO$3=Q$2),'Réel 2024'!$C$8:$AO$502)</f>
        <v>221.26000000000002</v>
      </c>
      <c r="R148" s="252"/>
      <c r="S148" s="275">
        <f t="shared" si="26"/>
        <v>183.79</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19"/>
        <v>Véhicules usagésFormation</v>
      </c>
      <c r="B149" s="41" t="s">
        <v>152</v>
      </c>
      <c r="C149" s="252" t="s">
        <v>141</v>
      </c>
      <c r="D149" s="296"/>
      <c r="E149" s="41"/>
      <c r="F149" s="253">
        <f t="array" ref="F149">+SUMPRODUCT(('Budget original'!$A$8:$A$502=$A149)*('Budget original'!$C$3:$AO$3=F$2),'Budget original'!$C$8:$AO$502)</f>
        <v>2916.6666666666665</v>
      </c>
      <c r="G149" s="297"/>
      <c r="H149" s="41"/>
      <c r="I149" s="253"/>
      <c r="J149" s="252"/>
      <c r="K149" s="41"/>
      <c r="L149" s="255">
        <f>SUMIFS(BV_Data_An_Cour!$P:$P,BV_Data_An_Cour!$U:$U,$B149,BV_Data_An_Cour!$V:$V,$C149,BV_Data_An_Cour!$W:$W,$L$2)</f>
        <v>2383.61</v>
      </c>
      <c r="M149" s="252"/>
      <c r="N149" s="275">
        <f t="shared" si="23"/>
        <v>-533.05666666666639</v>
      </c>
      <c r="O149" s="252"/>
      <c r="P149" s="41"/>
      <c r="Q149" s="255">
        <f t="array" ref="Q149">+SUMPRODUCT(('Réel 2024'!$A$8:$A$502=$A149)*('Réel 2024'!$C$3:$AO$3=Q$2),'Réel 2024'!$C$8:$AO$502)</f>
        <v>3932.33</v>
      </c>
      <c r="R149" s="252"/>
      <c r="S149" s="275">
        <f t="shared" si="26"/>
        <v>-1548.7199999999998</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19"/>
        <v>Véhicules usagésFrais bancaires</v>
      </c>
      <c r="B150" s="41" t="s">
        <v>152</v>
      </c>
      <c r="C150" s="252" t="s">
        <v>142</v>
      </c>
      <c r="D150" s="296"/>
      <c r="E150" s="41"/>
      <c r="F150" s="253">
        <f t="array" ref="F150">+SUMPRODUCT(('Budget original'!$A$8:$A$502=$A150)*('Budget original'!$C$3:$AO$3=F$2),'Budget original'!$C$8:$AO$502)</f>
        <v>5874.7720488842688</v>
      </c>
      <c r="G150" s="297"/>
      <c r="H150" s="41"/>
      <c r="I150" s="253"/>
      <c r="J150" s="252"/>
      <c r="K150" s="41"/>
      <c r="L150" s="851">
        <f>SUMIFS(BV_Data_An_Cour!$P:$P,BV_Data_An_Cour!$U:$U,$B150,BV_Data_An_Cour!$V:$V,$C150,BV_Data_An_Cour!$W:$W,L$2)</f>
        <v>6672.75</v>
      </c>
      <c r="M150" s="886"/>
      <c r="N150" s="860">
        <f t="shared" si="23"/>
        <v>797.97795111573123</v>
      </c>
      <c r="O150" s="252"/>
      <c r="P150" s="41"/>
      <c r="Q150" s="255">
        <f t="array" ref="Q150">+SUMPRODUCT(('Réel 2024'!$A$8:$A$502=$A150)*('Réel 2024'!$C$3:$AO$3=Q$2),'Réel 2024'!$C$8:$AO$502)</f>
        <v>5675.28</v>
      </c>
      <c r="R150" s="252"/>
      <c r="S150" s="275">
        <f t="shared" si="26"/>
        <v>997.47000000000025</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19"/>
        <v>Véhicules usagés[...]</v>
      </c>
      <c r="B151" s="41" t="s">
        <v>152</v>
      </c>
      <c r="C151" s="252" t="s">
        <v>59</v>
      </c>
      <c r="D151" s="296"/>
      <c r="E151" s="41"/>
      <c r="F151" s="253">
        <f t="array" ref="F151">+SUMPRODUCT(('Budget original'!$A$8:$A$502=$A151)*('Budget original'!$C$3:$AO$3=F$2),'Budget original'!$C$8:$AO$502)</f>
        <v>0</v>
      </c>
      <c r="G151" s="297"/>
      <c r="H151" s="41"/>
      <c r="I151" s="253"/>
      <c r="J151" s="252"/>
      <c r="K151" s="41"/>
      <c r="L151" s="255">
        <f>SUMIFS(BV_Data_An_Cour!$P:$P,BV_Data_An_Cour!$U:$U,$B151,BV_Data_An_Cour!$V:$V,$C151,BV_Data_An_Cour!$W:$W,$L$2)</f>
        <v>0</v>
      </c>
      <c r="M151" s="252"/>
      <c r="N151" s="275">
        <f t="shared" si="23"/>
        <v>0</v>
      </c>
      <c r="O151" s="252"/>
      <c r="P151" s="41"/>
      <c r="Q151" s="255">
        <f t="array" ref="Q151">+SUMPRODUCT(('Réel 2024'!$A$8:$A$502=$A151)*('Réel 2024'!$C$3:$AO$3=Q$2),'Réel 2024'!$C$8:$AO$502)</f>
        <v>0</v>
      </c>
      <c r="R151" s="252"/>
      <c r="S151" s="275">
        <f t="shared" si="26"/>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19"/>
        <v>Véhicules usagés[...]</v>
      </c>
      <c r="B152" s="41" t="s">
        <v>152</v>
      </c>
      <c r="C152" s="252" t="s">
        <v>59</v>
      </c>
      <c r="D152" s="296"/>
      <c r="E152" s="41"/>
      <c r="F152" s="253">
        <f t="array" ref="F152">+SUMPRODUCT(('Budget original'!$A$8:$A$502=$A152)*('Budget original'!$C$3:$AO$3=F$2),'Budget original'!$C$8:$AO$502)</f>
        <v>0</v>
      </c>
      <c r="G152" s="297"/>
      <c r="H152" s="41"/>
      <c r="I152" s="253"/>
      <c r="J152" s="252"/>
      <c r="K152" s="41"/>
      <c r="L152" s="255">
        <f>SUMIFS(BV_Data_An_Cour!$P:$P,BV_Data_An_Cour!$U:$U,$B152,BV_Data_An_Cour!$V:$V,$C152,BV_Data_An_Cour!$W:$W,$L$2)</f>
        <v>0</v>
      </c>
      <c r="M152" s="252"/>
      <c r="N152" s="275">
        <f t="shared" si="23"/>
        <v>0</v>
      </c>
      <c r="O152" s="252"/>
      <c r="P152" s="41"/>
      <c r="Q152" s="255">
        <f t="array" ref="Q152">+SUMPRODUCT(('Réel 2024'!$A$8:$A$502=$A152)*('Réel 2024'!$C$3:$AO$3=Q$2),'Réel 2024'!$C$8:$AO$502)</f>
        <v>0</v>
      </c>
      <c r="R152" s="252"/>
      <c r="S152" s="275">
        <f t="shared" si="26"/>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19"/>
        <v>Véhicules usagés[...]</v>
      </c>
      <c r="B153" s="41" t="s">
        <v>152</v>
      </c>
      <c r="C153" s="252" t="s">
        <v>59</v>
      </c>
      <c r="D153" s="296"/>
      <c r="E153" s="41"/>
      <c r="F153" s="253">
        <f t="array" ref="F153">+SUMPRODUCT(('Budget original'!$A$8:$A$502=$A153)*('Budget original'!$C$3:$AO$3=F$2),'Budget original'!$C$8:$AO$502)</f>
        <v>0</v>
      </c>
      <c r="G153" s="297"/>
      <c r="H153" s="41"/>
      <c r="I153" s="253"/>
      <c r="J153" s="252"/>
      <c r="K153" s="41"/>
      <c r="L153" s="255">
        <f>SUMIFS(BV_Data_An_Cour!$P:$P,BV_Data_An_Cour!$U:$U,$B153,BV_Data_An_Cour!$V:$V,$C153,BV_Data_An_Cour!$W:$W,$L$2)</f>
        <v>0</v>
      </c>
      <c r="M153" s="252"/>
      <c r="N153" s="275">
        <f t="shared" si="23"/>
        <v>0</v>
      </c>
      <c r="O153" s="252"/>
      <c r="P153" s="41"/>
      <c r="Q153" s="255">
        <f t="array" ref="Q153">+SUMPRODUCT(('Réel 2024'!$A$8:$A$502=$A153)*('Réel 2024'!$C$3:$AO$3=Q$2),'Réel 2024'!$C$8:$AO$502)</f>
        <v>0</v>
      </c>
      <c r="R153" s="252"/>
      <c r="S153" s="275">
        <f t="shared" si="26"/>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19"/>
        <v>Véhicules usagésTOTAL SEMI-FIXES</v>
      </c>
      <c r="B154" s="41" t="s">
        <v>152</v>
      </c>
      <c r="C154" s="303" t="s">
        <v>143</v>
      </c>
      <c r="D154" s="304" t="s">
        <v>119</v>
      </c>
      <c r="E154" s="305">
        <f>F154/F$109</f>
        <v>4.9613798162608448E-2</v>
      </c>
      <c r="F154" s="306">
        <f>+SUM(F137:F153)</f>
        <v>62060.741737773154</v>
      </c>
      <c r="G154" s="307"/>
      <c r="H154" s="305"/>
      <c r="I154" s="306"/>
      <c r="J154" s="307" t="s">
        <v>119</v>
      </c>
      <c r="K154" s="305">
        <f>L154/L$109</f>
        <v>0.11749719624563917</v>
      </c>
      <c r="L154" s="306">
        <f>+SUM(L137:L153)</f>
        <v>78440.649999999994</v>
      </c>
      <c r="M154" s="310"/>
      <c r="N154" s="306">
        <f t="shared" si="23"/>
        <v>16379.90826222684</v>
      </c>
      <c r="O154" s="307" t="s">
        <v>119</v>
      </c>
      <c r="P154" s="305">
        <f>Q154/Q$109</f>
        <v>9.151933736243352E-2</v>
      </c>
      <c r="Q154" s="306">
        <f>+SUM(Q137:Q153)</f>
        <v>77264.569999999992</v>
      </c>
      <c r="R154" s="310"/>
      <c r="S154" s="306">
        <f t="shared" si="26"/>
        <v>1176.0800000000017</v>
      </c>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19"/>
        <v>Véhicules usagés</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19"/>
        <v>Véhicules usagésTOTAL DES DÉPENSES</v>
      </c>
      <c r="B156" s="41" t="s">
        <v>152</v>
      </c>
      <c r="C156" s="303" t="s">
        <v>144</v>
      </c>
      <c r="D156" s="304" t="s">
        <v>119</v>
      </c>
      <c r="E156" s="305">
        <f>F156/F$109</f>
        <v>0.65212505320251923</v>
      </c>
      <c r="F156" s="306">
        <f>F123+F136+F154</f>
        <v>815728.003223798</v>
      </c>
      <c r="G156" s="307"/>
      <c r="H156" s="305"/>
      <c r="I156" s="306"/>
      <c r="J156" s="307" t="s">
        <v>119</v>
      </c>
      <c r="K156" s="305">
        <f>L156/L$109</f>
        <v>0.94078671210592901</v>
      </c>
      <c r="L156" s="306">
        <f>L123+L136+L154</f>
        <v>628065.38</v>
      </c>
      <c r="M156" s="310"/>
      <c r="N156" s="319">
        <f t="shared" ref="N156:N163" si="27">L156-F156</f>
        <v>-187662.623223798</v>
      </c>
      <c r="O156" s="307" t="s">
        <v>119</v>
      </c>
      <c r="P156" s="305">
        <f>Q156/Q$109</f>
        <v>0.82446283748765281</v>
      </c>
      <c r="Q156" s="306">
        <f>Q123+Q136+Q154</f>
        <v>696047.07</v>
      </c>
      <c r="R156" s="310"/>
      <c r="S156" s="319">
        <f t="shared" ref="S156:S163" si="28">L156-Q156</f>
        <v>-67981.689999999944</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19"/>
        <v>Véhicules usagésProgramme used 1</v>
      </c>
      <c r="B157" s="561" t="s">
        <v>152</v>
      </c>
      <c r="C157" s="252" t="s">
        <v>158</v>
      </c>
      <c r="D157" s="355"/>
      <c r="E157" s="356"/>
      <c r="F157" s="253">
        <f t="array" ref="F157">+SUMPRODUCT(('Budget original'!$A$8:$A$502=$A157)*('Budget original'!$C$3:$AO$3=F$2),'Budget original'!$C$8:$AO$502)</f>
        <v>0</v>
      </c>
      <c r="G157" s="357"/>
      <c r="H157" s="356"/>
      <c r="I157" s="253"/>
      <c r="J157" s="357"/>
      <c r="K157" s="356"/>
      <c r="L157" s="255">
        <v>0</v>
      </c>
      <c r="M157" s="252"/>
      <c r="N157" s="275">
        <f t="shared" si="27"/>
        <v>0</v>
      </c>
      <c r="O157" s="357"/>
      <c r="P157" s="356"/>
      <c r="Q157" s="255">
        <f t="array" ref="Q157">+SUMPRODUCT(('Réel 2024'!$A$8:$A$502=$A157)*('Réel 2024'!$C$3:$AO$3=Q$2),'Réel 2024'!$C$8:$AO$502)</f>
        <v>0</v>
      </c>
      <c r="R157" s="252"/>
      <c r="S157" s="275">
        <f t="shared" si="28"/>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19"/>
        <v>Véhicules usagésProgramme used 2</v>
      </c>
      <c r="B158" s="41" t="s">
        <v>152</v>
      </c>
      <c r="C158" s="252" t="s">
        <v>159</v>
      </c>
      <c r="D158" s="355"/>
      <c r="E158" s="356"/>
      <c r="F158" s="253">
        <f t="array" ref="F158">+SUMPRODUCT(('Budget original'!$A$8:$A$502=$A158)*('Budget original'!$C$3:$AO$3=F$2),'Budget original'!$C$8:$AO$502)</f>
        <v>0</v>
      </c>
      <c r="G158" s="357"/>
      <c r="H158" s="356"/>
      <c r="I158" s="253"/>
      <c r="J158" s="357"/>
      <c r="K158" s="356"/>
      <c r="L158" s="255">
        <f>-SUMIFS(BV_Data_An_Cour!$P:$P,BV_Data_An_Cour!$U:$U,$B158,BV_Data_An_Cour!$V:$V,$C158,BV_Data_An_Cour!$W:$W,$L$2)</f>
        <v>0</v>
      </c>
      <c r="M158" s="252"/>
      <c r="N158" s="275">
        <f t="shared" si="27"/>
        <v>0</v>
      </c>
      <c r="O158" s="357"/>
      <c r="P158" s="356"/>
      <c r="Q158" s="255">
        <f t="array" ref="Q158">+SUMPRODUCT(('Réel 2024'!$A$8:$A$502=$A158)*('Réel 2024'!$C$3:$AO$3=Q$2),'Réel 2024'!$C$8:$AO$502)</f>
        <v>0</v>
      </c>
      <c r="R158" s="252"/>
      <c r="S158" s="275">
        <f t="shared" si="28"/>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19"/>
        <v>Véhicules usagésProgramme used 3</v>
      </c>
      <c r="B159" s="41" t="s">
        <v>152</v>
      </c>
      <c r="C159" s="252" t="s">
        <v>160</v>
      </c>
      <c r="D159" s="296"/>
      <c r="E159" s="41"/>
      <c r="F159" s="253">
        <f t="array" ref="F159">+SUMPRODUCT(('Budget original'!$A$8:$A$502=$A159)*('Budget original'!$C$3:$AO$3=F$2),'Budget original'!$C$8:$AO$502)</f>
        <v>0</v>
      </c>
      <c r="G159" s="297"/>
      <c r="H159" s="41"/>
      <c r="I159" s="253"/>
      <c r="J159" s="252"/>
      <c r="K159" s="41"/>
      <c r="L159" s="255">
        <f>-SUMIFS(BV_Data_An_Cour!$P:$P,BV_Data_An_Cour!$U:$U,$B159,BV_Data_An_Cour!$V:$V,$C159,BV_Data_An_Cour!$W:$W,$L$2)</f>
        <v>0</v>
      </c>
      <c r="M159" s="252"/>
      <c r="N159" s="275">
        <f t="shared" si="27"/>
        <v>0</v>
      </c>
      <c r="O159" s="252"/>
      <c r="P159" s="41"/>
      <c r="Q159" s="255">
        <f t="array" ref="Q159">+SUMPRODUCT(('Réel 2024'!$A$8:$A$502=$A159)*('Réel 2024'!$C$3:$AO$3=Q$2),'Réel 2024'!$C$8:$AO$502)</f>
        <v>0</v>
      </c>
      <c r="R159" s="252"/>
      <c r="S159" s="275">
        <f t="shared" si="28"/>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19"/>
        <v>Véhicules usagésFrais administration</v>
      </c>
      <c r="B160" s="320" t="s">
        <v>152</v>
      </c>
      <c r="C160" s="252" t="s">
        <v>149</v>
      </c>
      <c r="D160" s="296"/>
      <c r="E160" s="41"/>
      <c r="F160" s="253">
        <f t="array" ref="F160">+SUMPRODUCT(('Budget original'!$A$8:$A$502=$A160)*('Budget original'!$C$3:$AO$3=F$2),'Budget original'!$C$8:$AO$502)</f>
        <v>144250.85</v>
      </c>
      <c r="G160" s="297"/>
      <c r="H160" s="41"/>
      <c r="I160" s="253"/>
      <c r="J160" s="252"/>
      <c r="K160" s="41"/>
      <c r="L160" s="255">
        <f>-SUMIFS(BV_Data_An_Cour!$P:$P,BV_Data_An_Cour!$U:$U,$B160,BV_Data_An_Cour!$V:$V,$C160,BV_Data_An_Cour!$W:$W,L$2)</f>
        <v>104191</v>
      </c>
      <c r="M160" s="252"/>
      <c r="N160" s="275">
        <f t="shared" si="27"/>
        <v>-40059.850000000006</v>
      </c>
      <c r="O160" s="252"/>
      <c r="P160" s="41"/>
      <c r="Q160" s="255">
        <f t="array" ref="Q160">+SUMPRODUCT(('Réel 2024'!$A$8:$A$502=$A160)*('Réel 2024'!$C$3:$AO$3=Q$2),'Réel 2024'!$C$8:$AO$502)</f>
        <v>88527</v>
      </c>
      <c r="R160" s="252"/>
      <c r="S160" s="275">
        <f t="shared" si="28"/>
        <v>15664</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19"/>
        <v>Véhicules usagés[...]</v>
      </c>
      <c r="B161" s="41" t="s">
        <v>152</v>
      </c>
      <c r="C161" s="252" t="s">
        <v>59</v>
      </c>
      <c r="D161" s="296"/>
      <c r="E161" s="41"/>
      <c r="F161" s="253">
        <f t="array" ref="F161">+SUMPRODUCT(('Budget original'!$A$8:$A$502=$A161)*('Budget original'!$C$3:$AO$3=F$2),'Budget original'!$C$8:$AO$502)</f>
        <v>0</v>
      </c>
      <c r="G161" s="297"/>
      <c r="H161" s="41"/>
      <c r="I161" s="253"/>
      <c r="J161" s="252"/>
      <c r="K161" s="41"/>
      <c r="L161" s="255">
        <f>-SUMIFS(BV_Data_An_Cour!$P:$P,BV_Data_An_Cour!$U:$U,$B161,BV_Data_An_Cour!$V:$V,$C161,BV_Data_An_Cour!$W:$W,$L$2)</f>
        <v>0</v>
      </c>
      <c r="M161" s="252"/>
      <c r="N161" s="275">
        <f t="shared" si="27"/>
        <v>0</v>
      </c>
      <c r="O161" s="252"/>
      <c r="P161" s="41"/>
      <c r="Q161" s="255">
        <f t="array" ref="Q161">+SUMPRODUCT(('Réel 2024'!$A$8:$A$502=$A161)*('Réel 2024'!$C$3:$AO$3=Q$2),'Réel 2024'!$C$8:$AO$502)</f>
        <v>0</v>
      </c>
      <c r="R161" s="252"/>
      <c r="S161" s="275">
        <f t="shared" si="28"/>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19"/>
        <v>Véhicules usagés[...]</v>
      </c>
      <c r="B162" s="41" t="s">
        <v>152</v>
      </c>
      <c r="C162" s="252" t="s">
        <v>59</v>
      </c>
      <c r="D162" s="296"/>
      <c r="E162" s="41"/>
      <c r="F162" s="253">
        <f t="array" ref="F162">+SUMPRODUCT(('Budget original'!$A$8:$A$502=$A162)*('Budget original'!$C$3:$AO$3=F$2),'Budget original'!$C$8:$AO$502)</f>
        <v>0</v>
      </c>
      <c r="G162" s="297"/>
      <c r="H162" s="41"/>
      <c r="I162" s="253"/>
      <c r="J162" s="252"/>
      <c r="K162" s="41"/>
      <c r="L162" s="255">
        <f>-SUMIFS(BV_Data_An_Cour!$P:$P,BV_Data_An_Cour!$U:$U,$B162,BV_Data_An_Cour!$V:$V,$C162,BV_Data_An_Cour!$W:$W,$L$2)</f>
        <v>0</v>
      </c>
      <c r="M162" s="252"/>
      <c r="N162" s="275">
        <f t="shared" si="27"/>
        <v>0</v>
      </c>
      <c r="O162" s="252"/>
      <c r="P162" s="41"/>
      <c r="Q162" s="255">
        <f t="array" ref="Q162">+SUMPRODUCT(('Réel 2024'!$A$8:$A$502=$A162)*('Réel 2024'!$C$3:$AO$3=Q$2),'Réel 2024'!$C$8:$AO$502)</f>
        <v>0</v>
      </c>
      <c r="R162" s="252"/>
      <c r="S162" s="275">
        <f t="shared" si="28"/>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19"/>
        <v>Véhicules usagés[...]</v>
      </c>
      <c r="B163" s="41" t="s">
        <v>152</v>
      </c>
      <c r="C163" s="245" t="s">
        <v>59</v>
      </c>
      <c r="D163" s="298"/>
      <c r="E163" s="317"/>
      <c r="F163" s="253">
        <f t="array" ref="F163">+SUMPRODUCT(('Budget original'!$A$8:$A$502=$A163)*('Budget original'!$C$3:$AO$3=F$2),'Budget original'!$C$8:$AO$502)</f>
        <v>0</v>
      </c>
      <c r="G163" s="297"/>
      <c r="H163" s="41"/>
      <c r="I163" s="253"/>
      <c r="J163" s="252"/>
      <c r="K163" s="41"/>
      <c r="L163" s="255">
        <f>-SUMIFS(BV_Data_An_Cour!$P:$P,BV_Data_An_Cour!$U:$U,$B163,BV_Data_An_Cour!$V:$V,$C163,BV_Data_An_Cour!$W:$W,$L$2)</f>
        <v>0</v>
      </c>
      <c r="M163" s="252"/>
      <c r="N163" s="275">
        <f t="shared" si="27"/>
        <v>0</v>
      </c>
      <c r="O163" s="252"/>
      <c r="P163" s="41"/>
      <c r="Q163" s="255">
        <f t="array" ref="Q163">+SUMPRODUCT(('Réel 2024'!$A$8:$A$502=$A163)*('Réel 2024'!$C$3:$AO$3=Q$2),'Réel 2024'!$C$8:$AO$502)</f>
        <v>0</v>
      </c>
      <c r="R163" s="252"/>
      <c r="S163" s="275">
        <f t="shared" si="28"/>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144250.85</v>
      </c>
      <c r="G164" s="307"/>
      <c r="H164" s="305"/>
      <c r="I164" s="306"/>
      <c r="J164" s="307"/>
      <c r="K164" s="305"/>
      <c r="L164" s="306">
        <f>+SUM(L157:L163)</f>
        <v>104191</v>
      </c>
      <c r="M164" s="310"/>
      <c r="N164" s="306">
        <f>SUM(N157:N160)</f>
        <v>-40059.850000000006</v>
      </c>
      <c r="O164" s="307"/>
      <c r="P164" s="305"/>
      <c r="Q164" s="306">
        <f>+SUM(Q157:Q163)</f>
        <v>88527</v>
      </c>
      <c r="R164" s="310"/>
      <c r="S164" s="306">
        <f>+SUM(S157:S163)</f>
        <v>15664</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579399.49875858088</v>
      </c>
      <c r="G166" s="360"/>
      <c r="H166" s="332"/>
      <c r="I166" s="334"/>
      <c r="J166" s="331"/>
      <c r="K166" s="333"/>
      <c r="L166" s="334">
        <f>L109-L156+L164</f>
        <v>143721.55000000005</v>
      </c>
      <c r="M166" s="331"/>
      <c r="N166" s="334">
        <f>L166-F166</f>
        <v>-435677.94875858084</v>
      </c>
      <c r="O166" s="331"/>
      <c r="P166" s="333"/>
      <c r="Q166" s="334">
        <f>Q109-Q156+Q164</f>
        <v>236723.03999999922</v>
      </c>
      <c r="R166" s="331"/>
      <c r="S166" s="334">
        <f>L166-Q166</f>
        <v>-93001.489999999176</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Volks</v>
      </c>
      <c r="D169" s="231"/>
      <c r="E169" s="231"/>
      <c r="F169" s="231"/>
      <c r="G169" s="231"/>
      <c r="H169" s="36"/>
      <c r="I169" s="36"/>
      <c r="J169" s="36"/>
      <c r="K169" s="9" t="s">
        <v>161</v>
      </c>
      <c r="L169" s="231"/>
      <c r="M169" s="231"/>
      <c r="N169" s="36"/>
      <c r="O169" s="36"/>
      <c r="P169" s="231"/>
      <c r="Q169" s="36"/>
      <c r="R169" s="231"/>
      <c r="S169" s="10" t="str">
        <f>$S$1</f>
        <v>Réalisé AAJ, Juillet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78" t="s">
        <v>343</v>
      </c>
      <c r="E171" s="1179"/>
      <c r="F171" s="1180"/>
      <c r="G171" s="1181"/>
      <c r="H171" s="1179"/>
      <c r="I171" s="1180"/>
      <c r="J171" s="1181" t="s">
        <v>344</v>
      </c>
      <c r="K171" s="1179"/>
      <c r="L171" s="1180"/>
      <c r="M171" s="1181" t="s">
        <v>3255</v>
      </c>
      <c r="N171" s="1180"/>
      <c r="O171" s="1178" t="s">
        <v>345</v>
      </c>
      <c r="P171" s="1179"/>
      <c r="Q171" s="1180"/>
      <c r="R171" s="1182" t="s">
        <v>3257</v>
      </c>
      <c r="S171" s="1183"/>
      <c r="T171" s="355"/>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29">+B172&amp;C172</f>
        <v>Service</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29"/>
        <v>ServiceM/O Client</v>
      </c>
      <c r="B173" s="41" t="s">
        <v>161</v>
      </c>
      <c r="C173" s="252" t="s">
        <v>164</v>
      </c>
      <c r="D173" s="358">
        <f t="array" ref="D173">+SUMPRODUCT(('Budget original'!$A$8:$A$502=$A173)*('Budget original'!$C$3:$AO$3=D$2),'Budget original'!$C$8:$AO$502)</f>
        <v>3064.1211721466452</v>
      </c>
      <c r="E173" s="290">
        <f t="array" ref="E173">+SUMPRODUCT(('Budget original'!$A$8:$A$502=$A173)*('Budget original'!$C$3:$AO$3=E$2),'Budget original'!$C$8:$AO$502)</f>
        <v>1072442.4102513255</v>
      </c>
      <c r="F173" s="290">
        <f t="array" ref="F173">+SUMPRODUCT(('Budget original'!$A$8:$A$502=$A173)*('Budget original'!$C$3:$AO$3=F$2),'Budget original'!$C$8:$AO$502)</f>
        <v>844012.17686779331</v>
      </c>
      <c r="G173" s="321"/>
      <c r="H173" s="290"/>
      <c r="I173" s="290"/>
      <c r="J173" s="276">
        <f>-SUMIFS(BV_Data_An_Cour!$P:$P,BV_Data_An_Cour!$U:$U,$B173,BV_Data_An_Cour!$V:$V,$C173,BV_Data_An_Cour!$W:$W,J$2)</f>
        <v>3046</v>
      </c>
      <c r="K173" s="253">
        <f>-SUMIFS(BV_Data_An_Cour!$P:$P,BV_Data_An_Cour!$X:$X,"Oui",BV_Data_An_Cour!$U:$U,$B173,BV_Data_An_Cour!$V:$V,$C173)</f>
        <v>1055312.6200000001</v>
      </c>
      <c r="L173" s="255">
        <f>-SUMIFS(BV_Data_An_Cour!$P:$P,BV_Data_An_Cour!$U:$U,$B173,BV_Data_An_Cour!$V:$V,$C173,BV_Data_An_Cour!$W:$W,$L$2)</f>
        <v>836827.46000000008</v>
      </c>
      <c r="M173" s="291">
        <f>(K173-E173)/E173</f>
        <v>-1.5972690083480574E-2</v>
      </c>
      <c r="N173" s="275">
        <f>L173-F173</f>
        <v>-7184.716867793235</v>
      </c>
      <c r="O173" s="276">
        <f t="array" ref="O173">+SUMPRODUCT(('Réel 2024'!$A$8:$A$502=$A173)*('Réel 2024'!$C$3:$AO$3=O$2),'Réel 2024'!$C$8:$AO$502)</f>
        <v>3122</v>
      </c>
      <c r="P173" s="253">
        <f t="array" ref="P173">+SUMPRODUCT(('Réel 2024'!$A$8:$A$502=$A173)*('Réel 2024'!$C$3:$AO$3=P$2),'Réel 2024'!$C$8:$AO$502)</f>
        <v>1014010.1</v>
      </c>
      <c r="Q173" s="255">
        <f t="array" ref="Q173">+SUMPRODUCT(('Réel 2024'!$A$8:$A$502=$A173)*('Réel 2024'!$C$3:$AO$3=Q$2),'Réel 2024'!$C$8:$AO$502)</f>
        <v>795935.69</v>
      </c>
      <c r="R173" s="291">
        <f>IF(O173=0,0,J173/O173)</f>
        <v>0.97565663036515049</v>
      </c>
      <c r="S173" s="275">
        <f>L173-Q173</f>
        <v>40891.770000000135</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29"/>
        <v>Service% profit / ventes</v>
      </c>
      <c r="B174" s="41" t="s">
        <v>161</v>
      </c>
      <c r="C174" s="252" t="s">
        <v>165</v>
      </c>
      <c r="D174" s="358"/>
      <c r="E174" s="348"/>
      <c r="F174" s="361">
        <f>F173/E173</f>
        <v>0.78700000000000014</v>
      </c>
      <c r="G174" s="252"/>
      <c r="H174" s="348"/>
      <c r="I174" s="361"/>
      <c r="J174" s="276"/>
      <c r="K174" s="41"/>
      <c r="L174" s="361">
        <f>IF(L173=0,0,L173/K173)</f>
        <v>0.7929664102756584</v>
      </c>
      <c r="M174" s="291"/>
      <c r="N174" s="275"/>
      <c r="O174" s="276"/>
      <c r="P174" s="41"/>
      <c r="Q174" s="361">
        <f>Q173/P173</f>
        <v>0.784938621420043</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29"/>
        <v>Service</v>
      </c>
      <c r="B175" s="41" t="s">
        <v>161</v>
      </c>
      <c r="C175" s="245"/>
      <c r="D175" s="912"/>
      <c r="E175" s="402">
        <f>IFERROR(E173/D173,0)</f>
        <v>349.99999999999989</v>
      </c>
      <c r="F175" s="363"/>
      <c r="G175" s="245"/>
      <c r="H175" s="402"/>
      <c r="I175" s="363"/>
      <c r="J175" s="364"/>
      <c r="K175" s="562">
        <f>IFERROR(K173/J173,0)</f>
        <v>346.45850952068292</v>
      </c>
      <c r="L175" s="363"/>
      <c r="M175" s="294"/>
      <c r="N175" s="295"/>
      <c r="O175" s="364"/>
      <c r="P175" s="562">
        <f>IFERROR(P173/O173,0)</f>
        <v>324.79503523382448</v>
      </c>
      <c r="Q175" s="363"/>
      <c r="R175" s="364"/>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29"/>
        <v>ServiceM/O Garantie</v>
      </c>
      <c r="B176" s="41" t="s">
        <v>161</v>
      </c>
      <c r="C176" s="240" t="s">
        <v>166</v>
      </c>
      <c r="D176" s="913">
        <f t="array" ref="D176">+SUMPRODUCT(('Budget original'!$A$8:$A$502=$A176)*('Budget original'!$C$3:$AO$3=D$2),'Budget original'!$C$8:$AO$502)</f>
        <v>1534.9786262231066</v>
      </c>
      <c r="E176" s="290">
        <f t="array" ref="E176">+SUMPRODUCT(('Budget original'!$A$8:$A$502=$A176)*('Budget original'!$C$3:$AO$3=E$2),'Budget original'!$C$8:$AO$502)</f>
        <v>460493.58786693204</v>
      </c>
      <c r="F176" s="290">
        <f t="array" ref="F176">+SUMPRODUCT(('Budget original'!$A$8:$A$502=$A176)*('Budget original'!$C$3:$AO$3=F$2),'Budget original'!$C$8:$AO$502)</f>
        <v>297018.36417417106</v>
      </c>
      <c r="G176" s="366"/>
      <c r="H176" s="290"/>
      <c r="I176" s="290"/>
      <c r="J176" s="366">
        <f>-SUMIFS(BV_Data_An_Cour!$P:$P,BV_Data_An_Cour!$U:$U,$B176,BV_Data_An_Cour!$V:$V,$C176,BV_Data_An_Cour!$W:$W,J$2)</f>
        <v>1310</v>
      </c>
      <c r="K176" s="270">
        <f>-SUMIFS(BV_Data_An_Cour!$P:$P,BV_Data_An_Cour!$X:$X,"Oui",BV_Data_An_Cour!$U:$U,$B176,BV_Data_An_Cour!$V:$V,$C176)</f>
        <v>433757.44</v>
      </c>
      <c r="L176" s="255">
        <f>-SUMIFS(BV_Data_An_Cour!$P:$P,BV_Data_An_Cour!$U:$U,$B176,BV_Data_An_Cour!$V:$V,$C176,BV_Data_An_Cour!$W:$W,$L$2)</f>
        <v>285932.09999999998</v>
      </c>
      <c r="M176" s="291">
        <f>(K176-E176)/E176</f>
        <v>-5.8059761463297353E-2</v>
      </c>
      <c r="N176" s="316">
        <f>L176-F176</f>
        <v>-11086.264174171083</v>
      </c>
      <c r="O176" s="366">
        <f t="array" ref="O176">+SUMPRODUCT(('Réel 2024'!$A$8:$A$502=$A176)*('Réel 2024'!$C$3:$AO$3=O$2),'Réel 2024'!$C$8:$AO$502)</f>
        <v>1587</v>
      </c>
      <c r="P176" s="270">
        <f t="array" ref="P176">+SUMPRODUCT(('Réel 2024'!$A$8:$A$502=$A176)*('Réel 2024'!$C$3:$AO$3=P$2),'Réel 2024'!$C$8:$AO$502)</f>
        <v>438929.45</v>
      </c>
      <c r="Q176" s="255">
        <f t="array" ref="Q176">+SUMPRODUCT(('Réel 2024'!$A$8:$A$502=$A176)*('Réel 2024'!$C$3:$AO$3=Q$2),'Réel 2024'!$C$8:$AO$502)</f>
        <v>282149.7799999998</v>
      </c>
      <c r="R176" s="291">
        <f>IF(O176=0,0,J176/O176)</f>
        <v>0.82545683679899184</v>
      </c>
      <c r="S176" s="275">
        <f>L176-Q176</f>
        <v>3782.3200000001816</v>
      </c>
      <c r="T176" s="290"/>
      <c r="U176" s="41" t="s">
        <v>461</v>
      </c>
      <c r="V176" s="253">
        <f>+K176+J298</f>
        <v>950134.03</v>
      </c>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29"/>
        <v>Service% profit / ventes</v>
      </c>
      <c r="B177" s="41" t="s">
        <v>161</v>
      </c>
      <c r="C177" s="252" t="s">
        <v>165</v>
      </c>
      <c r="D177" s="358"/>
      <c r="E177" s="41"/>
      <c r="F177" s="361">
        <f>F176/E176</f>
        <v>0.6449999999999998</v>
      </c>
      <c r="G177" s="252"/>
      <c r="H177" s="41"/>
      <c r="I177" s="361"/>
      <c r="J177" s="252"/>
      <c r="K177" s="41"/>
      <c r="L177" s="361">
        <f>IF(L176=0,0,L176/K176)</f>
        <v>0.659198145396653</v>
      </c>
      <c r="M177" s="263"/>
      <c r="N177" s="264"/>
      <c r="O177" s="252"/>
      <c r="P177" s="41"/>
      <c r="Q177" s="361">
        <f>Q176/P176</f>
        <v>0.64281350909582347</v>
      </c>
      <c r="R177" s="263"/>
      <c r="S177" s="264"/>
      <c r="T177" s="41"/>
      <c r="U177" s="41" t="s">
        <v>462</v>
      </c>
      <c r="V177" s="253">
        <f>+L176+L298</f>
        <v>409487.74</v>
      </c>
      <c r="W177" s="367">
        <f>+V177/V176</f>
        <v>0.43097892199482635</v>
      </c>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29"/>
        <v>Service</v>
      </c>
      <c r="B178" s="41" t="s">
        <v>161</v>
      </c>
      <c r="C178" s="245"/>
      <c r="D178" s="912"/>
      <c r="E178" s="317"/>
      <c r="F178" s="363"/>
      <c r="G178" s="245"/>
      <c r="H178" s="317"/>
      <c r="I178" s="363"/>
      <c r="J178" s="245"/>
      <c r="K178" s="563"/>
      <c r="L178" s="363"/>
      <c r="M178" s="368"/>
      <c r="N178" s="369"/>
      <c r="O178" s="245"/>
      <c r="P178" s="563"/>
      <c r="Q178" s="363"/>
      <c r="R178" s="368"/>
      <c r="S178" s="369"/>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29"/>
        <v>ServiceM/O Interne</v>
      </c>
      <c r="B179" s="41" t="s">
        <v>161</v>
      </c>
      <c r="C179" s="252" t="s">
        <v>167</v>
      </c>
      <c r="D179" s="358">
        <f t="array" ref="D179">+SUMPRODUCT(('Budget original'!$A$8:$A$502=$A179)*('Budget original'!$C$3:$AO$3=D$2),'Budget original'!$C$8:$AO$502)</f>
        <v>1884.69400213926</v>
      </c>
      <c r="E179" s="290">
        <f t="array" ref="E179">+SUMPRODUCT(('Budget original'!$A$8:$A$502=$A179)*('Budget original'!$C$3:$AO$3=E$2),'Budget original'!$C$8:$AO$502)</f>
        <v>588024.52866744902</v>
      </c>
      <c r="F179" s="290">
        <f t="array" ref="F179">+SUMPRODUCT(('Budget original'!$A$8:$A$502=$A179)*('Budget original'!$C$3:$AO$3=F$2),'Budget original'!$C$8:$AO$502)</f>
        <v>441018.39650058676</v>
      </c>
      <c r="G179" s="252"/>
      <c r="H179" s="290"/>
      <c r="I179" s="290"/>
      <c r="J179" s="276">
        <f>-SUMIFS(BV_Data_An_Cour!$P:$P,BV_Data_An_Cour!$U:$U,$B179,BV_Data_An_Cour!$V:$V,$C179,BV_Data_An_Cour!$W:$W,J$2)</f>
        <v>1897</v>
      </c>
      <c r="K179" s="270">
        <f>-SUMIFS(BV_Data_An_Cour!$P:$P,BV_Data_An_Cour!$X:$X,"Oui",BV_Data_An_Cour!$U:$U,$B179,BV_Data_An_Cour!$V:$V,$C179)</f>
        <v>545640.85</v>
      </c>
      <c r="L179" s="255">
        <f>-SUMIFS(BV_Data_An_Cour!$P:$P,BV_Data_An_Cour!$U:$U,$B179,BV_Data_An_Cour!$V:$V,$C179,BV_Data_An_Cour!$W:$W,$L$2)</f>
        <v>426019.34</v>
      </c>
      <c r="M179" s="291">
        <f>(K179-E179)/E179</f>
        <v>-7.2078079401716039E-2</v>
      </c>
      <c r="N179" s="275">
        <f>L179-F179</f>
        <v>-14999.056500586739</v>
      </c>
      <c r="O179" s="276">
        <f t="array" ref="O179">+SUMPRODUCT(('Réel 2024'!$A$8:$A$502=$A179)*('Réel 2024'!$C$3:$AO$3=O$2),'Réel 2024'!$C$8:$AO$502)</f>
        <v>1609</v>
      </c>
      <c r="P179" s="270">
        <f t="array" ref="P179">+SUMPRODUCT(('Réel 2024'!$A$8:$A$502=$A179)*('Réel 2024'!$C$3:$AO$3=P$2),'Réel 2024'!$C$8:$AO$502)</f>
        <v>520422.8299999999</v>
      </c>
      <c r="Q179" s="255">
        <f t="array" ref="Q179">+SUMPRODUCT(('Réel 2024'!$A$8:$A$502=$A179)*('Réel 2024'!$C$3:$AO$3=Q$2),'Réel 2024'!$C$8:$AO$502)</f>
        <v>401060.1599999998</v>
      </c>
      <c r="R179" s="291">
        <f>IF(O179=0,0,J179/O179)</f>
        <v>1.1789931634555624</v>
      </c>
      <c r="S179" s="275">
        <f>L179-Q179</f>
        <v>24959.180000000226</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29"/>
        <v>Service% profit / ventes</v>
      </c>
      <c r="B180" s="41" t="s">
        <v>161</v>
      </c>
      <c r="C180" s="252" t="s">
        <v>165</v>
      </c>
      <c r="D180" s="358"/>
      <c r="E180" s="348"/>
      <c r="F180" s="361">
        <f>F179/E179</f>
        <v>0.75</v>
      </c>
      <c r="G180" s="252"/>
      <c r="H180" s="348"/>
      <c r="I180" s="361"/>
      <c r="J180" s="276"/>
      <c r="K180" s="348"/>
      <c r="L180" s="361">
        <f>IF(L179=0,0,L179/K179)</f>
        <v>0.7807687785839349</v>
      </c>
      <c r="M180" s="291"/>
      <c r="N180" s="275">
        <f>L180-F180</f>
        <v>3.0768778583934897E-2</v>
      </c>
      <c r="O180" s="276"/>
      <c r="P180" s="348"/>
      <c r="Q180" s="361">
        <f>Q179/P179</f>
        <v>0.77064290204178765</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29"/>
        <v>Service</v>
      </c>
      <c r="B181" s="41" t="s">
        <v>161</v>
      </c>
      <c r="C181" s="252"/>
      <c r="D181" s="358"/>
      <c r="E181" s="402"/>
      <c r="F181" s="363"/>
      <c r="G181" s="252"/>
      <c r="H181" s="402"/>
      <c r="I181" s="363"/>
      <c r="J181" s="276"/>
      <c r="K181" s="564"/>
      <c r="L181" s="361"/>
      <c r="M181" s="291"/>
      <c r="N181" s="275"/>
      <c r="O181" s="276"/>
      <c r="P181" s="564"/>
      <c r="Q181" s="361"/>
      <c r="R181" s="364"/>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29"/>
        <v>ServiceM/O Esthétique</v>
      </c>
      <c r="B182" s="41" t="s">
        <v>161</v>
      </c>
      <c r="C182" s="240" t="s">
        <v>168</v>
      </c>
      <c r="D182" s="913">
        <f t="array" ref="D182">+SUMPRODUCT(('Budget original'!$A$8:$A$502=$A182)*('Budget original'!$C$3:$AO$3=D$2),'Budget original'!$C$8:$AO$502)</f>
        <v>0</v>
      </c>
      <c r="E182" s="290">
        <f t="array" ref="E182">+SUMPRODUCT(('Budget original'!$A$8:$A$502=$A182)*('Budget original'!$C$3:$AO$3=E$2),'Budget original'!$C$8:$AO$502)</f>
        <v>79502.548030355523</v>
      </c>
      <c r="F182" s="290">
        <f t="array" ref="F182">+SUMPRODUCT(('Budget original'!$A$8:$A$502=$A182)*('Budget original'!$C$3:$AO$3=F$2),'Budget original'!$C$8:$AO$502)</f>
        <v>62011.987463677309</v>
      </c>
      <c r="G182" s="240"/>
      <c r="H182" s="290"/>
      <c r="I182" s="290"/>
      <c r="J182" s="366">
        <f>-SUMIFS(BV_Data_An_Cour!$P:$P,BV_Data_An_Cour!$U:$U,$B182,BV_Data_An_Cour!$V:$V,$C182,BV_Data_An_Cour!$W:$W,J$2)</f>
        <v>0</v>
      </c>
      <c r="K182" s="270">
        <f>-SUMIFS(BV_Data_An_Cour!$P:$P,BV_Data_An_Cour!$X:$X,"Oui",BV_Data_An_Cour!$U:$U,$B182,BV_Data_An_Cour!$V:$V,$C182)</f>
        <v>63541.62</v>
      </c>
      <c r="L182" s="271">
        <f>-SUMIFS(BV_Data_An_Cour!$P:$P,BV_Data_An_Cour!$U:$U,$B182,BV_Data_An_Cour!$V:$V,$C182,BV_Data_An_Cour!$W:$W,$L$2)</f>
        <v>49893.100000000006</v>
      </c>
      <c r="M182" s="370">
        <f>IF(E182=0,0,(K182-E182)/E182)</f>
        <v>-0.20075995582256492</v>
      </c>
      <c r="N182" s="316">
        <f>L182-F182</f>
        <v>-12118.887463677303</v>
      </c>
      <c r="O182" s="366">
        <f t="array" ref="O182">+SUMPRODUCT(('Réel 2024'!$A$8:$A$502=$A182)*('Réel 2024'!$C$3:$AO$3=O$2),'Réel 2024'!$C$8:$AO$502)</f>
        <v>0</v>
      </c>
      <c r="P182" s="270">
        <f t="array" ref="P182">+SUMPRODUCT(('Réel 2024'!$A$8:$A$502=$A182)*('Réel 2024'!$C$3:$AO$3=P$2),'Réel 2024'!$C$8:$AO$502)</f>
        <v>82464.55</v>
      </c>
      <c r="Q182" s="271">
        <f t="array" ref="Q182">+SUMPRODUCT(('Réel 2024'!$A$8:$A$502=$A182)*('Réel 2024'!$C$3:$AO$3=Q$2),'Réel 2024'!$C$8:$AO$502)</f>
        <v>65560.759999999995</v>
      </c>
      <c r="R182" s="291">
        <f>IF(O182=0,0,J182/O182)</f>
        <v>0</v>
      </c>
      <c r="S182" s="316">
        <f>L182-Q182</f>
        <v>-15667.659999999989</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29"/>
        <v>Service% profit / ventes</v>
      </c>
      <c r="B183" s="41" t="s">
        <v>161</v>
      </c>
      <c r="C183" s="252" t="s">
        <v>165</v>
      </c>
      <c r="D183" s="11"/>
      <c r="E183" s="371"/>
      <c r="F183" s="361">
        <f>IFERROR(F182/E182,0)</f>
        <v>0.78</v>
      </c>
      <c r="G183" s="269"/>
      <c r="H183" s="371"/>
      <c r="I183" s="361"/>
      <c r="J183" s="372"/>
      <c r="K183" s="371">
        <f>IF(J183&lt;=0,0,L183/J183)</f>
        <v>0</v>
      </c>
      <c r="L183" s="361">
        <f>IF(L182=0,0,L182/K182)</f>
        <v>0.78520346191991963</v>
      </c>
      <c r="M183" s="276">
        <f>J183-D183</f>
        <v>0</v>
      </c>
      <c r="N183" s="373"/>
      <c r="O183" s="372"/>
      <c r="P183" s="371"/>
      <c r="Q183" s="361">
        <f>IFERROR(Q182/P182,0)</f>
        <v>0.79501749539650668</v>
      </c>
      <c r="R183" s="252"/>
      <c r="S183" s="373"/>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29"/>
        <v>Service</v>
      </c>
      <c r="B184" s="41" t="s">
        <v>161</v>
      </c>
      <c r="C184" s="245"/>
      <c r="D184" s="374"/>
      <c r="E184" s="375"/>
      <c r="F184" s="363"/>
      <c r="G184" s="265"/>
      <c r="H184" s="375"/>
      <c r="I184" s="363"/>
      <c r="J184" s="376"/>
      <c r="K184" s="249"/>
      <c r="L184" s="363"/>
      <c r="M184" s="364"/>
      <c r="N184" s="377"/>
      <c r="O184" s="376"/>
      <c r="P184" s="249"/>
      <c r="Q184" s="363"/>
      <c r="R184" s="245"/>
      <c r="S184" s="377"/>
      <c r="T184" s="318"/>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c r="A185" s="5" t="str">
        <f t="shared" si="29"/>
        <v>ServiceAjustement M/O</v>
      </c>
      <c r="B185" s="41" t="s">
        <v>161</v>
      </c>
      <c r="C185" s="252" t="s">
        <v>169</v>
      </c>
      <c r="D185" s="41"/>
      <c r="E185" s="41"/>
      <c r="F185" s="275">
        <f t="array" ref="F185">+SUMPRODUCT(('Budget original'!$A$8:$A$502=$A185)*('Budget original'!$C$3:$AO$3=F$2),'Budget original'!$C$8:$AO$502)</f>
        <v>-23332.648145494331</v>
      </c>
      <c r="G185" s="252"/>
      <c r="H185" s="290"/>
      <c r="I185" s="290"/>
      <c r="J185" s="276"/>
      <c r="K185" s="290"/>
      <c r="L185" s="290">
        <f>-SUMIFS(BV_Data_An_Cour!$P:$P,BV_Data_An_Cour!$U:$U,$B185,BV_Data_An_Cour!$V:$V,$C185,BV_Data_An_Cour!$W:$W,$L$2)</f>
        <v>-16139.17</v>
      </c>
      <c r="M185" s="372"/>
      <c r="N185" s="275">
        <f>L185-F185</f>
        <v>7193.4781454943313</v>
      </c>
      <c r="O185" s="276"/>
      <c r="P185" s="290"/>
      <c r="Q185" s="290">
        <f t="array" ref="Q185">+SUMPRODUCT(('Réel 2024'!$A$8:$A$502=$A185)*('Réel 2024'!$C$3:$AO$3=Q$2),'Réel 2024'!$C$8:$AO$502)</f>
        <v>-12817.439999999999</v>
      </c>
      <c r="R185" s="378"/>
      <c r="S185" s="275">
        <f>L185-Q185</f>
        <v>-3321.7300000000014</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29"/>
        <v>ServiceSous-total M/O</v>
      </c>
      <c r="B186" s="41" t="s">
        <v>161</v>
      </c>
      <c r="C186" s="379" t="s">
        <v>170</v>
      </c>
      <c r="D186" s="380">
        <f>D173+D176+D179+D182+D185</f>
        <v>6483.7938005090118</v>
      </c>
      <c r="E186" s="380">
        <f>E173+E176+E179+E182+E185</f>
        <v>2200463.0748160621</v>
      </c>
      <c r="F186" s="381">
        <f>F173+F176+F179+F182+F185</f>
        <v>1620728.2768607342</v>
      </c>
      <c r="G186" s="382"/>
      <c r="H186" s="380"/>
      <c r="I186" s="381"/>
      <c r="J186" s="382">
        <f>J173+J176+J179+J182+J185</f>
        <v>6253</v>
      </c>
      <c r="K186" s="380">
        <f>K173+K176+K179+K182+K185</f>
        <v>2098252.5300000003</v>
      </c>
      <c r="L186" s="381">
        <f>L173+L176+L179+L182+L185</f>
        <v>1582532.8300000003</v>
      </c>
      <c r="M186" s="383">
        <f>(K186-E186)/E186</f>
        <v>-4.6449561451789273E-2</v>
      </c>
      <c r="N186" s="381">
        <f>L186-F186</f>
        <v>-38195.446860733908</v>
      </c>
      <c r="O186" s="382">
        <f>O173+O176+O179+O182+O185</f>
        <v>6318</v>
      </c>
      <c r="P186" s="380">
        <f>P173+P176+P179+P182+P185</f>
        <v>2055826.93</v>
      </c>
      <c r="Q186" s="381">
        <f>Q173+Q176+Q179+Q182+Q185</f>
        <v>1531888.9499999995</v>
      </c>
      <c r="R186" s="263">
        <f>IF(O186=0,0,J186/O186)</f>
        <v>0.98971193415637859</v>
      </c>
      <c r="S186" s="381">
        <f>L186-Q186</f>
        <v>50643.88000000082</v>
      </c>
      <c r="T186" s="318"/>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29"/>
        <v>Service% protit / ventes</v>
      </c>
      <c r="B187" s="41" t="s">
        <v>161</v>
      </c>
      <c r="C187" s="384" t="s">
        <v>171</v>
      </c>
      <c r="D187" s="385"/>
      <c r="E187" s="385">
        <f>IF(D186=0,0,E186/D186)</f>
        <v>339.37894117535234</v>
      </c>
      <c r="F187" s="387">
        <f>F186/E186</f>
        <v>0.73653963813785506</v>
      </c>
      <c r="G187" s="388"/>
      <c r="H187" s="565"/>
      <c r="I187" s="264"/>
      <c r="J187" s="388"/>
      <c r="K187" s="565">
        <f>IF(J186=0,0,K186/J186)</f>
        <v>335.55933631856715</v>
      </c>
      <c r="L187" s="264">
        <f>IF(L186=0,0,L186/K186)</f>
        <v>0.75421466547689575</v>
      </c>
      <c r="M187" s="388"/>
      <c r="N187" s="387">
        <f>N186/F186</f>
        <v>-2.3566841774807858E-2</v>
      </c>
      <c r="O187" s="388"/>
      <c r="P187" s="565">
        <f>IF(O186=0,0,P186/O186)</f>
        <v>325.39204336815448</v>
      </c>
      <c r="Q187" s="264">
        <f>Q186/P186</f>
        <v>0.74514489894341429</v>
      </c>
      <c r="R187" s="388"/>
      <c r="S187" s="264">
        <f>IF(Q186=0,0,(S186/Q186))</f>
        <v>3.3059759325244062E-2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29"/>
        <v>Service</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29"/>
        <v>ServiceSous-traitement</v>
      </c>
      <c r="B189" s="41" t="s">
        <v>161</v>
      </c>
      <c r="C189" s="252" t="s">
        <v>172</v>
      </c>
      <c r="D189" s="290"/>
      <c r="E189" s="290">
        <f t="array" ref="E189">+SUMPRODUCT(('Budget original'!$A$8:$A$502=$A189)*('Budget original'!$C$3:$AO$3=E$2),'Budget original'!$C$8:$AO$502)</f>
        <v>148030.92106052779</v>
      </c>
      <c r="F189" s="290">
        <f t="array" ref="F189">+SUMPRODUCT(('Budget original'!$A$8:$A$502=$A189)*('Budget original'!$C$3:$AO$3=F$2),'Budget original'!$C$8:$AO$502)</f>
        <v>29606.18421210556</v>
      </c>
      <c r="G189" s="276"/>
      <c r="H189" s="290"/>
      <c r="I189" s="290"/>
      <c r="J189" s="276"/>
      <c r="K189" s="253">
        <f>-SUMIFS(BV_Data_An_Cour!$P:$P,BV_Data_An_Cour!$X:$X,"Oui",BV_Data_An_Cour!$U:$U,$B189,BV_Data_An_Cour!$V:$V,$C189)</f>
        <v>101619.43000000001</v>
      </c>
      <c r="L189" s="255">
        <f>-SUMIFS(BV_Data_An_Cour!$P:$P,BV_Data_An_Cour!$U:$U,$B189,BV_Data_An_Cour!$V:$V,$C189,BV_Data_An_Cour!$W:$W,$L$2)</f>
        <v>19229.800000000003</v>
      </c>
      <c r="M189" s="291">
        <f>IF(E189=0,0,(K189-E189)/E189)</f>
        <v>-0.31352565212744143</v>
      </c>
      <c r="N189" s="275">
        <f>L189-F189</f>
        <v>-10376.384212105557</v>
      </c>
      <c r="O189" s="276"/>
      <c r="P189" s="253">
        <f t="array" ref="P189">+SUMPRODUCT(('Réel 2024'!$A$8:$A$502=$A189)*('Réel 2024'!$C$3:$AO$3=P$2),'Réel 2024'!$C$8:$AO$502)</f>
        <v>132073.48999999987</v>
      </c>
      <c r="Q189" s="255">
        <f t="array" ref="Q189">+SUMPRODUCT(('Réel 2024'!$A$8:$A$502=$A189)*('Réel 2024'!$C$3:$AO$3=Q$2),'Réel 2024'!$C$8:$AO$502)</f>
        <v>25683.449999999961</v>
      </c>
      <c r="R189" s="291">
        <f>IF(O189=0,0,J189/O189)</f>
        <v>0</v>
      </c>
      <c r="S189" s="275">
        <f>L189-Q189</f>
        <v>-6453.6499999999578</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29"/>
        <v>Service% profit / ventes</v>
      </c>
      <c r="B190" s="41" t="s">
        <v>161</v>
      </c>
      <c r="C190" s="252" t="s">
        <v>165</v>
      </c>
      <c r="D190" s="41"/>
      <c r="E190" s="348"/>
      <c r="F190" s="361">
        <f>IFERROR(F189/E189,0)</f>
        <v>0.2</v>
      </c>
      <c r="G190" s="252"/>
      <c r="H190" s="348"/>
      <c r="I190" s="361"/>
      <c r="J190" s="372"/>
      <c r="K190" s="371"/>
      <c r="L190" s="361">
        <f>IF(L189=0,0,L189/K189)</f>
        <v>0.18923349599579531</v>
      </c>
      <c r="M190" s="372"/>
      <c r="N190" s="373"/>
      <c r="O190" s="372"/>
      <c r="P190" s="371"/>
      <c r="Q190" s="361">
        <f>IFERROR(Q189/P189,0)</f>
        <v>0.19446332492614518</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29"/>
        <v>Service</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29"/>
        <v>ServiceM.O. Recond. MCPA</v>
      </c>
      <c r="B192" s="41" t="s">
        <v>161</v>
      </c>
      <c r="C192" s="252" t="s">
        <v>173</v>
      </c>
      <c r="D192" s="41"/>
      <c r="E192" s="290">
        <f t="array" ref="E192">+SUMPRODUCT(('Budget original'!$A$8:$A$502=$A192)*('Budget original'!$C$3:$AO$3=E$2),'Budget original'!$C$8:$AO$502)</f>
        <v>73386.967412635859</v>
      </c>
      <c r="F192" s="290">
        <f t="array" ref="F192">+SUMPRODUCT(('Budget original'!$A$8:$A$502=$A192)*('Budget original'!$C$3:$AO$3=F$2),'Budget original'!$C$8:$AO$502)</f>
        <v>51370.877188845108</v>
      </c>
      <c r="G192" s="252"/>
      <c r="H192" s="290"/>
      <c r="I192" s="290"/>
      <c r="J192" s="372"/>
      <c r="K192" s="253">
        <f>-SUMIFS(BV_Data_An_Cour!$P:$P,BV_Data_An_Cour!$X:$X,"Oui",BV_Data_An_Cour!$U:$U,$B192,BV_Data_An_Cour!$V:$V,$C192)</f>
        <v>20128.400000000001</v>
      </c>
      <c r="L192" s="255">
        <f>-SUMIFS(BV_Data_An_Cour!$P:$P,BV_Data_An_Cour!$U:$U,$B192,BV_Data_An_Cour!$V:$V,$C192,BV_Data_An_Cour!$W:$W,$L$2)</f>
        <v>16335.920000000002</v>
      </c>
      <c r="M192" s="372"/>
      <c r="N192" s="373"/>
      <c r="O192" s="372"/>
      <c r="P192" s="253">
        <f t="array" ref="P192">+SUMPRODUCT(('Réel 2024'!$A$8:$A$502=$A192)*('Réel 2024'!$C$3:$AO$3=P$2),'Réel 2024'!$C$8:$AO$502)</f>
        <v>67519.349999999991</v>
      </c>
      <c r="Q192" s="253">
        <f t="array" ref="Q192">+SUMPRODUCT(('Réel 2024'!$A$8:$A$502=$A192)*('Réel 2024'!$C$3:$AO$3=Q$2),'Réel 2024'!$C$8:$AO$502)</f>
        <v>49582.279999999992</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29"/>
        <v>Service% profit / ventes</v>
      </c>
      <c r="B193" s="41" t="s">
        <v>161</v>
      </c>
      <c r="C193" s="252" t="s">
        <v>165</v>
      </c>
      <c r="D193" s="41"/>
      <c r="E193" s="348"/>
      <c r="F193" s="361">
        <f>IF(F192=0,0,F192/E192)</f>
        <v>0.70000000000000007</v>
      </c>
      <c r="G193" s="252"/>
      <c r="H193" s="348"/>
      <c r="I193" s="361"/>
      <c r="J193" s="372"/>
      <c r="K193" s="371"/>
      <c r="L193" s="361">
        <f>IF(L192=0,0,L192/K192)</f>
        <v>0.81158562031756132</v>
      </c>
      <c r="M193" s="372"/>
      <c r="N193" s="373"/>
      <c r="O193" s="372"/>
      <c r="P193" s="371"/>
      <c r="Q193" s="361">
        <f>IF(Q192=0,0,Q192/P192)</f>
        <v>0.73434178498460068</v>
      </c>
      <c r="R193" s="372"/>
      <c r="S193" s="373"/>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29"/>
        <v>Service</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29"/>
        <v>ServiceTotal Mécanique</v>
      </c>
      <c r="B195" s="41" t="s">
        <v>161</v>
      </c>
      <c r="C195" s="277" t="s">
        <v>174</v>
      </c>
      <c r="D195" s="278"/>
      <c r="E195" s="278">
        <f>E186+E189+E192</f>
        <v>2421880.9632892255</v>
      </c>
      <c r="F195" s="280">
        <f>F186+F189+F192</f>
        <v>1701705.3382616849</v>
      </c>
      <c r="G195" s="281"/>
      <c r="H195" s="278"/>
      <c r="I195" s="280"/>
      <c r="J195" s="281"/>
      <c r="K195" s="278">
        <f>K186+K189+K192</f>
        <v>2220000.3600000003</v>
      </c>
      <c r="L195" s="280">
        <f>L186+L189+L192</f>
        <v>1618098.5500000003</v>
      </c>
      <c r="M195" s="398">
        <f>L196-F196</f>
        <v>2.6235209062907439E-2</v>
      </c>
      <c r="N195" s="280">
        <f>L195-F195</f>
        <v>-83606.788261684589</v>
      </c>
      <c r="O195" s="281"/>
      <c r="P195" s="278">
        <f>P186+P189+P192</f>
        <v>2255419.77</v>
      </c>
      <c r="Q195" s="280">
        <f>Q186+Q189+Q192</f>
        <v>1607154.6799999995</v>
      </c>
      <c r="R195" s="398">
        <f>L196-Q196</f>
        <v>1.6298573660329607E-2</v>
      </c>
      <c r="S195" s="280">
        <f>L195-Q195</f>
        <v>10943.87000000081</v>
      </c>
      <c r="T195" s="318"/>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29"/>
        <v>Service</v>
      </c>
      <c r="B196" s="41" t="s">
        <v>161</v>
      </c>
      <c r="C196" s="282"/>
      <c r="D196" s="283"/>
      <c r="E196" s="283"/>
      <c r="F196" s="286">
        <f>F195/E195</f>
        <v>0.70263789346217509</v>
      </c>
      <c r="G196" s="282"/>
      <c r="H196" s="283"/>
      <c r="I196" s="286"/>
      <c r="J196" s="282"/>
      <c r="K196" s="283"/>
      <c r="L196" s="286">
        <f>L195/K195</f>
        <v>0.72887310252508253</v>
      </c>
      <c r="M196" s="285"/>
      <c r="N196" s="286">
        <f>N195/F195</f>
        <v>-4.9131178225655721E-2</v>
      </c>
      <c r="O196" s="282"/>
      <c r="P196" s="283"/>
      <c r="Q196" s="286">
        <f>Q195/P195</f>
        <v>0.71257452886475292</v>
      </c>
      <c r="R196" s="285"/>
      <c r="S196" s="286">
        <f>L195/S195</f>
        <v>147.85432849621574</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29"/>
        <v>Service</v>
      </c>
      <c r="B197" s="41" t="s">
        <v>161</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29"/>
        <v>ServiceDEPENSES</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29"/>
        <v>ServiceSalaires cadres</v>
      </c>
      <c r="B199" s="41" t="s">
        <v>161</v>
      </c>
      <c r="C199" s="311" t="s">
        <v>120</v>
      </c>
      <c r="D199" s="41"/>
      <c r="E199" s="41"/>
      <c r="F199" s="253">
        <f t="array" ref="F199">+SUMPRODUCT(('Budget original'!$A$8:$A$502=$A199)*('Budget original'!$C$3:$AO$3=F$2),'Budget original'!$C$8:$AO$502)</f>
        <v>55052.764903846168</v>
      </c>
      <c r="G199" s="252"/>
      <c r="H199" s="41"/>
      <c r="I199" s="253"/>
      <c r="J199" s="252"/>
      <c r="K199" s="41"/>
      <c r="L199" s="255">
        <f>SUMIFS(BV_Data_An_Cour!$P:$P,BV_Data_An_Cour!$U:$U,$B199,BV_Data_An_Cour!$V:$V,$C199,BV_Data_An_Cour!$W:$W,$L$2)</f>
        <v>60925.72</v>
      </c>
      <c r="M199" s="252"/>
      <c r="N199" s="275">
        <f t="shared" ref="N199:N230" si="30">L199-F199</f>
        <v>5872.9550961538334</v>
      </c>
      <c r="O199" s="252"/>
      <c r="P199" s="41"/>
      <c r="Q199" s="255">
        <f t="array" ref="Q199">+SUMPRODUCT(('Réel 2024'!$A$8:$A$502=$A199)*('Réel 2024'!$C$3:$AO$3=Q$2),'Réel 2024'!$C$8:$AO$502)</f>
        <v>106489</v>
      </c>
      <c r="R199" s="252"/>
      <c r="S199" s="255">
        <f t="shared" ref="S199:S230" si="31">L199-Q199</f>
        <v>-45563.28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29"/>
        <v>ServiceSalaires commis</v>
      </c>
      <c r="B200" s="41" t="s">
        <v>161</v>
      </c>
      <c r="C200" s="312" t="s">
        <v>121</v>
      </c>
      <c r="D200" s="296"/>
      <c r="E200" s="41"/>
      <c r="F200" s="247">
        <f t="array" ref="F200">+SUMPRODUCT(('Budget original'!$A$8:$A$502=$A200)*('Budget original'!$C$3:$AO$3=F$2),'Budget original'!$C$8:$AO$502)</f>
        <v>100887.8752254</v>
      </c>
      <c r="G200" s="297"/>
      <c r="H200" s="41"/>
      <c r="I200" s="247"/>
      <c r="J200" s="252"/>
      <c r="K200" s="41"/>
      <c r="L200" s="255">
        <f>SUMIFS(BV_Data_An_Cour!$P:$P,BV_Data_An_Cour!$U:$U,$B200,BV_Data_An_Cour!$V:$V,$C200,BV_Data_An_Cour!$W:$W,$L$2)</f>
        <v>121927.75</v>
      </c>
      <c r="M200" s="252"/>
      <c r="N200" s="275">
        <f t="shared" si="30"/>
        <v>21039.874774600001</v>
      </c>
      <c r="O200" s="252"/>
      <c r="P200" s="41"/>
      <c r="Q200" s="255">
        <f t="array" ref="Q200">+SUMPRODUCT(('Réel 2024'!$A$8:$A$502=$A200)*('Réel 2024'!$C$3:$AO$3=Q$2),'Réel 2024'!$C$8:$AO$502)</f>
        <v>57333.09</v>
      </c>
      <c r="R200" s="252"/>
      <c r="S200" s="275">
        <f t="shared" si="31"/>
        <v>64594.66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29"/>
        <v>ServiceSalaires autres</v>
      </c>
      <c r="B201" s="41" t="s">
        <v>161</v>
      </c>
      <c r="C201" s="311" t="s">
        <v>122</v>
      </c>
      <c r="D201" s="313"/>
      <c r="E201" s="314"/>
      <c r="F201" s="253">
        <f t="array" ref="F201">+SUMPRODUCT(('Budget original'!$A$8:$A$502=$A201)*('Budget original'!$C$3:$AO$3=F$2),'Budget original'!$C$8:$AO$502)</f>
        <v>179672.61466833332</v>
      </c>
      <c r="G201" s="315"/>
      <c r="H201" s="314"/>
      <c r="I201" s="253"/>
      <c r="J201" s="240"/>
      <c r="K201" s="314"/>
      <c r="L201" s="271">
        <f>SUMIFS(BV_Data_An_Cour!$P:$P,BV_Data_An_Cour!$U:$U,$B201,BV_Data_An_Cour!$V:$V,$C201,BV_Data_An_Cour!$W:$W,$L$2)</f>
        <v>132550.93</v>
      </c>
      <c r="M201" s="240"/>
      <c r="N201" s="316">
        <f t="shared" si="30"/>
        <v>-47121.684668333328</v>
      </c>
      <c r="O201" s="240"/>
      <c r="P201" s="314"/>
      <c r="Q201" s="271">
        <f t="array" ref="Q201">+SUMPRODUCT(('Réel 2024'!$A$8:$A$502=$A201)*('Réel 2024'!$C$3:$AO$3=Q$2),'Réel 2024'!$C$8:$AO$502)</f>
        <v>124292.80999999998</v>
      </c>
      <c r="R201" s="240"/>
      <c r="S201" s="316">
        <f t="shared" si="31"/>
        <v>8258.1200000000099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29"/>
        <v>ServiceSalaires spécialistes</v>
      </c>
      <c r="B202" s="41" t="s">
        <v>161</v>
      </c>
      <c r="C202" s="311" t="s">
        <v>123</v>
      </c>
      <c r="D202" s="296"/>
      <c r="E202" s="41"/>
      <c r="F202" s="253">
        <f t="array" ref="F202">+SUMPRODUCT(('Budget original'!$A$8:$A$502=$A202)*('Budget original'!$C$3:$AO$3=F$2),'Budget original'!$C$8:$AO$502)</f>
        <v>242324.15083231655</v>
      </c>
      <c r="G202" s="297"/>
      <c r="H202" s="41"/>
      <c r="I202" s="253"/>
      <c r="J202" s="252"/>
      <c r="K202" s="41"/>
      <c r="L202" s="255">
        <f>SUMIFS(BV_Data_An_Cour!$P:$P,BV_Data_An_Cour!$U:$U,$B202,BV_Data_An_Cour!$V:$V,$C202,BV_Data_An_Cour!$W:$W,$L$2)</f>
        <v>170930.18</v>
      </c>
      <c r="M202" s="252"/>
      <c r="N202" s="275">
        <f t="shared" si="30"/>
        <v>-71393.970832316554</v>
      </c>
      <c r="O202" s="252"/>
      <c r="P202" s="41"/>
      <c r="Q202" s="255">
        <f t="array" ref="Q202">+SUMPRODUCT(('Réel 2024'!$A$8:$A$502=$A202)*('Réel 2024'!$C$3:$AO$3=Q$2),'Réel 2024'!$C$8:$AO$502)</f>
        <v>149338.13</v>
      </c>
      <c r="R202" s="252"/>
      <c r="S202" s="275">
        <f t="shared" si="31"/>
        <v>21592.049999999988</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29"/>
        <v>Service[...]</v>
      </c>
      <c r="B203" s="41" t="s">
        <v>161</v>
      </c>
      <c r="C203" s="252" t="s">
        <v>59</v>
      </c>
      <c r="D203" s="296"/>
      <c r="E203" s="41"/>
      <c r="F203" s="253">
        <f t="array" ref="F203">+SUMPRODUCT(('Budget original'!$A$8:$A$502=$A203)*('Budget original'!$C$3:$AO$3=F$2),'Budget original'!$C$8:$AO$502)</f>
        <v>0</v>
      </c>
      <c r="G203" s="297"/>
      <c r="H203" s="41"/>
      <c r="I203" s="253"/>
      <c r="J203" s="252"/>
      <c r="K203" s="41"/>
      <c r="L203" s="255">
        <f>SUMIFS(BV_Data_An_Cour!$P:$P,BV_Data_An_Cour!$U:$U,$B203,BV_Data_An_Cour!$V:$V,$C203,BV_Data_An_Cour!$W:$W,$L$2)</f>
        <v>0</v>
      </c>
      <c r="M203" s="252"/>
      <c r="N203" s="275">
        <f t="shared" si="30"/>
        <v>0</v>
      </c>
      <c r="O203" s="252"/>
      <c r="P203" s="41"/>
      <c r="Q203" s="255">
        <f t="array" ref="Q203">+SUMPRODUCT(('Réel 2024'!$A$8:$A$502=$A203)*('Réel 2024'!$C$3:$AO$3=Q$2),'Réel 2024'!$C$8:$AO$502)</f>
        <v>0</v>
      </c>
      <c r="R203" s="252"/>
      <c r="S203" s="275">
        <f t="shared" si="31"/>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29"/>
        <v>Service[...]</v>
      </c>
      <c r="B204" s="41" t="s">
        <v>161</v>
      </c>
      <c r="C204" s="252" t="s">
        <v>59</v>
      </c>
      <c r="D204" s="296"/>
      <c r="E204" s="41"/>
      <c r="F204" s="253">
        <f t="array" ref="F204">+SUMPRODUCT(('Budget original'!$A$8:$A$502=$A204)*('Budget original'!$C$3:$AO$3=F$2),'Budget original'!$C$8:$AO$502)</f>
        <v>0</v>
      </c>
      <c r="G204" s="297"/>
      <c r="H204" s="41"/>
      <c r="I204" s="253"/>
      <c r="J204" s="252"/>
      <c r="K204" s="41"/>
      <c r="L204" s="255">
        <f>SUMIFS(BV_Data_An_Cour!$P:$P,BV_Data_An_Cour!$U:$U,$B204,BV_Data_An_Cour!$V:$V,$C204,BV_Data_An_Cour!$W:$W,$L$2)</f>
        <v>0</v>
      </c>
      <c r="M204" s="252"/>
      <c r="N204" s="275">
        <f t="shared" si="30"/>
        <v>0</v>
      </c>
      <c r="O204" s="252"/>
      <c r="P204" s="41"/>
      <c r="Q204" s="255">
        <f t="array" ref="Q204">+SUMPRODUCT(('Réel 2024'!$A$8:$A$502=$A204)*('Réel 2024'!$C$3:$AO$3=Q$2),'Réel 2024'!$C$8:$AO$502)</f>
        <v>0</v>
      </c>
      <c r="R204" s="252"/>
      <c r="S204" s="275">
        <f t="shared" si="31"/>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29"/>
        <v>Service[...]</v>
      </c>
      <c r="B205" s="41" t="s">
        <v>161</v>
      </c>
      <c r="C205" s="252" t="s">
        <v>59</v>
      </c>
      <c r="D205" s="296"/>
      <c r="E205" s="41"/>
      <c r="F205" s="253">
        <f t="array" ref="F205">+SUMPRODUCT(('Budget original'!$A$8:$A$502=$A205)*('Budget original'!$C$3:$AO$3=F$2),'Budget original'!$C$8:$AO$502)</f>
        <v>0</v>
      </c>
      <c r="G205" s="297"/>
      <c r="H205" s="41"/>
      <c r="I205" s="253"/>
      <c r="J205" s="252"/>
      <c r="K205" s="41"/>
      <c r="L205" s="255">
        <f>SUMIFS(BV_Data_An_Cour!$P:$P,BV_Data_An_Cour!$U:$U,$B205,BV_Data_An_Cour!$V:$V,$C205,BV_Data_An_Cour!$W:$W,$L$2)</f>
        <v>0</v>
      </c>
      <c r="M205" s="252"/>
      <c r="N205" s="275">
        <f t="shared" si="30"/>
        <v>0</v>
      </c>
      <c r="O205" s="252"/>
      <c r="P205" s="41"/>
      <c r="Q205" s="255">
        <f t="array" ref="Q205">+SUMPRODUCT(('Réel 2024'!$A$8:$A$502=$A205)*('Réel 2024'!$C$3:$AO$3=Q$2),'Réel 2024'!$C$8:$AO$502)</f>
        <v>0</v>
      </c>
      <c r="R205" s="252"/>
      <c r="S205" s="275">
        <f t="shared" si="31"/>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29"/>
        <v>ServiceSalaires en absences</v>
      </c>
      <c r="B206" s="41" t="s">
        <v>161</v>
      </c>
      <c r="C206" s="312" t="s">
        <v>124</v>
      </c>
      <c r="D206" s="296"/>
      <c r="E206" s="41"/>
      <c r="F206" s="253">
        <f t="array" ref="F206">+SUMPRODUCT(('Budget original'!$A$8:$A$502=$A206)*('Budget original'!$C$3:$AO$3=F$2),'Budget original'!$C$8:$AO$502)</f>
        <v>133895.90098531236</v>
      </c>
      <c r="G206" s="297"/>
      <c r="H206" s="41"/>
      <c r="I206" s="253"/>
      <c r="J206" s="252"/>
      <c r="K206" s="41"/>
      <c r="L206" s="255">
        <f>SUMIFS(BV_Data_An_Cour!$P:$P,BV_Data_An_Cour!$U:$U,$B206,BV_Data_An_Cour!$V:$V,$C206,BV_Data_An_Cour!$W:$W,$L$2)</f>
        <v>149431.19</v>
      </c>
      <c r="M206" s="252"/>
      <c r="N206" s="275">
        <f t="shared" si="30"/>
        <v>15535.289014687645</v>
      </c>
      <c r="O206" s="252"/>
      <c r="P206" s="41"/>
      <c r="Q206" s="255">
        <f t="array" ref="Q206">+SUMPRODUCT(('Réel 2024'!$A$8:$A$502=$A206)*('Réel 2024'!$C$3:$AO$3=Q$2),'Réel 2024'!$C$8:$AO$502)</f>
        <v>111898.31</v>
      </c>
      <c r="R206" s="252"/>
      <c r="S206" s="275">
        <f t="shared" si="31"/>
        <v>37532.880000000005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29"/>
        <v>ServiceDéduction à la source</v>
      </c>
      <c r="B207" s="41" t="s">
        <v>161</v>
      </c>
      <c r="C207" s="311" t="s">
        <v>125</v>
      </c>
      <c r="D207" s="313"/>
      <c r="E207" s="314"/>
      <c r="F207" s="271">
        <f t="array" ref="F207">+SUMPRODUCT(('Budget original'!$A$8:$A$502=$A207)*('Budget original'!$C$3:$AO$3=F$2),'Budget original'!$C$8:$AO$502)</f>
        <v>162798.5404050494</v>
      </c>
      <c r="G207" s="315"/>
      <c r="H207" s="314"/>
      <c r="I207" s="271"/>
      <c r="J207" s="240"/>
      <c r="K207" s="314"/>
      <c r="L207" s="271">
        <f>SUMIFS(BV_Data_An_Cour!$P:$P,BV_Data_An_Cour!$U:$U,$B207,BV_Data_An_Cour!$V:$V,$C207,BV_Data_An_Cour!$W:$W,$L$2)</f>
        <v>155744.07</v>
      </c>
      <c r="M207" s="240"/>
      <c r="N207" s="316">
        <f t="shared" si="30"/>
        <v>-7054.4704050493892</v>
      </c>
      <c r="O207" s="240"/>
      <c r="P207" s="314"/>
      <c r="Q207" s="271">
        <f t="array" ref="Q207">+SUMPRODUCT(('Réel 2024'!$A$8:$A$502=$A207)*('Réel 2024'!$C$3:$AO$3=Q$2),'Réel 2024'!$C$8:$AO$502)</f>
        <v>137236.91</v>
      </c>
      <c r="R207" s="240"/>
      <c r="S207" s="316">
        <f t="shared" si="31"/>
        <v>18507.160000000003</v>
      </c>
      <c r="T207" s="41"/>
      <c r="V207" s="253">
        <f>L207-Print_Mois!L207</f>
        <v>132208.18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29"/>
        <v>ServiceBénéfices marginaux</v>
      </c>
      <c r="B208" s="41" t="s">
        <v>161</v>
      </c>
      <c r="C208" s="311" t="s">
        <v>126</v>
      </c>
      <c r="D208" s="296"/>
      <c r="E208" s="41"/>
      <c r="F208" s="253">
        <f t="array" ref="F208">+SUMPRODUCT(('Budget original'!$A$8:$A$502=$A208)*('Budget original'!$C$3:$AO$3=F$2),'Budget original'!$C$8:$AO$502)</f>
        <v>83876.639295645014</v>
      </c>
      <c r="G208" s="297"/>
      <c r="H208" s="41"/>
      <c r="I208" s="253"/>
      <c r="J208" s="252"/>
      <c r="K208" s="41"/>
      <c r="L208" s="255">
        <f>SUMIFS(BV_Data_An_Cour!$P:$P,BV_Data_An_Cour!$U:$U,$B208,BV_Data_An_Cour!$V:$V,$C208,BV_Data_An_Cour!$W:$W,$L$2)</f>
        <v>83676.78</v>
      </c>
      <c r="M208" s="252"/>
      <c r="N208" s="275">
        <f t="shared" si="30"/>
        <v>-199.85929564501566</v>
      </c>
      <c r="O208" s="252"/>
      <c r="P208" s="41"/>
      <c r="Q208" s="255">
        <f t="array" ref="Q208">+SUMPRODUCT(('Réel 2024'!$A$8:$A$502=$A208)*('Réel 2024'!$C$3:$AO$3=Q$2),'Réel 2024'!$C$8:$AO$502)</f>
        <v>69789.289999999994</v>
      </c>
      <c r="R208" s="252"/>
      <c r="S208" s="275">
        <f t="shared" si="31"/>
        <v>13887.490000000005</v>
      </c>
      <c r="T208" s="41"/>
      <c r="V208" s="253">
        <f>L208-Print_Mois!L208</f>
        <v>72121.66</v>
      </c>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29"/>
        <v>ServiceCsst</v>
      </c>
      <c r="B209" s="41" t="s">
        <v>161</v>
      </c>
      <c r="C209" s="311" t="s">
        <v>127</v>
      </c>
      <c r="D209" s="296"/>
      <c r="E209" s="41"/>
      <c r="F209" s="253">
        <f t="array" ref="F209">+SUMPRODUCT(('Budget original'!$A$8:$A$502=$A209)*('Budget original'!$C$3:$AO$3=F$2),'Budget original'!$C$8:$AO$502)</f>
        <v>36570.686612728481</v>
      </c>
      <c r="G209" s="297"/>
      <c r="H209" s="41"/>
      <c r="I209" s="253"/>
      <c r="J209" s="252"/>
      <c r="K209" s="41"/>
      <c r="L209" s="255">
        <f>SUMIFS(BV_Data_An_Cour!$P:$P,BV_Data_An_Cour!$U:$U,$B209,BV_Data_An_Cour!$V:$V,$C209,BV_Data_An_Cour!$W:$W,$L$2)</f>
        <v>27368.400000000001</v>
      </c>
      <c r="M209" s="252"/>
      <c r="N209" s="275">
        <f t="shared" si="30"/>
        <v>-9202.2866127284797</v>
      </c>
      <c r="O209" s="252"/>
      <c r="P209" s="41"/>
      <c r="Q209" s="255">
        <f t="array" ref="Q209">+SUMPRODUCT(('Réel 2024'!$A$8:$A$502=$A209)*('Réel 2024'!$C$3:$AO$3=Q$2),'Réel 2024'!$C$8:$AO$502)</f>
        <v>29458.25</v>
      </c>
      <c r="R209" s="252"/>
      <c r="S209" s="275">
        <f t="shared" si="31"/>
        <v>-2089.8499999999985</v>
      </c>
      <c r="T209" s="41"/>
      <c r="V209" s="253">
        <f>L209-Print_Mois!L209</f>
        <v>22759.13</v>
      </c>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29"/>
        <v>Service[...]</v>
      </c>
      <c r="B210" s="41" t="s">
        <v>161</v>
      </c>
      <c r="C210" s="252" t="s">
        <v>59</v>
      </c>
      <c r="D210" s="298"/>
      <c r="E210" s="317"/>
      <c r="F210" s="253">
        <f t="array" ref="F210">+SUMPRODUCT(('Budget original'!$A$8:$A$502=$A210)*('Budget original'!$C$3:$AO$3=F$2),'Budget original'!$C$8:$AO$502)</f>
        <v>0</v>
      </c>
      <c r="G210" s="299"/>
      <c r="H210" s="317"/>
      <c r="I210" s="253"/>
      <c r="J210" s="245"/>
      <c r="K210" s="317"/>
      <c r="L210" s="255">
        <f>SUMIFS(BV_Data_An_Cour!$P:$P,BV_Data_An_Cour!$U:$U,$B210,BV_Data_An_Cour!$V:$V,$C210,BV_Data_An_Cour!$W:$W,$L$2)</f>
        <v>0</v>
      </c>
      <c r="M210" s="245"/>
      <c r="N210" s="295">
        <f t="shared" si="30"/>
        <v>0</v>
      </c>
      <c r="O210" s="245"/>
      <c r="P210" s="317"/>
      <c r="Q210" s="255">
        <f t="array" ref="Q210">+SUMPRODUCT(('Réel 2024'!$A$8:$A$502=$A210)*('Réel 2024'!$C$3:$AO$3=Q$2),'Réel 2024'!$C$8:$AO$502)</f>
        <v>0</v>
      </c>
      <c r="R210" s="245"/>
      <c r="S210" s="295">
        <f t="shared" si="31"/>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29"/>
        <v>ServiceTOTAL PERSONNEL</v>
      </c>
      <c r="B211" s="41" t="s">
        <v>161</v>
      </c>
      <c r="C211" s="303" t="s">
        <v>128</v>
      </c>
      <c r="D211" s="304" t="s">
        <v>175</v>
      </c>
      <c r="E211" s="305">
        <f>F211/F$195</f>
        <v>0.58475409964049263</v>
      </c>
      <c r="F211" s="306">
        <f>+SUM(F199:F210)</f>
        <v>995079.17292863154</v>
      </c>
      <c r="G211" s="307"/>
      <c r="H211" s="305"/>
      <c r="I211" s="306"/>
      <c r="J211" s="307" t="s">
        <v>175</v>
      </c>
      <c r="K211" s="305">
        <f>L211/L$195</f>
        <v>0.55778742277471294</v>
      </c>
      <c r="L211" s="306">
        <f>+SUM(L199:L210)</f>
        <v>902555.02000000014</v>
      </c>
      <c r="M211" s="354"/>
      <c r="N211" s="319">
        <f t="shared" si="30"/>
        <v>-92524.152928631403</v>
      </c>
      <c r="O211" s="307" t="s">
        <v>175</v>
      </c>
      <c r="P211" s="305">
        <f>Q211/Q$195</f>
        <v>0.48896089454189956</v>
      </c>
      <c r="Q211" s="306">
        <f>+SUM(Q199:Q210)</f>
        <v>785835.79</v>
      </c>
      <c r="R211" s="354"/>
      <c r="S211" s="319">
        <f t="shared" si="31"/>
        <v>116719.2300000001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29"/>
        <v>ServicePublicité 2</v>
      </c>
      <c r="B212" s="41" t="s">
        <v>161</v>
      </c>
      <c r="C212" s="252" t="s">
        <v>129</v>
      </c>
      <c r="D212" s="296"/>
      <c r="E212" s="41"/>
      <c r="F212" s="253">
        <f t="array" ref="F212">+SUMPRODUCT(('Budget original'!$A$8:$A$502=$A212)*('Budget original'!$C$3:$AO$3=F$2),'Budget original'!$C$8:$AO$502)</f>
        <v>64159.25</v>
      </c>
      <c r="G212" s="297"/>
      <c r="H212" s="41"/>
      <c r="I212" s="253"/>
      <c r="J212" s="252"/>
      <c r="K212" s="41"/>
      <c r="L212" s="255">
        <f>SUMIFS(BV_Data_An_Cour!$P:$P,BV_Data_An_Cour!$U:$U,$B212,BV_Data_An_Cour!$V:$V,$C212,BV_Data_An_Cour!$W:$W,$L$2)</f>
        <v>43580.18</v>
      </c>
      <c r="M212" s="252"/>
      <c r="N212" s="275">
        <f t="shared" si="30"/>
        <v>-20579.07</v>
      </c>
      <c r="O212" s="252"/>
      <c r="P212" s="41"/>
      <c r="Q212" s="255">
        <f t="array" ref="Q212">+SUMPRODUCT(('Réel 2024'!$A$8:$A$502=$A212)*('Réel 2024'!$C$3:$AO$3=Q$2),'Réel 2024'!$C$8:$AO$502)</f>
        <v>97568.549999999988</v>
      </c>
      <c r="R212" s="252"/>
      <c r="S212" s="275">
        <f t="shared" si="31"/>
        <v>-53988.369999999988</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29"/>
        <v>ServiceService gratuit 2</v>
      </c>
      <c r="B213" s="41" t="s">
        <v>161</v>
      </c>
      <c r="C213" s="252" t="s">
        <v>130</v>
      </c>
      <c r="D213" s="296"/>
      <c r="E213" s="41"/>
      <c r="F213" s="253">
        <f t="array" ref="F213">+SUMPRODUCT(('Budget original'!$A$8:$A$502=$A213)*('Budget original'!$C$3:$AO$3=F$2),'Budget original'!$C$8:$AO$502)</f>
        <v>23955.241823265966</v>
      </c>
      <c r="G213" s="297"/>
      <c r="H213" s="41"/>
      <c r="I213" s="253"/>
      <c r="J213" s="252"/>
      <c r="K213" s="41"/>
      <c r="L213" s="566">
        <f>SUMIFS(BV_Data_An_Cour!$P:$P,BV_Data_An_Cour!$U:$U,$B213,BV_Data_An_Cour!$V:$V,$C213,BV_Data_An_Cour!$W:$W,$L$2)</f>
        <v>18895.510000000002</v>
      </c>
      <c r="M213" s="252"/>
      <c r="N213" s="275">
        <f t="shared" si="30"/>
        <v>-5059.7318232659636</v>
      </c>
      <c r="O213" s="252"/>
      <c r="P213" s="41"/>
      <c r="Q213" s="255">
        <f t="array" ref="Q213">+SUMPRODUCT(('Réel 2024'!$A$8:$A$502=$A213)*('Réel 2024'!$C$3:$AO$3=Q$2),'Réel 2024'!$C$8:$AO$502)</f>
        <v>23913.709999999992</v>
      </c>
      <c r="R213" s="252"/>
      <c r="S213" s="275">
        <f t="shared" si="31"/>
        <v>-5018.1999999999898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29"/>
        <v>ServiceFrais véhicules de cie</v>
      </c>
      <c r="B214" s="41" t="s">
        <v>161</v>
      </c>
      <c r="C214" s="245" t="s">
        <v>131</v>
      </c>
      <c r="D214" s="298"/>
      <c r="E214" s="317"/>
      <c r="F214" s="247">
        <f t="array" ref="F214">+SUMPRODUCT(('Budget original'!$A$8:$A$502=$A214)*('Budget original'!$C$3:$AO$3=F$2),'Budget original'!$C$8:$AO$502)</f>
        <v>90586.175488888897</v>
      </c>
      <c r="G214" s="299"/>
      <c r="H214" s="317"/>
      <c r="I214" s="247"/>
      <c r="J214" s="245"/>
      <c r="K214" s="317"/>
      <c r="L214" s="255">
        <f>SUMIFS(BV_Data_An_Cour!$P:$P,BV_Data_An_Cour!$U:$U,$B214,BV_Data_An_Cour!$V:$V,$C214,BV_Data_An_Cour!$W:$W,$L$2)</f>
        <v>66664.789999999994</v>
      </c>
      <c r="M214" s="245"/>
      <c r="N214" s="295">
        <f t="shared" si="30"/>
        <v>-23921.385488888904</v>
      </c>
      <c r="O214" s="245"/>
      <c r="P214" s="317"/>
      <c r="Q214" s="255">
        <f t="array" ref="Q214">+SUMPRODUCT(('Réel 2024'!$A$8:$A$502=$A214)*('Réel 2024'!$C$3:$AO$3=Q$2),'Réel 2024'!$C$8:$AO$502)</f>
        <v>73239.850000000006</v>
      </c>
      <c r="R214" s="245"/>
      <c r="S214" s="295">
        <f t="shared" si="31"/>
        <v>-6575.0600000000122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29"/>
        <v>ServiceInformatique</v>
      </c>
      <c r="B215" s="41" t="s">
        <v>161</v>
      </c>
      <c r="C215" s="252" t="s">
        <v>132</v>
      </c>
      <c r="D215" s="296"/>
      <c r="E215" s="41"/>
      <c r="F215" s="253">
        <f t="array" ref="F215">+SUMPRODUCT(('Budget original'!$A$8:$A$502=$A215)*('Budget original'!$C$3:$AO$3=F$2),'Budget original'!$C$8:$AO$502)</f>
        <v>40988</v>
      </c>
      <c r="G215" s="297"/>
      <c r="H215" s="41"/>
      <c r="I215" s="253"/>
      <c r="J215" s="252"/>
      <c r="K215" s="41"/>
      <c r="L215" s="271">
        <f>SUMIFS(BV_Data_An_Cour!$P:$P,BV_Data_An_Cour!$U:$U,$B215,BV_Data_An_Cour!$V:$V,$C215,BV_Data_An_Cour!$W:$W,$L$2)</f>
        <v>37311.07</v>
      </c>
      <c r="M215" s="252"/>
      <c r="N215" s="275">
        <f t="shared" si="30"/>
        <v>-3676.9300000000003</v>
      </c>
      <c r="O215" s="252"/>
      <c r="P215" s="41"/>
      <c r="Q215" s="271">
        <f t="array" ref="Q215">+SUMPRODUCT(('Réel 2024'!$A$8:$A$502=$A215)*('Réel 2024'!$C$3:$AO$3=Q$2),'Réel 2024'!$C$8:$AO$502)</f>
        <v>36495.699999999997</v>
      </c>
      <c r="R215" s="252"/>
      <c r="S215" s="275">
        <f t="shared" si="31"/>
        <v>815.37000000000262</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29"/>
        <v>ServiceFrais de déplacement</v>
      </c>
      <c r="B216" s="41" t="s">
        <v>161</v>
      </c>
      <c r="C216" s="252" t="s">
        <v>133</v>
      </c>
      <c r="D216" s="296"/>
      <c r="E216" s="41"/>
      <c r="F216" s="253">
        <f t="array" ref="F216">+SUMPRODUCT(('Budget original'!$A$8:$A$502=$A216)*('Budget original'!$C$3:$AO$3=F$2),'Budget original'!$C$8:$AO$502)</f>
        <v>8750</v>
      </c>
      <c r="G216" s="297"/>
      <c r="H216" s="41"/>
      <c r="I216" s="253"/>
      <c r="J216" s="252"/>
      <c r="K216" s="41"/>
      <c r="L216" s="255">
        <f>SUMIFS(BV_Data_An_Cour!$P:$P,BV_Data_An_Cour!$U:$U,$B216,BV_Data_An_Cour!$V:$V,$C216,BV_Data_An_Cour!$W:$W,$L$2)</f>
        <v>5863.78</v>
      </c>
      <c r="M216" s="252"/>
      <c r="N216" s="275">
        <f t="shared" si="30"/>
        <v>-2886.2200000000003</v>
      </c>
      <c r="O216" s="252"/>
      <c r="P216" s="41"/>
      <c r="Q216" s="255">
        <f t="array" ref="Q216">+SUMPRODUCT(('Réel 2024'!$A$8:$A$502=$A216)*('Réel 2024'!$C$3:$AO$3=Q$2),'Réel 2024'!$C$8:$AO$502)</f>
        <v>8745.67</v>
      </c>
      <c r="R216" s="252"/>
      <c r="S216" s="275">
        <f t="shared" si="31"/>
        <v>-2881.8900000000003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29"/>
        <v>ServiceServices extérieurs</v>
      </c>
      <c r="B217" s="41" t="s">
        <v>161</v>
      </c>
      <c r="C217" s="245" t="s">
        <v>134</v>
      </c>
      <c r="D217" s="298"/>
      <c r="E217" s="317"/>
      <c r="F217" s="247">
        <f t="array" ref="F217">+SUMPRODUCT(('Budget original'!$A$8:$A$502=$A217)*('Budget original'!$C$3:$AO$3=F$2),'Budget original'!$C$8:$AO$502)</f>
        <v>111812.87999999999</v>
      </c>
      <c r="G217" s="299"/>
      <c r="H217" s="317"/>
      <c r="I217" s="247"/>
      <c r="J217" s="245"/>
      <c r="K217" s="317"/>
      <c r="L217" s="255">
        <f>SUMIFS(BV_Data_An_Cour!$P:$P,BV_Data_An_Cour!$U:$U,$B217,BV_Data_An_Cour!$V:$V,$C217,BV_Data_An_Cour!$W:$W,$L$2)</f>
        <v>105204.1</v>
      </c>
      <c r="M217" s="245"/>
      <c r="N217" s="295">
        <f t="shared" si="30"/>
        <v>-6608.7799999999843</v>
      </c>
      <c r="O217" s="245"/>
      <c r="P217" s="317"/>
      <c r="Q217" s="255">
        <f t="array" ref="Q217">+SUMPRODUCT(('Réel 2024'!$A$8:$A$502=$A217)*('Réel 2024'!$C$3:$AO$3=Q$2),'Réel 2024'!$C$8:$AO$502)</f>
        <v>109825.05</v>
      </c>
      <c r="R217" s="245"/>
      <c r="S217" s="295">
        <f t="shared" si="31"/>
        <v>-4620.9499999999971</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29"/>
        <v>ServiceFournitures d'atelier</v>
      </c>
      <c r="B218" s="41" t="s">
        <v>161</v>
      </c>
      <c r="C218" s="252" t="s">
        <v>489</v>
      </c>
      <c r="D218" s="296"/>
      <c r="E218" s="41"/>
      <c r="F218" s="253">
        <f t="array" ref="F218">+SUMPRODUCT(('Budget original'!$A$8:$A$502=$A218)*('Budget original'!$C$3:$AO$3=F$2),'Budget original'!$C$8:$AO$502)</f>
        <v>0</v>
      </c>
      <c r="G218" s="297"/>
      <c r="H218" s="41"/>
      <c r="I218" s="253"/>
      <c r="J218" s="252"/>
      <c r="K218" s="41"/>
      <c r="L218" s="271">
        <f>SUMIFS(BV_Data_An_Cour!$P:$P,BV_Data_An_Cour!$U:$U,$B218,BV_Data_An_Cour!$V:$V,$C218,BV_Data_An_Cour!$W:$W,$L$2)</f>
        <v>0</v>
      </c>
      <c r="M218" s="252"/>
      <c r="N218" s="275">
        <f t="shared" si="30"/>
        <v>0</v>
      </c>
      <c r="O218" s="252"/>
      <c r="P218" s="41"/>
      <c r="Q218" s="271">
        <f t="array" ref="Q218">+SUMPRODUCT(('Réel 2024'!$A$8:$A$502=$A218)*('Réel 2024'!$C$3:$AO$3=Q$2),'Réel 2024'!$C$8:$AO$502)</f>
        <v>0</v>
      </c>
      <c r="R218" s="252"/>
      <c r="S218" s="275">
        <f t="shared" si="31"/>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29"/>
        <v>ServiceFournitures autres</v>
      </c>
      <c r="B219" s="41" t="s">
        <v>161</v>
      </c>
      <c r="C219" s="252" t="s">
        <v>135</v>
      </c>
      <c r="D219" s="296"/>
      <c r="E219" s="41"/>
      <c r="F219" s="253">
        <f t="array" ref="F219">+SUMPRODUCT(('Budget original'!$A$8:$A$502=$A219)*('Budget original'!$C$3:$AO$3=F$2),'Budget original'!$C$8:$AO$502)</f>
        <v>35000</v>
      </c>
      <c r="G219" s="297"/>
      <c r="H219" s="41"/>
      <c r="I219" s="253"/>
      <c r="J219" s="252"/>
      <c r="K219" s="41"/>
      <c r="L219" s="255">
        <f>SUMIFS(BV_Data_An_Cour!$P:$P,BV_Data_An_Cour!$U:$U,$B219,BV_Data_An_Cour!$V:$V,$C219,BV_Data_An_Cour!$W:$W,$L$2)</f>
        <v>38114.019999999997</v>
      </c>
      <c r="M219" s="252"/>
      <c r="N219" s="275">
        <f t="shared" si="30"/>
        <v>3114.0199999999968</v>
      </c>
      <c r="O219" s="252"/>
      <c r="P219" s="41"/>
      <c r="Q219" s="255">
        <f t="array" ref="Q219">+SUMPRODUCT(('Réel 2024'!$A$8:$A$502=$A219)*('Réel 2024'!$C$3:$AO$3=Q$2),'Réel 2024'!$C$8:$AO$502)</f>
        <v>33030.949999999997</v>
      </c>
      <c r="R219" s="252"/>
      <c r="S219" s="275">
        <f t="shared" si="31"/>
        <v>5083.07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29"/>
        <v>ServiceUniformes</v>
      </c>
      <c r="B220" s="41" t="s">
        <v>161</v>
      </c>
      <c r="C220" s="252" t="s">
        <v>136</v>
      </c>
      <c r="D220" s="296"/>
      <c r="E220" s="41"/>
      <c r="F220" s="253">
        <f t="array" ref="F220">+SUMPRODUCT(('Budget original'!$A$8:$A$502=$A220)*('Budget original'!$C$3:$AO$3=F$2),'Budget original'!$C$8:$AO$502)</f>
        <v>22000</v>
      </c>
      <c r="G220" s="297"/>
      <c r="H220" s="41"/>
      <c r="I220" s="253"/>
      <c r="J220" s="252"/>
      <c r="K220" s="41"/>
      <c r="L220" s="255">
        <f>SUMIFS(BV_Data_An_Cour!$P:$P,BV_Data_An_Cour!$U:$U,$B220,BV_Data_An_Cour!$V:$V,$C220,BV_Data_An_Cour!$W:$W,$L$2)</f>
        <v>8046.62</v>
      </c>
      <c r="M220" s="252"/>
      <c r="N220" s="275">
        <f t="shared" si="30"/>
        <v>-13953.380000000001</v>
      </c>
      <c r="O220" s="252"/>
      <c r="P220" s="41"/>
      <c r="Q220" s="255">
        <f t="array" ref="Q220">+SUMPRODUCT(('Réel 2024'!$A$8:$A$502=$A220)*('Réel 2024'!$C$3:$AO$3=Q$2),'Réel 2024'!$C$8:$AO$502)</f>
        <v>5403.2099999999991</v>
      </c>
      <c r="R220" s="252"/>
      <c r="S220" s="275">
        <f t="shared" si="31"/>
        <v>2643.4100000000008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29"/>
        <v>ServicePapeterie</v>
      </c>
      <c r="B221" s="41" t="s">
        <v>161</v>
      </c>
      <c r="C221" s="252" t="s">
        <v>137</v>
      </c>
      <c r="D221" s="296"/>
      <c r="E221" s="41"/>
      <c r="F221" s="253">
        <f t="array" ref="F221">+SUMPRODUCT(('Budget original'!$A$8:$A$502=$A221)*('Budget original'!$C$3:$AO$3=F$2),'Budget original'!$C$8:$AO$502)</f>
        <v>5831</v>
      </c>
      <c r="G221" s="297"/>
      <c r="H221" s="41"/>
      <c r="I221" s="253"/>
      <c r="J221" s="252"/>
      <c r="K221" s="41"/>
      <c r="L221" s="255">
        <f>SUMIFS(BV_Data_An_Cour!$P:$P,BV_Data_An_Cour!$U:$U,$B221,BV_Data_An_Cour!$V:$V,$C221,BV_Data_An_Cour!$W:$W,$L$2)</f>
        <v>8111.81</v>
      </c>
      <c r="M221" s="252"/>
      <c r="N221" s="275">
        <f t="shared" si="30"/>
        <v>2280.8100000000004</v>
      </c>
      <c r="O221" s="252"/>
      <c r="P221" s="41"/>
      <c r="Q221" s="255">
        <f t="array" ref="Q221">+SUMPRODUCT(('Réel 2024'!$A$8:$A$502=$A221)*('Réel 2024'!$C$3:$AO$3=Q$2),'Réel 2024'!$C$8:$AO$502)</f>
        <v>6557.16</v>
      </c>
      <c r="R221" s="252"/>
      <c r="S221" s="275">
        <f t="shared" si="31"/>
        <v>1554.6500000000005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29"/>
        <v>ServiceTéléphone</v>
      </c>
      <c r="B222" s="41" t="s">
        <v>161</v>
      </c>
      <c r="C222" s="252" t="s">
        <v>138</v>
      </c>
      <c r="D222" s="296"/>
      <c r="E222" s="41"/>
      <c r="F222" s="253">
        <f t="array" ref="F222">+SUMPRODUCT(('Budget original'!$A$8:$A$502=$A222)*('Budget original'!$C$3:$AO$3=F$2),'Budget original'!$C$8:$AO$502)</f>
        <v>1592.5</v>
      </c>
      <c r="G222" s="297"/>
      <c r="H222" s="41"/>
      <c r="I222" s="253"/>
      <c r="J222" s="252"/>
      <c r="K222" s="41"/>
      <c r="L222" s="255">
        <f>SUMIFS(BV_Data_An_Cour!$P:$P,BV_Data_An_Cour!$U:$U,$B222,BV_Data_An_Cour!$V:$V,$C222,BV_Data_An_Cour!$W:$W,$L$2)</f>
        <v>1858.84</v>
      </c>
      <c r="M222" s="252"/>
      <c r="N222" s="275">
        <f t="shared" si="30"/>
        <v>266.33999999999992</v>
      </c>
      <c r="O222" s="252"/>
      <c r="P222" s="41"/>
      <c r="Q222" s="255">
        <f t="array" ref="Q222">+SUMPRODUCT(('Réel 2024'!$A$8:$A$502=$A222)*('Réel 2024'!$C$3:$AO$3=Q$2),'Réel 2024'!$C$8:$AO$502)</f>
        <v>1460.81</v>
      </c>
      <c r="R222" s="252"/>
      <c r="S222" s="275">
        <f t="shared" si="31"/>
        <v>398.03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29"/>
        <v>ServiceFrais postaux</v>
      </c>
      <c r="B223" s="41" t="s">
        <v>161</v>
      </c>
      <c r="C223" s="252" t="s">
        <v>139</v>
      </c>
      <c r="D223" s="296"/>
      <c r="E223" s="41"/>
      <c r="F223" s="253">
        <f t="array" ref="F223">+SUMPRODUCT(('Budget original'!$A$8:$A$502=$A223)*('Budget original'!$C$3:$AO$3=F$2),'Budget original'!$C$8:$AO$502)</f>
        <v>1196.58</v>
      </c>
      <c r="G223" s="297"/>
      <c r="H223" s="41"/>
      <c r="I223" s="253"/>
      <c r="J223" s="252"/>
      <c r="K223" s="41"/>
      <c r="L223" s="255">
        <f>SUMIFS(BV_Data_An_Cour!$P:$P,BV_Data_An_Cour!$U:$U,$B223,BV_Data_An_Cour!$V:$V,$C223,BV_Data_An_Cour!$W:$W,$L$2)</f>
        <v>2564.9</v>
      </c>
      <c r="M223" s="252"/>
      <c r="N223" s="275">
        <f t="shared" si="30"/>
        <v>1368.3200000000002</v>
      </c>
      <c r="O223" s="252"/>
      <c r="P223" s="41"/>
      <c r="Q223" s="255">
        <f t="array" ref="Q223">+SUMPRODUCT(('Réel 2024'!$A$8:$A$502=$A223)*('Réel 2024'!$C$3:$AO$3=Q$2),'Réel 2024'!$C$8:$AO$502)</f>
        <v>2189.1999999999998</v>
      </c>
      <c r="R223" s="252"/>
      <c r="S223" s="275">
        <f t="shared" si="31"/>
        <v>375.70000000000027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29"/>
        <v>ServiceDivers</v>
      </c>
      <c r="B224" s="41" t="s">
        <v>161</v>
      </c>
      <c r="C224" s="252" t="s">
        <v>140</v>
      </c>
      <c r="D224" s="296"/>
      <c r="E224" s="41"/>
      <c r="F224" s="253">
        <f t="array" ref="F224">+SUMPRODUCT(('Budget original'!$A$8:$A$502=$A224)*('Budget original'!$C$3:$AO$3=F$2),'Budget original'!$C$8:$AO$502)</f>
        <v>630</v>
      </c>
      <c r="G224" s="297"/>
      <c r="H224" s="41"/>
      <c r="I224" s="253"/>
      <c r="J224" s="252"/>
      <c r="K224" s="41"/>
      <c r="L224" s="255">
        <f>SUMIFS(BV_Data_An_Cour!$P:$P,BV_Data_An_Cour!$U:$U,$B224,BV_Data_An_Cour!$V:$V,$C224,BV_Data_An_Cour!$W:$W,$L$2)</f>
        <v>2141.69</v>
      </c>
      <c r="M224" s="252"/>
      <c r="N224" s="275">
        <f t="shared" si="30"/>
        <v>1511.69</v>
      </c>
      <c r="O224" s="252"/>
      <c r="P224" s="41"/>
      <c r="Q224" s="255">
        <f t="array" ref="Q224">+SUMPRODUCT(('Réel 2024'!$A$8:$A$502=$A224)*('Réel 2024'!$C$3:$AO$3=Q$2),'Réel 2024'!$C$8:$AO$502)</f>
        <v>442.53000000000003</v>
      </c>
      <c r="R224" s="252"/>
      <c r="S224" s="275">
        <f t="shared" si="31"/>
        <v>1699.16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29"/>
        <v>ServiceFormation</v>
      </c>
      <c r="B225" s="41" t="s">
        <v>161</v>
      </c>
      <c r="C225" s="252" t="s">
        <v>141</v>
      </c>
      <c r="D225" s="296"/>
      <c r="E225" s="41"/>
      <c r="F225" s="253">
        <f t="array" ref="F225">+SUMPRODUCT(('Budget original'!$A$8:$A$502=$A225)*('Budget original'!$C$3:$AO$3=F$2),'Budget original'!$C$8:$AO$502)</f>
        <v>11666.666666666666</v>
      </c>
      <c r="G225" s="297"/>
      <c r="H225" s="41"/>
      <c r="I225" s="253"/>
      <c r="J225" s="252"/>
      <c r="K225" s="41"/>
      <c r="L225" s="255">
        <f>SUMIFS(BV_Data_An_Cour!$P:$P,BV_Data_An_Cour!$U:$U,$B225,BV_Data_An_Cour!$V:$V,$C225,BV_Data_An_Cour!$W:$W,$L$2)</f>
        <v>6196.92</v>
      </c>
      <c r="M225" s="252"/>
      <c r="N225" s="275">
        <f t="shared" si="30"/>
        <v>-5469.746666666666</v>
      </c>
      <c r="O225" s="252"/>
      <c r="P225" s="41"/>
      <c r="Q225" s="255">
        <f t="array" ref="Q225">+SUMPRODUCT(('Réel 2024'!$A$8:$A$502=$A225)*('Réel 2024'!$C$3:$AO$3=Q$2),'Réel 2024'!$C$8:$AO$502)</f>
        <v>6442.130000000001</v>
      </c>
      <c r="R225" s="252"/>
      <c r="S225" s="275">
        <f t="shared" si="31"/>
        <v>-245.21000000000095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29"/>
        <v>ServiceFrais bancaires</v>
      </c>
      <c r="B226" s="41" t="s">
        <v>161</v>
      </c>
      <c r="C226" s="252" t="s">
        <v>142</v>
      </c>
      <c r="D226" s="296"/>
      <c r="E226" s="41"/>
      <c r="F226" s="253">
        <f t="array" ref="F226">+SUMPRODUCT(('Budget original'!$A$8:$A$502=$A226)*('Budget original'!$C$3:$AO$3=F$2),'Budget original'!$C$8:$AO$502)</f>
        <v>13563.370810592347</v>
      </c>
      <c r="G226" s="297"/>
      <c r="H226" s="41"/>
      <c r="I226" s="253"/>
      <c r="J226" s="252"/>
      <c r="K226" s="41"/>
      <c r="L226" s="255">
        <f>SUMIFS(BV_Data_An_Cour!$P:$P,BV_Data_An_Cour!$U:$U,$B226,BV_Data_An_Cour!$V:$V,$C226,BV_Data_An_Cour!$W:$W,L$2)</f>
        <v>14974.25</v>
      </c>
      <c r="M226" s="252"/>
      <c r="N226" s="275">
        <f t="shared" si="30"/>
        <v>1410.879189407653</v>
      </c>
      <c r="O226" s="252"/>
      <c r="P226" s="41"/>
      <c r="Q226" s="255">
        <f t="array" ref="Q226">+SUMPRODUCT(('Réel 2024'!$A$8:$A$502=$A226)*('Réel 2024'!$C$3:$AO$3=Q$2),'Réel 2024'!$C$8:$AO$502)</f>
        <v>12636.170000000002</v>
      </c>
      <c r="R226" s="252"/>
      <c r="S226" s="275">
        <f t="shared" si="31"/>
        <v>2338.0799999999981</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29"/>
        <v>Service[...]</v>
      </c>
      <c r="B227" s="41" t="s">
        <v>161</v>
      </c>
      <c r="C227" s="252" t="s">
        <v>59</v>
      </c>
      <c r="D227" s="296"/>
      <c r="E227" s="41"/>
      <c r="F227" s="253">
        <f t="array" ref="F227">+SUMPRODUCT(('Budget original'!$A$8:$A$502=$A227)*('Budget original'!$C$3:$AO$3=F$2),'Budget original'!$C$8:$AO$502)</f>
        <v>0</v>
      </c>
      <c r="G227" s="297"/>
      <c r="H227" s="41"/>
      <c r="I227" s="253"/>
      <c r="J227" s="252"/>
      <c r="K227" s="41"/>
      <c r="L227" s="255">
        <f>SUMIFS(BV_Data_An_Cour!$P:$P,BV_Data_An_Cour!$U:$U,$B227,BV_Data_An_Cour!$V:$V,$C227,BV_Data_An_Cour!$W:$W,$L$2)</f>
        <v>0</v>
      </c>
      <c r="M227" s="252"/>
      <c r="N227" s="275">
        <f t="shared" si="30"/>
        <v>0</v>
      </c>
      <c r="O227" s="252"/>
      <c r="P227" s="41"/>
      <c r="Q227" s="255">
        <f t="array" ref="Q227">+SUMPRODUCT(('Réel 2024'!$A$8:$A$502=$A227)*('Réel 2024'!$C$3:$AO$3=Q$2),'Réel 2024'!$C$8:$AO$502)</f>
        <v>0</v>
      </c>
      <c r="R227" s="252"/>
      <c r="S227" s="275">
        <f t="shared" si="31"/>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29"/>
        <v>Service[...]</v>
      </c>
      <c r="B228" s="41" t="s">
        <v>161</v>
      </c>
      <c r="C228" s="252" t="s">
        <v>59</v>
      </c>
      <c r="D228" s="296"/>
      <c r="E228" s="41"/>
      <c r="F228" s="253">
        <f t="array" ref="F228">+SUMPRODUCT(('Budget original'!$A$8:$A$502=$A228)*('Budget original'!$C$3:$AO$3=F$2),'Budget original'!$C$8:$AO$502)</f>
        <v>0</v>
      </c>
      <c r="G228" s="297"/>
      <c r="H228" s="41"/>
      <c r="I228" s="253"/>
      <c r="J228" s="252"/>
      <c r="K228" s="41"/>
      <c r="L228" s="255">
        <f>SUMIFS(BV_Data_An_Cour!$P:$P,BV_Data_An_Cour!$U:$U,$B228,BV_Data_An_Cour!$V:$V,$C228,BV_Data_An_Cour!$W:$W,$L$2)</f>
        <v>0</v>
      </c>
      <c r="M228" s="252"/>
      <c r="N228" s="275">
        <f t="shared" si="30"/>
        <v>0</v>
      </c>
      <c r="O228" s="252"/>
      <c r="P228" s="41"/>
      <c r="Q228" s="255">
        <f t="array" ref="Q228">+SUMPRODUCT(('Réel 2024'!$A$8:$A$502=$A228)*('Réel 2024'!$C$3:$AO$3=Q$2),'Réel 2024'!$C$8:$AO$502)</f>
        <v>0</v>
      </c>
      <c r="R228" s="252"/>
      <c r="S228" s="275">
        <f t="shared" si="31"/>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29"/>
        <v>Service[...]</v>
      </c>
      <c r="B229" s="41" t="s">
        <v>161</v>
      </c>
      <c r="C229" s="252" t="s">
        <v>59</v>
      </c>
      <c r="D229" s="296"/>
      <c r="E229" s="41"/>
      <c r="F229" s="253">
        <f t="array" ref="F229">+SUMPRODUCT(('Budget original'!$A$8:$A$502=$A229)*('Budget original'!$C$3:$AO$3=F$2),'Budget original'!$C$8:$AO$502)</f>
        <v>0</v>
      </c>
      <c r="G229" s="297"/>
      <c r="H229" s="41"/>
      <c r="I229" s="253"/>
      <c r="J229" s="252"/>
      <c r="K229" s="41"/>
      <c r="L229" s="255">
        <f>SUMIFS(BV_Data_An_Cour!$P:$P,BV_Data_An_Cour!$U:$U,$B229,BV_Data_An_Cour!$V:$V,$C229,BV_Data_An_Cour!$W:$W,$L$2)</f>
        <v>0</v>
      </c>
      <c r="M229" s="252"/>
      <c r="N229" s="275">
        <f t="shared" si="30"/>
        <v>0</v>
      </c>
      <c r="O229" s="252"/>
      <c r="P229" s="41"/>
      <c r="Q229" s="255">
        <f t="array" ref="Q229">+SUMPRODUCT(('Réel 2024'!$A$8:$A$502=$A229)*('Réel 2024'!$C$3:$AO$3=Q$2),'Réel 2024'!$C$8:$AO$502)</f>
        <v>0</v>
      </c>
      <c r="R229" s="252"/>
      <c r="S229" s="275">
        <f t="shared" si="31"/>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0.25370530084276144</v>
      </c>
      <c r="F230" s="306">
        <f>+SUM(F212:F229)</f>
        <v>431731.66478941392</v>
      </c>
      <c r="G230" s="307"/>
      <c r="H230" s="305"/>
      <c r="I230" s="306"/>
      <c r="J230" s="307" t="s">
        <v>175</v>
      </c>
      <c r="K230" s="305">
        <f>L230/L$195</f>
        <v>0.22219195487196994</v>
      </c>
      <c r="L230" s="306">
        <f>+SUM(L212:L229)</f>
        <v>359528.48000000004</v>
      </c>
      <c r="M230" s="310"/>
      <c r="N230" s="306">
        <f t="shared" si="30"/>
        <v>-72203.184789413877</v>
      </c>
      <c r="O230" s="307" t="s">
        <v>175</v>
      </c>
      <c r="P230" s="305">
        <f>Q230/Q$195</f>
        <v>0.26005629402143182</v>
      </c>
      <c r="Q230" s="306">
        <f>+SUM(Q212:Q229)</f>
        <v>417950.69000000006</v>
      </c>
      <c r="R230" s="310"/>
      <c r="S230" s="306">
        <f t="shared" si="31"/>
        <v>-58422.210000000021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0.83845940048325407</v>
      </c>
      <c r="F232" s="306">
        <f>F211+F230</f>
        <v>1426810.8377180453</v>
      </c>
      <c r="G232" s="307"/>
      <c r="H232" s="305"/>
      <c r="I232" s="306"/>
      <c r="J232" s="307" t="s">
        <v>119</v>
      </c>
      <c r="K232" s="305">
        <f>L232/L$195</f>
        <v>0.7799793776466829</v>
      </c>
      <c r="L232" s="306">
        <f>L211+L230</f>
        <v>1262083.5000000002</v>
      </c>
      <c r="M232" s="310"/>
      <c r="N232" s="319">
        <f>L232-F232</f>
        <v>-164727.33771804511</v>
      </c>
      <c r="O232" s="307" t="s">
        <v>119</v>
      </c>
      <c r="P232" s="305">
        <f>Q232/Q$195</f>
        <v>0.74901718856333133</v>
      </c>
      <c r="Q232" s="306">
        <f>Q211+Q230</f>
        <v>1203786.48</v>
      </c>
      <c r="R232" s="310"/>
      <c r="S232" s="319">
        <f>L232-Q232</f>
        <v>58297.020000000251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274894.50054363953</v>
      </c>
      <c r="G234" s="360"/>
      <c r="H234" s="332"/>
      <c r="I234" s="334"/>
      <c r="J234" s="331"/>
      <c r="K234" s="333"/>
      <c r="L234" s="334">
        <f>L195-L232</f>
        <v>356015.05000000005</v>
      </c>
      <c r="M234" s="331"/>
      <c r="N234" s="334">
        <f>L234-F234</f>
        <v>81120.549456360517</v>
      </c>
      <c r="O234" s="331"/>
      <c r="P234" s="333"/>
      <c r="Q234" s="334">
        <f>Q195-Q232</f>
        <v>403368.19999999949</v>
      </c>
      <c r="R234" s="331"/>
      <c r="S234" s="334">
        <f>L234-Q234</f>
        <v>-47353.149999999441</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6" t="str">
        <f>C1</f>
        <v>Volks</v>
      </c>
      <c r="D237" s="231"/>
      <c r="E237" s="231"/>
      <c r="F237" s="231"/>
      <c r="G237" s="231"/>
      <c r="H237" s="36"/>
      <c r="I237" s="36"/>
      <c r="J237" s="36"/>
      <c r="K237" s="9" t="s">
        <v>176</v>
      </c>
      <c r="L237" s="231"/>
      <c r="M237" s="231"/>
      <c r="N237" s="36"/>
      <c r="O237" s="36"/>
      <c r="P237" s="231"/>
      <c r="Q237" s="36"/>
      <c r="R237" s="231"/>
      <c r="S237" s="10" t="str">
        <f>$S$1</f>
        <v>Réalisé AAJ, Juillet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78" t="s">
        <v>343</v>
      </c>
      <c r="E239" s="1179"/>
      <c r="F239" s="1180"/>
      <c r="G239" s="1181"/>
      <c r="H239" s="1179"/>
      <c r="I239" s="1180"/>
      <c r="J239" s="1181" t="s">
        <v>344</v>
      </c>
      <c r="K239" s="1179"/>
      <c r="L239" s="1180"/>
      <c r="M239" s="1181" t="s">
        <v>3255</v>
      </c>
      <c r="N239" s="1180"/>
      <c r="O239" s="1178" t="s">
        <v>345</v>
      </c>
      <c r="P239" s="1179"/>
      <c r="Q239" s="1180"/>
      <c r="R239" s="1182" t="s">
        <v>3257</v>
      </c>
      <c r="S239" s="1183"/>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tr">
        <f t="shared" ref="A240:A285" si="32">+B240&amp;C240</f>
        <v>Carrosserie</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32"/>
        <v>Carrosserie</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32"/>
        <v>CarrosserieM/O Sous-traitement</v>
      </c>
      <c r="B242" s="41" t="s">
        <v>176</v>
      </c>
      <c r="C242" s="252" t="s">
        <v>177</v>
      </c>
      <c r="D242" s="39">
        <f t="array" ref="D242">+SUMPRODUCT(('Budget original'!$A$8:$A$502=$A242)*('Budget original'!$C$3:$AO$3=D$2),'Budget original'!$C$8:$AO$502)</f>
        <v>0</v>
      </c>
      <c r="E242" s="290">
        <f t="array" ref="E242">+SUMPRODUCT(('Budget original'!$A$8:$A$502=$A242)*('Budget original'!$C$3:$AO$3=E$2),'Budget original'!$C$8:$AO$502)</f>
        <v>648000</v>
      </c>
      <c r="F242" s="290">
        <f t="array" ref="F242">+SUMPRODUCT(('Budget original'!$A$8:$A$502=$A242)*('Budget original'!$C$3:$AO$3=F$2),'Budget original'!$C$8:$AO$502)</f>
        <v>103680</v>
      </c>
      <c r="G242" s="321"/>
      <c r="H242" s="290"/>
      <c r="I242" s="290"/>
      <c r="J242" s="276">
        <f>-SUMIFS(BV_Data_An_Cour!$P:$P,BV_Data_An_Cour!$U:$U,$B242,BV_Data_An_Cour!$V:$V,$C242,BV_Data_An_Cour!$W:$W,J$2)</f>
        <v>262</v>
      </c>
      <c r="K242" s="253">
        <f>-SUMIFS(BV_Data_An_Cour!$P:$P,BV_Data_An_Cour!$X:$X,"Oui",BV_Data_An_Cour!$U:$U,$B242,BV_Data_An_Cour!$V:$V,$C242)</f>
        <v>695918.2699999999</v>
      </c>
      <c r="L242" s="255">
        <f>-SUMIFS(BV_Data_An_Cour!$P:$P,BV_Data_An_Cour!$U:$U,$B242,BV_Data_An_Cour!$V:$V,$C242,BV_Data_An_Cour!$W:$W,$L$2)</f>
        <v>94665.069999999963</v>
      </c>
      <c r="M242" s="291">
        <f>IFERROR((K242-E242)/E242,0)</f>
        <v>7.3947947530864047E-2</v>
      </c>
      <c r="N242" s="275">
        <f>L242-F242</f>
        <v>-9014.9300000000367</v>
      </c>
      <c r="O242" s="276">
        <f t="array" ref="O242">+SUMPRODUCT(('Réel 2024'!$A$8:$A$502=$A242)*('Réel 2024'!$C$3:$AO$3=O$2),'Réel 2024'!$C$8:$AO$502)</f>
        <v>63</v>
      </c>
      <c r="P242" s="253">
        <f t="array" ref="P242">+SUMPRODUCT(('Réel 2024'!$A$8:$A$502=$A242)*('Réel 2024'!$C$3:$AO$3=P$2),'Réel 2024'!$C$8:$AO$502)</f>
        <v>141580.97999999989</v>
      </c>
      <c r="Q242" s="255">
        <f t="array" ref="Q242">+SUMPRODUCT(('Réel 2024'!$A$8:$A$502=$A242)*('Réel 2024'!$C$3:$AO$3=Q$2),'Réel 2024'!$C$8:$AO$502)</f>
        <v>29506.45999999997</v>
      </c>
      <c r="R242" s="291">
        <f>IF(O242=0,0,J242/O242)</f>
        <v>4.1587301587301591</v>
      </c>
      <c r="S242" s="275">
        <f>L242-Q242</f>
        <v>65158.609999999993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32"/>
        <v>Carrosserie% profit / ventes</v>
      </c>
      <c r="B243" s="41" t="s">
        <v>176</v>
      </c>
      <c r="C243" s="252" t="s">
        <v>165</v>
      </c>
      <c r="D243" s="39"/>
      <c r="E243" s="348"/>
      <c r="F243" s="361">
        <f>IFERROR(F242/E242,0)</f>
        <v>0.16</v>
      </c>
      <c r="G243" s="252"/>
      <c r="H243" s="348"/>
      <c r="I243" s="361"/>
      <c r="J243" s="276"/>
      <c r="K243" s="41"/>
      <c r="L243" s="361">
        <f>IFERROR(L242/K242,0)</f>
        <v>0.13602900524511302</v>
      </c>
      <c r="M243" s="291"/>
      <c r="N243" s="275">
        <f>IFERROR(N242/M242,0)</f>
        <v>-121909.1306927407</v>
      </c>
      <c r="O243" s="276"/>
      <c r="P243" s="41"/>
      <c r="Q243" s="361">
        <f>IFERROR(Q242/P242,0)</f>
        <v>0.20840694844745383</v>
      </c>
      <c r="R243" s="276"/>
      <c r="S243" s="275">
        <f>IFERROR(S242/R242,0)</f>
        <v>15667.910038167936</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32"/>
        <v>Carrosserie</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32"/>
        <v>CarrosserieM/O Carrosserie</v>
      </c>
      <c r="B245" s="41" t="s">
        <v>176</v>
      </c>
      <c r="C245" s="240" t="s">
        <v>178</v>
      </c>
      <c r="D245" s="314">
        <f t="array" ref="D245">+SUMPRODUCT(('Budget original'!$A$8:$A$502=$A245)*('Budget original'!$C$3:$AO$3=D$2),'Budget original'!$C$8:$AO$502)</f>
        <v>0</v>
      </c>
      <c r="E245" s="290">
        <f t="array" ref="E245">+SUMPRODUCT(('Budget original'!$A$8:$A$502=$A245)*('Budget original'!$C$3:$AO$3=E$2),'Budget original'!$C$8:$AO$502)</f>
        <v>0</v>
      </c>
      <c r="F245" s="290">
        <f t="array" ref="F245">+SUMPRODUCT(('Budget original'!$A$8:$A$502=$A245)*('Budget original'!$C$3:$AO$3=F$2),'Budget original'!$C$8:$AO$502)</f>
        <v>0</v>
      </c>
      <c r="G245" s="401"/>
      <c r="H245" s="290"/>
      <c r="I245" s="290"/>
      <c r="J245" s="366">
        <f>SUMIFS(BV_Data_An_Cour!$C$1:$C$364,BV_Data_An_Cour!$V$1:$V$364,$C245,BV_Data_An_Cour!$U$1:$U$364,$K$237)</f>
        <v>0</v>
      </c>
      <c r="K245" s="270">
        <f>-SUMIFS(BV_Data_An_Cour!$P:$P,BV_Data_An_Cour!$X:$X,"Oui",BV_Data_An_Cour!$U:$U,$B245,BV_Data_An_Cour!$V:$V,$C245)</f>
        <v>0</v>
      </c>
      <c r="L245" s="271">
        <f>-SUMIFS(BV_Data_An_Cour!$P:$P,BV_Data_An_Cour!$U:$U,$B245,BV_Data_An_Cour!$V:$V,$C245,BV_Data_An_Cour!$W:$W,$L$2)</f>
        <v>0</v>
      </c>
      <c r="M245" s="370">
        <f>IFERROR((K245-E245)/E245,0)</f>
        <v>0</v>
      </c>
      <c r="N245" s="316">
        <f>L245-F245</f>
        <v>0</v>
      </c>
      <c r="O245" s="366">
        <f t="array" ref="O245">+SUMPRODUCT(('Réel 2024'!$A$8:$A$502=$A245)*('Réel 2024'!$C$3:$AO$3=O$2),'Réel 2024'!$C$8:$AO$502)</f>
        <v>0</v>
      </c>
      <c r="P245" s="270">
        <f t="array" ref="P245">+SUMPRODUCT(('Réel 2024'!$A$8:$A$502=$A245)*('Réel 2024'!$C$3:$AO$3=P$2),'Réel 2024'!$C$8:$AO$502)</f>
        <v>0</v>
      </c>
      <c r="Q245" s="271">
        <f t="array" ref="Q245">+SUMPRODUCT(('Réel 2024'!$A$8:$A$502=$A245)*('Réel 2024'!$C$3:$AO$3=Q$2),'Réel 2024'!$C$8:$AO$502)</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32"/>
        <v>Carrosserie% profit / ventes</v>
      </c>
      <c r="B246" s="41" t="s">
        <v>176</v>
      </c>
      <c r="C246" s="252" t="s">
        <v>165</v>
      </c>
      <c r="D246" s="41"/>
      <c r="E246" s="348"/>
      <c r="F246" s="361">
        <f>IFERROR(F245/E245,0)</f>
        <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32"/>
        <v>Carrosserie</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32"/>
        <v>CarrosserieM/O Esthétique Carr.</v>
      </c>
      <c r="B248" s="41" t="s">
        <v>176</v>
      </c>
      <c r="C248" s="240" t="s">
        <v>179</v>
      </c>
      <c r="D248" s="365">
        <f t="array" ref="D248">+SUMPRODUCT(('Budget original'!$A$8:$A$502=$A248)*('Budget original'!$C$3:$AO$3=D$2),'Budget original'!$C$8:$AO$502)</f>
        <v>0</v>
      </c>
      <c r="E248" s="290">
        <f t="array" ref="E248">+SUMPRODUCT(('Budget original'!$A$8:$A$502=$A248)*('Budget original'!$C$3:$AO$3=E$2),'Budget original'!$C$8:$AO$502)</f>
        <v>0</v>
      </c>
      <c r="F248" s="290">
        <f t="array" ref="F248">+SUMPRODUCT(('Budget original'!$A$8:$A$502=$A248)*('Budget original'!$C$3:$AO$3=F$2),'Budget original'!$C$8:$AO$502)</f>
        <v>0</v>
      </c>
      <c r="G248" s="366"/>
      <c r="H248" s="290"/>
      <c r="I248" s="290"/>
      <c r="J248" s="366">
        <f>SUMIFS(BV_Data_An_Cour!$C$1:$C$364,BV_Data_An_Cour!$V$1:$V$364,$C248,BV_Data_An_Cour!$U$1:$U$364,$K$237)</f>
        <v>0</v>
      </c>
      <c r="K248" s="253">
        <f>-SUMIFS(BV_Data_An_Cour!$P:$P,BV_Data_An_Cour!$X:$X,"Oui",BV_Data_An_Cour!$U:$U,$B248,BV_Data_An_Cour!$V:$V,$C248)</f>
        <v>0</v>
      </c>
      <c r="L248" s="255">
        <f>-SUMIFS(BV_Data_An_Cour!$P:$P,BV_Data_An_Cour!$U:$U,$B248,BV_Data_An_Cour!$V:$V,$C248,BV_Data_An_Cour!$W:$W,$L$2)</f>
        <v>0</v>
      </c>
      <c r="M248" s="291">
        <f>IFERROR((K248-E248)/E248,0)</f>
        <v>0</v>
      </c>
      <c r="N248" s="316">
        <f>L248-F248</f>
        <v>0</v>
      </c>
      <c r="O248" s="366">
        <f t="array" ref="O248">+SUMPRODUCT(('Réel 2024'!$A$8:$A$502=$A248)*('Réel 2024'!$C$3:$AO$3=O$2),'Réel 2024'!$C$8:$AO$502)</f>
        <v>0</v>
      </c>
      <c r="P248" s="253">
        <f t="array" ref="P248">+SUMPRODUCT(('Réel 2024'!$A$8:$A$502=$A248)*('Réel 2024'!$C$3:$AO$3=P$2),'Réel 2024'!$C$8:$AO$502)</f>
        <v>0</v>
      </c>
      <c r="Q248" s="255">
        <f t="array" ref="Q248">+SUMPRODUCT(('Réel 2024'!$A$8:$A$502=$A248)*('Réel 2024'!$C$3:$AO$3=Q$2),'Réel 2024'!$C$8:$AO$502)</f>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32"/>
        <v>Carrosserie% profit / ventes</v>
      </c>
      <c r="B249" s="41" t="s">
        <v>176</v>
      </c>
      <c r="C249" s="252" t="s">
        <v>165</v>
      </c>
      <c r="D249" s="41"/>
      <c r="E249" s="41"/>
      <c r="F249" s="361">
        <f>IFERROR(F248/E248,0)</f>
        <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32"/>
        <v>Carrosserie</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32"/>
        <v>CarrosserieTotal Mécanique</v>
      </c>
      <c r="B251" s="41" t="s">
        <v>176</v>
      </c>
      <c r="C251" s="277" t="s">
        <v>174</v>
      </c>
      <c r="D251" s="278"/>
      <c r="E251" s="278">
        <f>E245+E248+E242</f>
        <v>648000</v>
      </c>
      <c r="F251" s="280">
        <f>F245+F248+F242</f>
        <v>103680</v>
      </c>
      <c r="G251" s="281"/>
      <c r="H251" s="278"/>
      <c r="I251" s="280"/>
      <c r="J251" s="281"/>
      <c r="K251" s="278">
        <f>K245+K248+K242</f>
        <v>695918.2699999999</v>
      </c>
      <c r="L251" s="280">
        <f>L245+L248+L242</f>
        <v>94665.069999999963</v>
      </c>
      <c r="M251" s="398">
        <f>L252-F252</f>
        <v>-2.3970994754886982E-2</v>
      </c>
      <c r="N251" s="280">
        <f>L251-F251</f>
        <v>-9014.9300000000367</v>
      </c>
      <c r="O251" s="281"/>
      <c r="P251" s="278">
        <f>P245+P248+P242</f>
        <v>141580.97999999989</v>
      </c>
      <c r="Q251" s="280">
        <f>Q245+Q248+Q242</f>
        <v>29506.45999999997</v>
      </c>
      <c r="R251" s="398">
        <f>L252-Q252</f>
        <v>-7.2377943202340811E-2</v>
      </c>
      <c r="S251" s="280">
        <f>L251-Q251</f>
        <v>65158.609999999993</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tr">
        <f t="shared" si="32"/>
        <v>Carrosserie</v>
      </c>
      <c r="B252" s="41" t="s">
        <v>176</v>
      </c>
      <c r="C252" s="282"/>
      <c r="D252" s="283"/>
      <c r="E252" s="283"/>
      <c r="F252" s="286">
        <f>F251/E251</f>
        <v>0.16</v>
      </c>
      <c r="G252" s="282"/>
      <c r="H252" s="283"/>
      <c r="I252" s="286"/>
      <c r="J252" s="282"/>
      <c r="K252" s="283"/>
      <c r="L252" s="286">
        <f>IF(K251=0,0,L251/K251)</f>
        <v>0.13602900524511302</v>
      </c>
      <c r="M252" s="285"/>
      <c r="N252" s="286">
        <f>N251/F251</f>
        <v>-8.6949556327160851E-2</v>
      </c>
      <c r="O252" s="282"/>
      <c r="P252" s="283"/>
      <c r="Q252" s="286">
        <f>Q251/P251</f>
        <v>0.20840694844745383</v>
      </c>
      <c r="R252" s="285"/>
      <c r="S252" s="286">
        <f>IF(Q251=0,0,(S251/Q251))</f>
        <v>2.2082828641592402</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32"/>
        <v>Carrosserie</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32"/>
        <v>CarrosserieDEPENSES</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32"/>
        <v>CarrosserieSalaires cadres</v>
      </c>
      <c r="B255" s="41" t="s">
        <v>176</v>
      </c>
      <c r="C255" s="311" t="s">
        <v>120</v>
      </c>
      <c r="D255" s="41"/>
      <c r="E255" s="41"/>
      <c r="F255" s="253">
        <f t="array" ref="F255">+SUMPRODUCT(('Budget original'!$A$8:$A$502=$A255)*('Budget original'!$C$3:$AO$3=F$2),'Budget original'!$C$8:$AO$502)</f>
        <v>322.10208333333338</v>
      </c>
      <c r="G255" s="252"/>
      <c r="H255" s="41"/>
      <c r="I255" s="253"/>
      <c r="J255" s="252"/>
      <c r="K255" s="41"/>
      <c r="L255" s="255">
        <f>SUMIFS(BV_Data_An_Cour!$P:$P,BV_Data_An_Cour!$U:$U,$B255,BV_Data_An_Cour!$V:$V,$C255,BV_Data_An_Cour!$W:$W,$L$2)</f>
        <v>1321.88</v>
      </c>
      <c r="M255" s="252"/>
      <c r="N255" s="275">
        <f t="shared" ref="N255:N285" si="33">L255-F255</f>
        <v>999.77791666666667</v>
      </c>
      <c r="O255" s="252"/>
      <c r="P255" s="41"/>
      <c r="Q255" s="255">
        <f t="array" ref="Q255">+SUMPRODUCT(('Réel 2024'!$A$8:$A$502=$A255)*('Réel 2024'!$C$3:$AO$3=Q$2),'Réel 2024'!$C$8:$AO$502)</f>
        <v>6313.16</v>
      </c>
      <c r="R255" s="252"/>
      <c r="S255" s="255">
        <f t="shared" ref="S255:S286" si="34">L255-Q255</f>
        <v>-4991.28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32"/>
        <v>CarrosserieSalaires commis</v>
      </c>
      <c r="B256" s="41" t="s">
        <v>176</v>
      </c>
      <c r="C256" s="312" t="s">
        <v>121</v>
      </c>
      <c r="D256" s="296"/>
      <c r="E256" s="41"/>
      <c r="F256" s="247">
        <f t="array" ref="F256">+SUMPRODUCT(('Budget original'!$A$8:$A$502=$A256)*('Budget original'!$C$3:$AO$3=F$2),'Budget original'!$C$8:$AO$502)</f>
        <v>42840.662527266657</v>
      </c>
      <c r="G256" s="297"/>
      <c r="H256" s="41"/>
      <c r="I256" s="247"/>
      <c r="J256" s="252"/>
      <c r="K256" s="41"/>
      <c r="L256" s="255">
        <f>SUMIFS(BV_Data_An_Cour!$P:$P,BV_Data_An_Cour!$U:$U,$B256,BV_Data_An_Cour!$V:$V,$C256,BV_Data_An_Cour!$W:$W,$L$2)</f>
        <v>38507.980000000003</v>
      </c>
      <c r="M256" s="252"/>
      <c r="N256" s="275">
        <f t="shared" si="33"/>
        <v>-4332.6825272666538</v>
      </c>
      <c r="O256" s="252"/>
      <c r="P256" s="41"/>
      <c r="Q256" s="255">
        <f t="array" ref="Q256">+SUMPRODUCT(('Réel 2024'!$A$8:$A$502=$A256)*('Réel 2024'!$C$3:$AO$3=Q$2),'Réel 2024'!$C$8:$AO$502)</f>
        <v>25745.739999999998</v>
      </c>
      <c r="R256" s="252"/>
      <c r="S256" s="275">
        <f t="shared" si="34"/>
        <v>12762.240000000005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32"/>
        <v>CarrosserieSalaires autres</v>
      </c>
      <c r="B257" s="41" t="s">
        <v>176</v>
      </c>
      <c r="C257" s="311" t="s">
        <v>122</v>
      </c>
      <c r="D257" s="313"/>
      <c r="E257" s="314"/>
      <c r="F257" s="253">
        <f t="array" ref="F257">+SUMPRODUCT(('Budget original'!$A$8:$A$502=$A257)*('Budget original'!$C$3:$AO$3=F$2),'Budget original'!$C$8:$AO$502)</f>
        <v>18.991666666666667</v>
      </c>
      <c r="G257" s="315"/>
      <c r="H257" s="314"/>
      <c r="I257" s="253"/>
      <c r="J257" s="240"/>
      <c r="K257" s="314"/>
      <c r="L257" s="271">
        <f>SUMIFS(BV_Data_An_Cour!$P:$P,BV_Data_An_Cour!$U:$U,$B257,BV_Data_An_Cour!$V:$V,$C257,BV_Data_An_Cour!$W:$W,$L$2)</f>
        <v>0.08</v>
      </c>
      <c r="M257" s="240"/>
      <c r="N257" s="316">
        <f t="shared" si="33"/>
        <v>-18.911666666666669</v>
      </c>
      <c r="O257" s="240"/>
      <c r="P257" s="314"/>
      <c r="Q257" s="271">
        <f t="array" ref="Q257">+SUMPRODUCT(('Réel 2024'!$A$8:$A$502=$A257)*('Réel 2024'!$C$3:$AO$3=Q$2),'Réel 2024'!$C$8:$AO$502)</f>
        <v>0.56000000000000005</v>
      </c>
      <c r="R257" s="240"/>
      <c r="S257" s="316">
        <f t="shared" si="34"/>
        <v>-0.48000000000000004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tr">
        <f t="shared" si="32"/>
        <v>CarrosserieSalaires spécialistes</v>
      </c>
      <c r="B258" s="41" t="s">
        <v>176</v>
      </c>
      <c r="C258" s="311" t="s">
        <v>123</v>
      </c>
      <c r="D258" s="296"/>
      <c r="E258" s="41"/>
      <c r="F258" s="253">
        <f t="array" ref="F258">+SUMPRODUCT(('Budget original'!$A$8:$A$502=$A258)*('Budget original'!$C$3:$AO$3=F$2),'Budget original'!$C$8:$AO$502)</f>
        <v>0</v>
      </c>
      <c r="G258" s="297"/>
      <c r="H258" s="41"/>
      <c r="I258" s="253"/>
      <c r="J258" s="252"/>
      <c r="K258" s="41"/>
      <c r="L258" s="255">
        <f>SUMIFS(BV_Data_An_Cour!$P:$P,BV_Data_An_Cour!$U:$U,$B258,BV_Data_An_Cour!$V:$V,$C258,BV_Data_An_Cour!$W:$W,$L$2)</f>
        <v>0</v>
      </c>
      <c r="M258" s="252"/>
      <c r="N258" s="275">
        <f t="shared" si="33"/>
        <v>0</v>
      </c>
      <c r="O258" s="252"/>
      <c r="P258" s="41"/>
      <c r="Q258" s="255">
        <f t="array" ref="Q258">+SUMPRODUCT(('Réel 2024'!$A$8:$A$502=$A258)*('Réel 2024'!$C$3:$AO$3=Q$2),'Réel 2024'!$C$8:$AO$502)</f>
        <v>0</v>
      </c>
      <c r="R258" s="252"/>
      <c r="S258" s="275">
        <f t="shared" si="34"/>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32"/>
        <v>Carrosserie[...]</v>
      </c>
      <c r="B259" s="41" t="s">
        <v>176</v>
      </c>
      <c r="C259" s="252" t="s">
        <v>59</v>
      </c>
      <c r="D259" s="296"/>
      <c r="E259" s="41"/>
      <c r="F259" s="253">
        <f t="array" ref="F259">+SUMPRODUCT(('Budget original'!$A$8:$A$502=$A259)*('Budget original'!$C$3:$AO$3=F$2),'Budget original'!$C$8:$AO$502)</f>
        <v>0</v>
      </c>
      <c r="G259" s="297"/>
      <c r="H259" s="41"/>
      <c r="I259" s="253"/>
      <c r="J259" s="252"/>
      <c r="K259" s="41"/>
      <c r="L259" s="255">
        <f>SUMIFS(BV_Data_An_Cour!$P:$P,BV_Data_An_Cour!$U:$U,$B259,BV_Data_An_Cour!$V:$V,$C259,BV_Data_An_Cour!$W:$W,$L$2)</f>
        <v>0</v>
      </c>
      <c r="M259" s="252"/>
      <c r="N259" s="275">
        <f t="shared" si="33"/>
        <v>0</v>
      </c>
      <c r="O259" s="252"/>
      <c r="P259" s="41"/>
      <c r="Q259" s="255">
        <f t="array" ref="Q259">+SUMPRODUCT(('Réel 2024'!$A$8:$A$502=$A259)*('Réel 2024'!$C$3:$AO$3=Q$2),'Réel 2024'!$C$8:$AO$502)</f>
        <v>0</v>
      </c>
      <c r="R259" s="252"/>
      <c r="S259" s="275">
        <f t="shared" si="34"/>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32"/>
        <v>Carrosserie[...]</v>
      </c>
      <c r="B260" s="41" t="s">
        <v>176</v>
      </c>
      <c r="C260" s="252" t="s">
        <v>59</v>
      </c>
      <c r="D260" s="296"/>
      <c r="E260" s="41"/>
      <c r="F260" s="253">
        <f t="array" ref="F260">+SUMPRODUCT(('Budget original'!$A$8:$A$502=$A260)*('Budget original'!$C$3:$AO$3=F$2),'Budget original'!$C$8:$AO$502)</f>
        <v>0</v>
      </c>
      <c r="G260" s="297"/>
      <c r="H260" s="41"/>
      <c r="I260" s="253"/>
      <c r="J260" s="252"/>
      <c r="K260" s="41"/>
      <c r="L260" s="255">
        <f>SUMIFS(BV_Data_An_Cour!$P:$P,BV_Data_An_Cour!$U:$U,$B260,BV_Data_An_Cour!$V:$V,$C260,BV_Data_An_Cour!$W:$W,$L$2)</f>
        <v>0</v>
      </c>
      <c r="M260" s="252"/>
      <c r="N260" s="275">
        <f t="shared" si="33"/>
        <v>0</v>
      </c>
      <c r="O260" s="252"/>
      <c r="P260" s="41"/>
      <c r="Q260" s="255">
        <f t="array" ref="Q260">+SUMPRODUCT(('Réel 2024'!$A$8:$A$502=$A260)*('Réel 2024'!$C$3:$AO$3=Q$2),'Réel 2024'!$C$8:$AO$502)</f>
        <v>0</v>
      </c>
      <c r="R260" s="252"/>
      <c r="S260" s="275">
        <f t="shared" si="34"/>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32"/>
        <v>Carrosserie[...]</v>
      </c>
      <c r="B261" s="41" t="s">
        <v>176</v>
      </c>
      <c r="C261" s="252" t="s">
        <v>59</v>
      </c>
      <c r="D261" s="296"/>
      <c r="E261" s="41"/>
      <c r="F261" s="253">
        <f t="array" ref="F261">+SUMPRODUCT(('Budget original'!$A$8:$A$502=$A261)*('Budget original'!$C$3:$AO$3=F$2),'Budget original'!$C$8:$AO$502)</f>
        <v>0</v>
      </c>
      <c r="G261" s="297"/>
      <c r="H261" s="41"/>
      <c r="I261" s="253"/>
      <c r="J261" s="252"/>
      <c r="K261" s="41"/>
      <c r="L261" s="255">
        <f>SUMIFS(BV_Data_An_Cour!$P:$P,BV_Data_An_Cour!$U:$U,$B261,BV_Data_An_Cour!$V:$V,$C261,BV_Data_An_Cour!$W:$W,$L$2)</f>
        <v>0</v>
      </c>
      <c r="M261" s="252"/>
      <c r="N261" s="275">
        <f t="shared" si="33"/>
        <v>0</v>
      </c>
      <c r="O261" s="252"/>
      <c r="P261" s="41"/>
      <c r="Q261" s="255">
        <f t="array" ref="Q261">+SUMPRODUCT(('Réel 2024'!$A$8:$A$502=$A261)*('Réel 2024'!$C$3:$AO$3=Q$2),'Réel 2024'!$C$8:$AO$502)</f>
        <v>0</v>
      </c>
      <c r="R261" s="252"/>
      <c r="S261" s="275">
        <f t="shared" si="34"/>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32"/>
        <v>CarrosserieSalaires en absences</v>
      </c>
      <c r="B262" s="41" t="s">
        <v>176</v>
      </c>
      <c r="C262" s="312" t="s">
        <v>124</v>
      </c>
      <c r="D262" s="296"/>
      <c r="E262" s="41"/>
      <c r="F262" s="247">
        <f t="array" ref="F262">+SUMPRODUCT(('Budget original'!$A$8:$A$502=$A262)*('Budget original'!$C$3:$AO$3=F$2),'Budget original'!$C$8:$AO$502)</f>
        <v>5178.9188795130349</v>
      </c>
      <c r="G262" s="297"/>
      <c r="H262" s="41"/>
      <c r="I262" s="247"/>
      <c r="J262" s="252"/>
      <c r="K262" s="41"/>
      <c r="L262" s="255">
        <f>SUMIFS(BV_Data_An_Cour!$P:$P,BV_Data_An_Cour!$U:$U,$B262,BV_Data_An_Cour!$V:$V,$C262,BV_Data_An_Cour!$W:$W,$L$2)</f>
        <v>5760.51</v>
      </c>
      <c r="M262" s="252"/>
      <c r="N262" s="275">
        <f t="shared" si="33"/>
        <v>581.59112048696534</v>
      </c>
      <c r="O262" s="252"/>
      <c r="P262" s="41"/>
      <c r="Q262" s="255">
        <f t="array" ref="Q262">+SUMPRODUCT(('Réel 2024'!$A$8:$A$502=$A262)*('Réel 2024'!$C$3:$AO$3=Q$2),'Réel 2024'!$C$8:$AO$502)</f>
        <v>3501.9700000000003</v>
      </c>
      <c r="R262" s="252"/>
      <c r="S262" s="275">
        <f t="shared" si="34"/>
        <v>2258.54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32"/>
        <v>CarrosserieDéduction à la source</v>
      </c>
      <c r="B263" s="41" t="s">
        <v>176</v>
      </c>
      <c r="C263" s="311" t="s">
        <v>125</v>
      </c>
      <c r="D263" s="313"/>
      <c r="E263" s="314"/>
      <c r="F263" s="253">
        <f t="array" ref="F263">+SUMPRODUCT(('Budget original'!$A$8:$A$502=$A263)*('Budget original'!$C$3:$AO$3=F$2),'Budget original'!$C$8:$AO$502)</f>
        <v>6296.8352896281849</v>
      </c>
      <c r="G263" s="315"/>
      <c r="H263" s="314"/>
      <c r="I263" s="253"/>
      <c r="J263" s="240"/>
      <c r="K263" s="314"/>
      <c r="L263" s="271">
        <f>SUMIFS(BV_Data_An_Cour!$P:$P,BV_Data_An_Cour!$U:$U,$B263,BV_Data_An_Cour!$V:$V,$C263,BV_Data_An_Cour!$W:$W,$L$2)</f>
        <v>7615.7</v>
      </c>
      <c r="M263" s="240"/>
      <c r="N263" s="316">
        <f t="shared" si="33"/>
        <v>1318.8647103718149</v>
      </c>
      <c r="O263" s="240"/>
      <c r="P263" s="314"/>
      <c r="Q263" s="271">
        <f t="array" ref="Q263">+SUMPRODUCT(('Réel 2024'!$A$8:$A$502=$A263)*('Réel 2024'!$C$3:$AO$3=Q$2),'Réel 2024'!$C$8:$AO$502)</f>
        <v>9605.56</v>
      </c>
      <c r="R263" s="240"/>
      <c r="S263" s="316">
        <f t="shared" si="34"/>
        <v>-1989.8599999999997</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32"/>
        <v>CarrosserieBénéfices marginaux</v>
      </c>
      <c r="B264" s="41" t="s">
        <v>176</v>
      </c>
      <c r="C264" s="311" t="s">
        <v>126</v>
      </c>
      <c r="D264" s="296"/>
      <c r="E264" s="41"/>
      <c r="F264" s="253">
        <f t="array" ref="F264">+SUMPRODUCT(('Budget original'!$A$8:$A$502=$A264)*('Budget original'!$C$3:$AO$3=F$2),'Budget original'!$C$8:$AO$502)</f>
        <v>3244.2390513953901</v>
      </c>
      <c r="G264" s="297"/>
      <c r="H264" s="41"/>
      <c r="I264" s="253"/>
      <c r="J264" s="252"/>
      <c r="K264" s="41"/>
      <c r="L264" s="255">
        <f>SUMIFS(BV_Data_An_Cour!$P:$P,BV_Data_An_Cour!$U:$U,$B264,BV_Data_An_Cour!$V:$V,$C264,BV_Data_An_Cour!$W:$W,$L$2)</f>
        <v>1976.16</v>
      </c>
      <c r="M264" s="252"/>
      <c r="N264" s="275">
        <f t="shared" si="33"/>
        <v>-1268.07905139539</v>
      </c>
      <c r="O264" s="252"/>
      <c r="P264" s="41"/>
      <c r="Q264" s="255">
        <f t="array" ref="Q264">+SUMPRODUCT(('Réel 2024'!$A$8:$A$502=$A264)*('Réel 2024'!$C$3:$AO$3=Q$2),'Réel 2024'!$C$8:$AO$502)</f>
        <v>1837.419999999998</v>
      </c>
      <c r="R264" s="252"/>
      <c r="S264" s="275">
        <f t="shared" si="34"/>
        <v>138.74000000000206</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32"/>
        <v>CarrosserieCsst</v>
      </c>
      <c r="B265" s="41" t="s">
        <v>176</v>
      </c>
      <c r="C265" s="311" t="s">
        <v>127</v>
      </c>
      <c r="D265" s="296"/>
      <c r="E265" s="41"/>
      <c r="F265" s="253">
        <f t="array" ref="F265">+SUMPRODUCT(('Budget original'!$A$8:$A$502=$A265)*('Budget original'!$C$3:$AO$3=F$2),'Budget original'!$C$8:$AO$502)</f>
        <v>1414.5064781048816</v>
      </c>
      <c r="G265" s="297"/>
      <c r="H265" s="41"/>
      <c r="I265" s="253"/>
      <c r="J265" s="252"/>
      <c r="K265" s="41"/>
      <c r="L265" s="255">
        <f>SUMIFS(BV_Data_An_Cour!$P:$P,BV_Data_An_Cour!$U:$U,$B265,BV_Data_An_Cour!$V:$V,$C265,BV_Data_An_Cour!$W:$W,$L$2)</f>
        <v>1863.81</v>
      </c>
      <c r="M265" s="252"/>
      <c r="N265" s="275">
        <f t="shared" si="33"/>
        <v>449.30352189511837</v>
      </c>
      <c r="O265" s="252"/>
      <c r="P265" s="41"/>
      <c r="Q265" s="255">
        <f t="array" ref="Q265">+SUMPRODUCT(('Réel 2024'!$A$8:$A$502=$A265)*('Réel 2024'!$C$3:$AO$3=Q$2),'Réel 2024'!$C$8:$AO$502)</f>
        <v>1650.78</v>
      </c>
      <c r="R265" s="252"/>
      <c r="S265" s="275">
        <f t="shared" si="34"/>
        <v>213.02999999999997</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32"/>
        <v>Carrosserie[...]</v>
      </c>
      <c r="B266" s="41" t="s">
        <v>176</v>
      </c>
      <c r="C266" s="252" t="s">
        <v>59</v>
      </c>
      <c r="D266" s="298"/>
      <c r="E266" s="317"/>
      <c r="F266" s="253">
        <f t="array" ref="F266">+INDEX('Budget original'!$A$2:$AO$502,MATCH($A266,'Budget original'!$A$2:$A$502,0),MATCH(F$2,'Budget original'!$A$2:$AO$2,0))</f>
        <v>0</v>
      </c>
      <c r="G266" s="299"/>
      <c r="H266" s="317"/>
      <c r="I266" s="253"/>
      <c r="J266" s="245"/>
      <c r="K266" s="317"/>
      <c r="L266" s="255">
        <f>SUMIFS(BV_Data_An_Cour!$P:$P,BV_Data_An_Cour!$U:$U,$B266,BV_Data_An_Cour!$V:$V,$C266,BV_Data_An_Cour!$W:$W,$L$2)</f>
        <v>0</v>
      </c>
      <c r="M266" s="245"/>
      <c r="N266" s="295">
        <f t="shared" si="33"/>
        <v>0</v>
      </c>
      <c r="O266" s="245"/>
      <c r="P266" s="317"/>
      <c r="Q266" s="255">
        <f t="array" ref="Q266">+INDEX('Réel 2024'!$A$2:$AO$502,MATCH($A266,'Réel 2024'!$A$2:$A$502,0),MATCH(Q$2,'Réel 2024'!$A$2:$AO$2,0))</f>
        <v>0</v>
      </c>
      <c r="R266" s="245"/>
      <c r="S266" s="295">
        <f t="shared" si="34"/>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32"/>
        <v>CarrosserieTOTAL PERSONNEL</v>
      </c>
      <c r="B267" s="41" t="s">
        <v>176</v>
      </c>
      <c r="C267" s="303" t="s">
        <v>128</v>
      </c>
      <c r="D267" s="304" t="s">
        <v>119</v>
      </c>
      <c r="E267" s="305" t="e">
        <f>F267/F$245</f>
        <v>#DIV/0!</v>
      </c>
      <c r="F267" s="306">
        <f>+SUM(F255:F266)</f>
        <v>59316.255975908141</v>
      </c>
      <c r="G267" s="307"/>
      <c r="H267" s="305"/>
      <c r="I267" s="306"/>
      <c r="J267" s="307" t="s">
        <v>119</v>
      </c>
      <c r="K267" s="305">
        <f>IF(L245=0,0,L267/L$245)</f>
        <v>0</v>
      </c>
      <c r="L267" s="306">
        <f>+SUM(L255:L266)</f>
        <v>57046.12</v>
      </c>
      <c r="M267" s="354"/>
      <c r="N267" s="319">
        <f t="shared" si="33"/>
        <v>-2270.1359759081388</v>
      </c>
      <c r="O267" s="307" t="s">
        <v>119</v>
      </c>
      <c r="P267" s="305" t="e">
        <f>Q267/Q$245</f>
        <v>#DIV/0!</v>
      </c>
      <c r="Q267" s="306">
        <f>+SUM(Q255:Q266)</f>
        <v>48655.189999999995</v>
      </c>
      <c r="R267" s="354"/>
      <c r="S267" s="319">
        <f t="shared" si="34"/>
        <v>8390.9300000000076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32"/>
        <v>CarrosseriePublicité 2</v>
      </c>
      <c r="B268" s="41" t="s">
        <v>176</v>
      </c>
      <c r="C268" s="405" t="s">
        <v>129</v>
      </c>
      <c r="D268" s="296"/>
      <c r="E268" s="41"/>
      <c r="F268" s="253">
        <f t="array" ref="F268">+SUMPRODUCT(('Budget original'!$A$8:$A$502=$A268)*('Budget original'!$C$3:$AO$3=F$2),'Budget original'!$C$8:$AO$502)</f>
        <v>0</v>
      </c>
      <c r="G268" s="297"/>
      <c r="H268" s="41"/>
      <c r="I268" s="253"/>
      <c r="J268" s="252"/>
      <c r="K268" s="41"/>
      <c r="L268" s="255">
        <f>SUMIFS(BV_Data_An_Cour!$P:$P,BV_Data_An_Cour!$U:$U,$B268,BV_Data_An_Cour!$V:$V,$C268,BV_Data_An_Cour!$W:$W,$L$2)</f>
        <v>1145.98</v>
      </c>
      <c r="M268" s="252"/>
      <c r="N268" s="275">
        <f t="shared" si="33"/>
        <v>1145.98</v>
      </c>
      <c r="O268" s="252"/>
      <c r="P268" s="41"/>
      <c r="Q268" s="255">
        <f t="array" ref="Q268">+SUMPRODUCT(('Réel 2024'!$A$8:$A$502=$A268)*('Réel 2024'!$C$3:$AO$3=Q$2),'Réel 2024'!$C$8:$AO$502)</f>
        <v>226.59</v>
      </c>
      <c r="R268" s="252"/>
      <c r="S268" s="275">
        <f t="shared" si="34"/>
        <v>919.39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32"/>
        <v>CarrosserieService gratuit 2</v>
      </c>
      <c r="B269" s="41" t="s">
        <v>176</v>
      </c>
      <c r="C269" s="311" t="s">
        <v>130</v>
      </c>
      <c r="D269" s="296"/>
      <c r="E269" s="41"/>
      <c r="F269" s="253">
        <f t="array" ref="F269">+SUMPRODUCT(('Budget original'!$A$8:$A$502=$A269)*('Budget original'!$C$3:$AO$3=F$2),'Budget original'!$C$8:$AO$502)</f>
        <v>3931.745868963998</v>
      </c>
      <c r="G269" s="297"/>
      <c r="H269" s="41"/>
      <c r="I269" s="253"/>
      <c r="J269" s="252"/>
      <c r="K269" s="41"/>
      <c r="L269" s="255">
        <f>SUMIFS(BV_Data_An_Cour!$P:$P,BV_Data_An_Cour!$U:$U,$B269,BV_Data_An_Cour!$V:$V,$C269,BV_Data_An_Cour!$W:$W,$L$2)</f>
        <v>6479.64</v>
      </c>
      <c r="M269" s="252"/>
      <c r="N269" s="275">
        <f t="shared" si="33"/>
        <v>2547.8941310360024</v>
      </c>
      <c r="O269" s="252"/>
      <c r="P269" s="41"/>
      <c r="Q269" s="255">
        <f t="array" ref="Q269">+SUMPRODUCT(('Réel 2024'!$A$8:$A$502=$A269)*('Réel 2024'!$C$3:$AO$3=Q$2),'Réel 2024'!$C$8:$AO$502)</f>
        <v>12326.720000000001</v>
      </c>
      <c r="R269" s="252"/>
      <c r="S269" s="275">
        <f t="shared" si="34"/>
        <v>-5847.0800000000008</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32"/>
        <v>CarrosserieFrais véhicules de cie</v>
      </c>
      <c r="B270" s="41" t="s">
        <v>176</v>
      </c>
      <c r="C270" s="312" t="s">
        <v>131</v>
      </c>
      <c r="D270" s="298"/>
      <c r="E270" s="317"/>
      <c r="F270" s="247">
        <f t="array" ref="F270">+SUMPRODUCT(('Budget original'!$A$8:$A$502=$A270)*('Budget original'!$C$3:$AO$3=F$2),'Budget original'!$C$8:$AO$502)</f>
        <v>871.52520000000004</v>
      </c>
      <c r="G270" s="299"/>
      <c r="H270" s="317"/>
      <c r="I270" s="247"/>
      <c r="J270" s="245"/>
      <c r="K270" s="317"/>
      <c r="L270" s="255">
        <f>SUMIFS(BV_Data_An_Cour!$P:$P,BV_Data_An_Cour!$U:$U,$B270,BV_Data_An_Cour!$V:$V,$C270,BV_Data_An_Cour!$W:$W,$L$2)</f>
        <v>1124.8499999999999</v>
      </c>
      <c r="M270" s="245"/>
      <c r="N270" s="295">
        <f t="shared" si="33"/>
        <v>253.32479999999987</v>
      </c>
      <c r="O270" s="245"/>
      <c r="P270" s="317"/>
      <c r="Q270" s="255">
        <f t="array" ref="Q270">+SUMPRODUCT(('Réel 2024'!$A$8:$A$502=$A270)*('Réel 2024'!$C$3:$AO$3=Q$2),'Réel 2024'!$C$8:$AO$502)</f>
        <v>1144.67</v>
      </c>
      <c r="R270" s="245"/>
      <c r="S270" s="295">
        <f t="shared" si="34"/>
        <v>-19.820000000000164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32"/>
        <v>CarrosserieInformatique</v>
      </c>
      <c r="B271" s="41" t="s">
        <v>176</v>
      </c>
      <c r="C271" s="311" t="s">
        <v>132</v>
      </c>
      <c r="D271" s="296"/>
      <c r="E271" s="41"/>
      <c r="F271" s="253">
        <f t="array" ref="F271">+SUMPRODUCT(('Budget original'!$A$8:$A$502=$A271)*('Budget original'!$C$3:$AO$3=F$2),'Budget original'!$C$8:$AO$502)</f>
        <v>12596.5</v>
      </c>
      <c r="G271" s="297"/>
      <c r="H271" s="41"/>
      <c r="I271" s="253"/>
      <c r="J271" s="252"/>
      <c r="K271" s="41"/>
      <c r="L271" s="271">
        <f>SUMIFS(BV_Data_An_Cour!$P:$P,BV_Data_An_Cour!$U:$U,$B271,BV_Data_An_Cour!$V:$V,$C271,BV_Data_An_Cour!$W:$W,$L$2)</f>
        <v>10938.99</v>
      </c>
      <c r="M271" s="252"/>
      <c r="N271" s="275">
        <f t="shared" si="33"/>
        <v>-1657.5100000000002</v>
      </c>
      <c r="O271" s="252"/>
      <c r="P271" s="41"/>
      <c r="Q271" s="271">
        <f t="array" ref="Q271">+SUMPRODUCT(('Réel 2024'!$A$8:$A$502=$A271)*('Réel 2024'!$C$3:$AO$3=Q$2),'Réel 2024'!$C$8:$AO$502)</f>
        <v>11932.2</v>
      </c>
      <c r="R271" s="252"/>
      <c r="S271" s="275">
        <f t="shared" si="34"/>
        <v>-993.21000000000095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32"/>
        <v>CarrosserieFrais de déplacement</v>
      </c>
      <c r="B272" s="41" t="s">
        <v>176</v>
      </c>
      <c r="C272" s="311" t="s">
        <v>133</v>
      </c>
      <c r="D272" s="296"/>
      <c r="E272" s="41"/>
      <c r="F272" s="253">
        <f t="array" ref="F272">+SUMPRODUCT(('Budget original'!$A$8:$A$502=$A272)*('Budget original'!$C$3:$AO$3=F$2),'Budget original'!$C$8:$AO$502)</f>
        <v>1750</v>
      </c>
      <c r="G272" s="297"/>
      <c r="H272" s="41"/>
      <c r="I272" s="253"/>
      <c r="J272" s="252"/>
      <c r="K272" s="41"/>
      <c r="L272" s="255">
        <f>SUMIFS(BV_Data_An_Cour!$P:$P,BV_Data_An_Cour!$U:$U,$B272,BV_Data_An_Cour!$V:$V,$C272,BV_Data_An_Cour!$W:$W,$L$2)</f>
        <v>1194.3699999999999</v>
      </c>
      <c r="M272" s="252"/>
      <c r="N272" s="275">
        <f t="shared" si="33"/>
        <v>-555.63000000000011</v>
      </c>
      <c r="O272" s="252"/>
      <c r="P272" s="41"/>
      <c r="Q272" s="255">
        <f t="array" ref="Q272">+SUMPRODUCT(('Réel 2024'!$A$8:$A$502=$A272)*('Réel 2024'!$C$3:$AO$3=Q$2),'Réel 2024'!$C$8:$AO$502)</f>
        <v>1854.04</v>
      </c>
      <c r="R272" s="252"/>
      <c r="S272" s="275">
        <f t="shared" si="34"/>
        <v>-659.67000000000007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32"/>
        <v>CarrosserieServices extérieurs</v>
      </c>
      <c r="B273" s="41" t="s">
        <v>176</v>
      </c>
      <c r="C273" s="311" t="s">
        <v>134</v>
      </c>
      <c r="D273" s="298"/>
      <c r="E273" s="317"/>
      <c r="F273" s="247">
        <f t="array" ref="F273">+SUMPRODUCT(('Budget original'!$A$8:$A$502=$A273)*('Budget original'!$C$3:$AO$3=F$2),'Budget original'!$C$8:$AO$502)</f>
        <v>6362.09</v>
      </c>
      <c r="G273" s="299"/>
      <c r="H273" s="317"/>
      <c r="I273" s="247"/>
      <c r="J273" s="245"/>
      <c r="K273" s="317"/>
      <c r="L273" s="255">
        <f>SUMIFS(BV_Data_An_Cour!$P:$P,BV_Data_An_Cour!$U:$U,$B273,BV_Data_An_Cour!$V:$V,$C273,BV_Data_An_Cour!$W:$W,$L$2)</f>
        <v>6053.22</v>
      </c>
      <c r="M273" s="245"/>
      <c r="N273" s="295">
        <f t="shared" si="33"/>
        <v>-308.86999999999989</v>
      </c>
      <c r="O273" s="245"/>
      <c r="P273" s="317"/>
      <c r="Q273" s="247">
        <f t="array" ref="Q273">+SUMPRODUCT(('Réel 2024'!$A$8:$A$502=$A273)*('Réel 2024'!$C$3:$AO$3=Q$2),'Réel 2024'!$C$8:$AO$502)</f>
        <v>6028.4500000000007</v>
      </c>
      <c r="R273" s="245"/>
      <c r="S273" s="295">
        <f t="shared" si="34"/>
        <v>24.769999999999527</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32"/>
        <v>CarrosserieFournitures d'atelier</v>
      </c>
      <c r="B274" s="41" t="s">
        <v>176</v>
      </c>
      <c r="C274" s="405" t="s">
        <v>489</v>
      </c>
      <c r="D274" s="296"/>
      <c r="E274" s="41"/>
      <c r="F274" s="253"/>
      <c r="G274" s="297"/>
      <c r="H274" s="41"/>
      <c r="I274" s="253"/>
      <c r="J274" s="252"/>
      <c r="K274" s="41"/>
      <c r="L274" s="271">
        <f>SUMIFS(BV_Data_An_Cour!$P:$P,BV_Data_An_Cour!$U:$U,$B274,BV_Data_An_Cour!$V:$V,$C274,BV_Data_An_Cour!$W:$W,$L$2)</f>
        <v>0</v>
      </c>
      <c r="M274" s="252"/>
      <c r="N274" s="275">
        <f t="shared" si="33"/>
        <v>0</v>
      </c>
      <c r="O274" s="252"/>
      <c r="P274" s="41"/>
      <c r="Q274" s="255"/>
      <c r="R274" s="252"/>
      <c r="S274" s="275">
        <f t="shared" si="34"/>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32"/>
        <v>CarrosserieFournitures autres</v>
      </c>
      <c r="B275" s="41" t="s">
        <v>176</v>
      </c>
      <c r="C275" s="311" t="s">
        <v>135</v>
      </c>
      <c r="D275" s="296"/>
      <c r="E275" s="41"/>
      <c r="F275" s="253">
        <f t="array" ref="F275">+SUMPRODUCT(('Budget original'!$A$8:$A$502=$A275)*('Budget original'!$C$3:$AO$3=F$2),'Budget original'!$C$8:$AO$502)</f>
        <v>0</v>
      </c>
      <c r="G275" s="297"/>
      <c r="H275" s="41"/>
      <c r="I275" s="253"/>
      <c r="J275" s="252"/>
      <c r="K275" s="41"/>
      <c r="L275" s="255">
        <f>SUMIFS(BV_Data_An_Cour!$P:$P,BV_Data_An_Cour!$U:$U,$B275,BV_Data_An_Cour!$V:$V,$C275,BV_Data_An_Cour!$W:$W,$L$2)</f>
        <v>0</v>
      </c>
      <c r="M275" s="252"/>
      <c r="N275" s="275">
        <f t="shared" si="33"/>
        <v>0</v>
      </c>
      <c r="O275" s="252"/>
      <c r="P275" s="41"/>
      <c r="Q275" s="255">
        <f t="array" ref="Q275">+SUMPRODUCT(('Réel 2024'!$A$8:$A$502=$A275)*('Réel 2024'!$C$3:$AO$3=Q$2),'Réel 2024'!$C$8:$AO$502)</f>
        <v>0</v>
      </c>
      <c r="R275" s="252"/>
      <c r="S275" s="275">
        <f t="shared" si="34"/>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32"/>
        <v>CarrosserieUniformes</v>
      </c>
      <c r="B276" s="41" t="s">
        <v>176</v>
      </c>
      <c r="C276" s="311" t="s">
        <v>136</v>
      </c>
      <c r="D276" s="296"/>
      <c r="E276" s="41"/>
      <c r="F276" s="253">
        <f t="array" ref="F276">+SUMPRODUCT(('Budget original'!$A$8:$A$502=$A276)*('Budget original'!$C$3:$AO$3=F$2),'Budget original'!$C$8:$AO$502)</f>
        <v>0</v>
      </c>
      <c r="G276" s="297"/>
      <c r="H276" s="41"/>
      <c r="I276" s="253"/>
      <c r="J276" s="252"/>
      <c r="K276" s="41"/>
      <c r="L276" s="255">
        <f>SUMIFS(BV_Data_An_Cour!$P:$P,BV_Data_An_Cour!$U:$U,$B276,BV_Data_An_Cour!$V:$V,$C276,BV_Data_An_Cour!$W:$W,$L$2)</f>
        <v>0</v>
      </c>
      <c r="M276" s="252"/>
      <c r="N276" s="275">
        <f t="shared" si="33"/>
        <v>0</v>
      </c>
      <c r="O276" s="252"/>
      <c r="P276" s="41"/>
      <c r="Q276" s="255">
        <f t="array" ref="Q276">+SUMPRODUCT(('Réel 2024'!$A$8:$A$502=$A276)*('Réel 2024'!$C$3:$AO$3=Q$2),'Réel 2024'!$C$8:$AO$502)</f>
        <v>0</v>
      </c>
      <c r="R276" s="252"/>
      <c r="S276" s="275">
        <f t="shared" si="34"/>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32"/>
        <v>CarrosseriePapeterie</v>
      </c>
      <c r="B277" s="41" t="s">
        <v>176</v>
      </c>
      <c r="C277" s="311" t="s">
        <v>137</v>
      </c>
      <c r="D277" s="296"/>
      <c r="E277" s="41"/>
      <c r="F277" s="253">
        <f t="array" ref="F277">+SUMPRODUCT(('Budget original'!$A$8:$A$502=$A277)*('Budget original'!$C$3:$AO$3=F$2),'Budget original'!$C$8:$AO$502)</f>
        <v>833</v>
      </c>
      <c r="G277" s="297"/>
      <c r="H277" s="41"/>
      <c r="I277" s="253"/>
      <c r="J277" s="252"/>
      <c r="K277" s="41"/>
      <c r="L277" s="255">
        <f>SUMIFS(BV_Data_An_Cour!$P:$P,BV_Data_An_Cour!$U:$U,$B277,BV_Data_An_Cour!$V:$V,$C277,BV_Data_An_Cour!$W:$W,$L$2)</f>
        <v>874.91</v>
      </c>
      <c r="M277" s="252"/>
      <c r="N277" s="275">
        <f t="shared" si="33"/>
        <v>41.909999999999968</v>
      </c>
      <c r="O277" s="252"/>
      <c r="P277" s="41"/>
      <c r="Q277" s="255">
        <f t="array" ref="Q277">+SUMPRODUCT(('Réel 2024'!$A$8:$A$502=$A277)*('Réel 2024'!$C$3:$AO$3=Q$2),'Réel 2024'!$C$8:$AO$502)</f>
        <v>761.11</v>
      </c>
      <c r="R277" s="252"/>
      <c r="S277" s="275">
        <f t="shared" si="34"/>
        <v>113.79999999999995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32"/>
        <v>CarrosserieTéléphone</v>
      </c>
      <c r="B278" s="41" t="s">
        <v>176</v>
      </c>
      <c r="C278" s="311" t="s">
        <v>138</v>
      </c>
      <c r="D278" s="296"/>
      <c r="E278" s="41"/>
      <c r="F278" s="253">
        <f t="array" ref="F278">+SUMPRODUCT(('Budget original'!$A$8:$A$502=$A278)*('Budget original'!$C$3:$AO$3=F$2),'Budget original'!$C$8:$AO$502)</f>
        <v>214.375</v>
      </c>
      <c r="G278" s="297"/>
      <c r="H278" s="41"/>
      <c r="I278" s="253"/>
      <c r="J278" s="252"/>
      <c r="K278" s="41"/>
      <c r="L278" s="255">
        <f>SUMIFS(BV_Data_An_Cour!$P:$P,BV_Data_An_Cour!$U:$U,$B278,BV_Data_An_Cour!$V:$V,$C278,BV_Data_An_Cour!$W:$W,$L$2)</f>
        <v>195.83</v>
      </c>
      <c r="M278" s="252"/>
      <c r="N278" s="275">
        <f t="shared" si="33"/>
        <v>-18.544999999999987</v>
      </c>
      <c r="O278" s="252"/>
      <c r="P278" s="41"/>
      <c r="Q278" s="255">
        <f t="array" ref="Q278">+SUMPRODUCT(('Réel 2024'!$A$8:$A$502=$A278)*('Réel 2024'!$C$3:$AO$3=Q$2),'Réel 2024'!$C$8:$AO$502)</f>
        <v>186.47</v>
      </c>
      <c r="R278" s="252"/>
      <c r="S278" s="275">
        <f t="shared" si="34"/>
        <v>9.3600000000000136</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32"/>
        <v>CarrosserieFrais postaux</v>
      </c>
      <c r="B279" s="41" t="s">
        <v>176</v>
      </c>
      <c r="C279" s="311" t="s">
        <v>139</v>
      </c>
      <c r="D279" s="296"/>
      <c r="E279" s="41"/>
      <c r="F279" s="253">
        <f t="array" ref="F279">+SUMPRODUCT(('Budget original'!$A$8:$A$502=$A279)*('Budget original'!$C$3:$AO$3=F$2),'Budget original'!$C$8:$AO$502)</f>
        <v>349.00250000000005</v>
      </c>
      <c r="G279" s="297"/>
      <c r="H279" s="41"/>
      <c r="I279" s="253"/>
      <c r="J279" s="252"/>
      <c r="K279" s="41"/>
      <c r="L279" s="255">
        <f>SUMIFS(BV_Data_An_Cour!$P:$P,BV_Data_An_Cour!$U:$U,$B279,BV_Data_An_Cour!$V:$V,$C279,BV_Data_An_Cour!$W:$W,$L$2)</f>
        <v>148.13</v>
      </c>
      <c r="M279" s="252"/>
      <c r="N279" s="275">
        <f t="shared" si="33"/>
        <v>-200.87250000000006</v>
      </c>
      <c r="O279" s="252"/>
      <c r="P279" s="41"/>
      <c r="Q279" s="255">
        <f t="array" ref="Q279">+SUMPRODUCT(('Réel 2024'!$A$8:$A$502=$A279)*('Réel 2024'!$C$3:$AO$3=Q$2),'Réel 2024'!$C$8:$AO$502)</f>
        <v>451.69</v>
      </c>
      <c r="R279" s="252"/>
      <c r="S279" s="275">
        <f t="shared" si="34"/>
        <v>-303.56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32"/>
        <v>CarrosserieDivers</v>
      </c>
      <c r="B280" s="41" t="s">
        <v>176</v>
      </c>
      <c r="C280" s="311" t="s">
        <v>140</v>
      </c>
      <c r="D280" s="296"/>
      <c r="E280" s="41"/>
      <c r="F280" s="253">
        <f t="array" ref="F280">+SUMPRODUCT(('Budget original'!$A$8:$A$502=$A280)*('Budget original'!$C$3:$AO$3=F$2),'Budget original'!$C$8:$AO$502)</f>
        <v>183.75000000000003</v>
      </c>
      <c r="G280" s="297"/>
      <c r="H280" s="41"/>
      <c r="I280" s="253"/>
      <c r="J280" s="252"/>
      <c r="K280" s="41"/>
      <c r="L280" s="255">
        <f>SUMIFS(BV_Data_An_Cour!$P:$P,BV_Data_An_Cour!$U:$U,$B280,BV_Data_An_Cour!$V:$V,$C280,BV_Data_An_Cour!$W:$W,$L$2)</f>
        <v>236.28</v>
      </c>
      <c r="M280" s="252"/>
      <c r="N280" s="275">
        <f t="shared" si="33"/>
        <v>52.529999999999973</v>
      </c>
      <c r="O280" s="252"/>
      <c r="P280" s="41"/>
      <c r="Q280" s="255">
        <f t="array" ref="Q280">+SUMPRODUCT(('Réel 2024'!$A$8:$A$502=$A280)*('Réel 2024'!$C$3:$AO$3=Q$2),'Réel 2024'!$C$8:$AO$502)</f>
        <v>129.09</v>
      </c>
      <c r="R280" s="252"/>
      <c r="S280" s="275">
        <f t="shared" si="34"/>
        <v>107.19</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32"/>
        <v>CarrosserieFormation</v>
      </c>
      <c r="B281" s="41" t="s">
        <v>176</v>
      </c>
      <c r="C281" s="311" t="s">
        <v>141</v>
      </c>
      <c r="D281" s="296"/>
      <c r="E281" s="41"/>
      <c r="F281" s="253">
        <f t="array" ref="F281">+SUMPRODUCT(('Budget original'!$A$8:$A$502=$A281)*('Budget original'!$C$3:$AO$3=F$2),'Budget original'!$C$8:$AO$502)</f>
        <v>1166.6666666666665</v>
      </c>
      <c r="G281" s="297"/>
      <c r="H281" s="41"/>
      <c r="I281" s="253"/>
      <c r="J281" s="252"/>
      <c r="K281" s="41"/>
      <c r="L281" s="255">
        <f>SUMIFS(BV_Data_An_Cour!$P:$P,BV_Data_An_Cour!$U:$U,$B281,BV_Data_An_Cour!$V:$V,$C281,BV_Data_An_Cour!$W:$W,$L$2)</f>
        <v>398.78</v>
      </c>
      <c r="M281" s="252"/>
      <c r="N281" s="275">
        <f t="shared" si="33"/>
        <v>-767.88666666666654</v>
      </c>
      <c r="O281" s="252"/>
      <c r="P281" s="41"/>
      <c r="Q281" s="255">
        <f t="array" ref="Q281">+SUMPRODUCT(('Réel 2024'!$A$8:$A$502=$A281)*('Réel 2024'!$C$3:$AO$3=Q$2),'Réel 2024'!$C$8:$AO$502)</f>
        <v>404.73</v>
      </c>
      <c r="R281" s="252"/>
      <c r="S281" s="275">
        <f t="shared" si="34"/>
        <v>-5.9500000000000455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tr">
        <f t="shared" si="32"/>
        <v>CarrosserieFrais bancaires</v>
      </c>
      <c r="B282" s="41" t="s">
        <v>176</v>
      </c>
      <c r="C282" s="311" t="s">
        <v>142</v>
      </c>
      <c r="D282" s="296"/>
      <c r="E282" s="41"/>
      <c r="F282" s="253">
        <f t="array" ref="F282">+SUMPRODUCT(('Budget original'!$A$8:$A$502=$A282)*('Budget original'!$C$3:$AO$3=F$2),'Budget original'!$C$8:$AO$502)</f>
        <v>1479.039188170668</v>
      </c>
      <c r="G282" s="297"/>
      <c r="H282" s="41"/>
      <c r="I282" s="253"/>
      <c r="J282" s="252"/>
      <c r="K282" s="41"/>
      <c r="L282" s="255">
        <f>SUMIFS(BV_Data_An_Cour!$P:$P,BV_Data_An_Cour!$U:$U,$B282,BV_Data_An_Cour!$V:$V,$C282,BV_Data_An_Cour!$W:$W,L$2)</f>
        <v>1663.84</v>
      </c>
      <c r="M282" s="252"/>
      <c r="N282" s="275">
        <f t="shared" si="33"/>
        <v>184.80081182933191</v>
      </c>
      <c r="O282" s="252"/>
      <c r="P282" s="41"/>
      <c r="Q282" s="255">
        <f t="array" ref="Q282">+SUMPRODUCT(('Réel 2024'!$A$8:$A$502=$A282)*('Réel 2024'!$C$3:$AO$3=Q$2),'Réel 2024'!$C$8:$AO$502)</f>
        <v>1404.06</v>
      </c>
      <c r="R282" s="252"/>
      <c r="S282" s="275">
        <f t="shared" si="34"/>
        <v>259.77999999999997</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32"/>
        <v>Carrosserie[...]</v>
      </c>
      <c r="B283" s="41" t="s">
        <v>176</v>
      </c>
      <c r="C283" s="311" t="s">
        <v>59</v>
      </c>
      <c r="D283" s="296"/>
      <c r="E283" s="41"/>
      <c r="F283" s="253">
        <f t="array" ref="F283">+SUMPRODUCT(('Budget original'!$A$8:$A$502=$A283)*('Budget original'!$C$3:$AO$3=F$2),'Budget original'!$C$8:$AO$502)</f>
        <v>0</v>
      </c>
      <c r="G283" s="297"/>
      <c r="H283" s="41"/>
      <c r="I283" s="253"/>
      <c r="J283" s="252"/>
      <c r="K283" s="41"/>
      <c r="L283" s="255">
        <f>SUMIFS(BV_Data_An_Cour!$P:$P,BV_Data_An_Cour!$U:$U,$B283,BV_Data_An_Cour!$V:$V,$C283,BV_Data_An_Cour!$W:$W,$L$2)</f>
        <v>0</v>
      </c>
      <c r="M283" s="252"/>
      <c r="N283" s="275">
        <f t="shared" si="33"/>
        <v>0</v>
      </c>
      <c r="O283" s="252"/>
      <c r="P283" s="41"/>
      <c r="Q283" s="255">
        <f t="array" ref="Q283">+SUMPRODUCT(('Réel 2024'!$A$8:$A$502=$A283)*('Réel 2024'!$C$3:$AO$3=Q$2),'Réel 2024'!$C$8:$AO$502)</f>
        <v>0</v>
      </c>
      <c r="R283" s="252"/>
      <c r="S283" s="275">
        <f t="shared" si="34"/>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32"/>
        <v>Carrosserie[...]</v>
      </c>
      <c r="B284" s="41" t="s">
        <v>176</v>
      </c>
      <c r="C284" s="311" t="s">
        <v>59</v>
      </c>
      <c r="D284" s="296"/>
      <c r="E284" s="41"/>
      <c r="F284" s="253">
        <f t="array" ref="F284">+SUMPRODUCT(('Budget original'!$A$8:$A$502=$A284)*('Budget original'!$C$3:$AO$3=F$2),'Budget original'!$C$8:$AO$502)</f>
        <v>0</v>
      </c>
      <c r="G284" s="297"/>
      <c r="H284" s="41"/>
      <c r="I284" s="253"/>
      <c r="J284" s="252"/>
      <c r="K284" s="41"/>
      <c r="L284" s="255">
        <f>SUMIFS(BV_Data_An_Cour!$P:$P,BV_Data_An_Cour!$U:$U,$B284,BV_Data_An_Cour!$V:$V,$C284,BV_Data_An_Cour!$W:$W,$L$2)</f>
        <v>0</v>
      </c>
      <c r="M284" s="252"/>
      <c r="N284" s="275">
        <f t="shared" si="33"/>
        <v>0</v>
      </c>
      <c r="O284" s="252"/>
      <c r="P284" s="41"/>
      <c r="Q284" s="255">
        <f t="array" ref="Q284">+SUMPRODUCT(('Réel 2024'!$A$8:$A$502=$A284)*('Réel 2024'!$C$3:$AO$3=Q$2),'Réel 2024'!$C$8:$AO$502)</f>
        <v>0</v>
      </c>
      <c r="R284" s="252"/>
      <c r="S284" s="275">
        <f t="shared" si="34"/>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32"/>
        <v>Carrosserie[...]</v>
      </c>
      <c r="B285" s="41" t="s">
        <v>176</v>
      </c>
      <c r="C285" s="311" t="s">
        <v>59</v>
      </c>
      <c r="D285" s="296"/>
      <c r="E285" s="41"/>
      <c r="F285" s="253">
        <f t="array" ref="F285">+SUMPRODUCT(('Budget original'!$A$8:$A$502=$A285)*('Budget original'!$C$3:$AO$3=F$2),'Budget original'!$C$8:$AO$502)</f>
        <v>0</v>
      </c>
      <c r="G285" s="297"/>
      <c r="H285" s="41"/>
      <c r="I285" s="253"/>
      <c r="J285" s="252"/>
      <c r="K285" s="41"/>
      <c r="L285" s="255">
        <f>SUMIFS(BV_Data_An_Cour!$P:$P,BV_Data_An_Cour!$U:$U,$B285,BV_Data_An_Cour!$V:$V,$C285,BV_Data_An_Cour!$W:$W,$L$2)</f>
        <v>0</v>
      </c>
      <c r="M285" s="252"/>
      <c r="N285" s="275">
        <f t="shared" si="33"/>
        <v>0</v>
      </c>
      <c r="O285" s="252"/>
      <c r="P285" s="41"/>
      <c r="Q285" s="255">
        <f t="array" ref="Q285">+SUMPRODUCT(('Réel 2024'!$A$8:$A$502=$A285)*('Réel 2024'!$C$3:$AO$3=Q$2),'Réel 2024'!$C$8:$AO$502)</f>
        <v>0</v>
      </c>
      <c r="R285" s="252"/>
      <c r="S285" s="275">
        <f t="shared" si="34"/>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f>IF(F251=0,0,F286/F$251)</f>
        <v>0.28682189837771344</v>
      </c>
      <c r="F286" s="306">
        <f>+SUM(F268:F285)</f>
        <v>29737.694423801331</v>
      </c>
      <c r="G286" s="307"/>
      <c r="H286" s="305"/>
      <c r="I286" s="306"/>
      <c r="J286" s="307" t="s">
        <v>119</v>
      </c>
      <c r="K286" s="305">
        <f>IF(L263=0,0,L286/L$242)</f>
        <v>0.32171127111615733</v>
      </c>
      <c r="L286" s="306">
        <f>+SUM(L268:L285)</f>
        <v>30454.82</v>
      </c>
      <c r="M286" s="310"/>
      <c r="N286" s="306">
        <f>+SUM(N268:N285)</f>
        <v>717.1255761986672</v>
      </c>
      <c r="O286" s="307" t="s">
        <v>119</v>
      </c>
      <c r="P286" s="305">
        <f>IF(Q251=0,0,Q286/Q$251)</f>
        <v>1.2488729586673575</v>
      </c>
      <c r="Q286" s="306">
        <f>+SUM(Q268:Q285)</f>
        <v>36849.82</v>
      </c>
      <c r="R286" s="310"/>
      <c r="S286" s="306">
        <f t="shared" si="34"/>
        <v>-6395</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f>IF(F251=0,0,F288/F$251)</f>
        <v>0.85893084876262993</v>
      </c>
      <c r="F288" s="306">
        <f>F267+F286</f>
        <v>89053.950399709473</v>
      </c>
      <c r="G288" s="307"/>
      <c r="H288" s="305"/>
      <c r="I288" s="306"/>
      <c r="J288" s="307" t="s">
        <v>119</v>
      </c>
      <c r="K288" s="305" t="e">
        <f>IF(L265=0,0,L288/L$245)</f>
        <v>#DIV/0!</v>
      </c>
      <c r="L288" s="306">
        <f>L267+L286</f>
        <v>87500.94</v>
      </c>
      <c r="M288" s="310"/>
      <c r="N288" s="319">
        <f>L288-F288</f>
        <v>-1553.0103997094702</v>
      </c>
      <c r="O288" s="307" t="s">
        <v>119</v>
      </c>
      <c r="P288" s="305">
        <f>IF(Q251=0,0,Q288/Q$251)</f>
        <v>2.8978403373363015</v>
      </c>
      <c r="Q288" s="306">
        <f>Q267+Q286</f>
        <v>85505.01</v>
      </c>
      <c r="R288" s="310"/>
      <c r="S288" s="319">
        <f>L288-Q288</f>
        <v>1995.9300000000076</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331" t="s">
        <v>151</v>
      </c>
      <c r="D290" s="359"/>
      <c r="E290" s="332"/>
      <c r="F290" s="334">
        <f>F251-F288</f>
        <v>14626.049600290527</v>
      </c>
      <c r="G290" s="360"/>
      <c r="H290" s="332"/>
      <c r="I290" s="334"/>
      <c r="J290" s="331"/>
      <c r="K290" s="333"/>
      <c r="L290" s="334">
        <f>L251-L288</f>
        <v>7164.129999999961</v>
      </c>
      <c r="M290" s="331"/>
      <c r="N290" s="334">
        <f>L290-F290</f>
        <v>-7461.9196002905664</v>
      </c>
      <c r="O290" s="331"/>
      <c r="P290" s="333"/>
      <c r="Q290" s="334">
        <f>Q251-Q288</f>
        <v>-55998.550000000025</v>
      </c>
      <c r="R290" s="331"/>
      <c r="S290" s="334">
        <f>L290-Q290</f>
        <v>63162.679999999986</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Volks</v>
      </c>
      <c r="D292" s="231"/>
      <c r="E292" s="231"/>
      <c r="F292" s="231"/>
      <c r="G292" s="231"/>
      <c r="H292" s="36"/>
      <c r="I292" s="36"/>
      <c r="J292" s="36"/>
      <c r="K292" s="9" t="s">
        <v>180</v>
      </c>
      <c r="L292" s="231"/>
      <c r="M292" s="231"/>
      <c r="N292" s="36"/>
      <c r="O292" s="36"/>
      <c r="P292" s="231"/>
      <c r="Q292" s="36"/>
      <c r="R292" s="231"/>
      <c r="S292" s="10" t="str">
        <f>$S$1</f>
        <v>Réalisé AAJ, Juillet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78" t="s">
        <v>343</v>
      </c>
      <c r="E294" s="1179"/>
      <c r="F294" s="1180"/>
      <c r="G294" s="1181"/>
      <c r="H294" s="1179"/>
      <c r="I294" s="1180"/>
      <c r="J294" s="1181" t="s">
        <v>344</v>
      </c>
      <c r="K294" s="1179"/>
      <c r="L294" s="1180"/>
      <c r="M294" s="1181" t="s">
        <v>3255</v>
      </c>
      <c r="N294" s="1180"/>
      <c r="O294" s="1178" t="s">
        <v>345</v>
      </c>
      <c r="P294" s="1179"/>
      <c r="Q294" s="1180"/>
      <c r="R294" s="1182" t="s">
        <v>3257</v>
      </c>
      <c r="S294" s="118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35">+B295&amp;C295</f>
        <v>Pièces</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35"/>
        <v>PiècesPièces Ro Clients</v>
      </c>
      <c r="B296" s="41" t="s">
        <v>180</v>
      </c>
      <c r="C296" s="252" t="s">
        <v>182</v>
      </c>
      <c r="D296" s="290">
        <f t="array" ref="D296">+SUMPRODUCT(('Budget original'!$A$8:$A$502=$A296)*('Budget original'!$C$3:$AO$3=D$2),'Budget original'!$C$8:$AO$502)</f>
        <v>634709.12567091337</v>
      </c>
      <c r="E296" s="352">
        <f t="shared" ref="E296:E304" si="36">IF(D296=0,0,F296/D296)</f>
        <v>0.35</v>
      </c>
      <c r="F296" s="275">
        <f t="array" ref="F296">+SUMPRODUCT(('Budget original'!$A$8:$A$502=$A296)*('Budget original'!$C$3:$AO$3=F$2),'Budget original'!$C$8:$AO$502)</f>
        <v>222148.19398481966</v>
      </c>
      <c r="G296" s="290"/>
      <c r="H296" s="352"/>
      <c r="I296" s="275"/>
      <c r="J296" s="253">
        <f>-SUMIFS(BV_Data_An_Cour!$P:$P,BV_Data_An_Cour!$X:$X,"Oui",BV_Data_An_Cour!$U:$U,$B296,BV_Data_An_Cour!$V:$V,$C296)</f>
        <v>610263.96</v>
      </c>
      <c r="K296" s="352">
        <f t="shared" ref="K296:K305" si="37">IF(J296&lt;=0,0,L296/J296)</f>
        <v>0.37134175513166462</v>
      </c>
      <c r="L296" s="255">
        <f>-SUMIFS(BV_Data_An_Cour!$P:$P,BV_Data_An_Cour!$U:$U,$B296,BV_Data_An_Cour!$V:$V,$C296,BV_Data_An_Cour!$W:$W,$L$2)</f>
        <v>226616.48999999996</v>
      </c>
      <c r="M296" s="291">
        <f t="shared" ref="M296:M302" si="38">(+J296-D296)/D296</f>
        <v>-3.8513965976263345E-2</v>
      </c>
      <c r="N296" s="275">
        <f t="shared" ref="N296:N305" si="39">L296-F296</f>
        <v>4468.2960151802981</v>
      </c>
      <c r="O296" s="253">
        <f t="array" ref="O296">+SUMPRODUCT(('Réel 2024'!$A$8:$A$502=$A296)*('Réel 2024'!$C$3:$AO$3=O$2),'Réel 2024'!$C$8:$AO$502)</f>
        <v>575186.18999999994</v>
      </c>
      <c r="P296" s="352">
        <f t="shared" ref="P296:P304" si="40">IF(O296=0,0,Q296/O296)</f>
        <v>0.3227175881952235</v>
      </c>
      <c r="Q296" s="255">
        <f t="array" ref="Q296">+SUMPRODUCT(('Réel 2024'!$A$8:$A$502=$A296)*('Réel 2024'!$C$3:$AO$3=Q$2),'Réel 2024'!$C$8:$AO$502)</f>
        <v>185622.69999999958</v>
      </c>
      <c r="R296" s="291">
        <f t="shared" ref="R296:R305" si="41">IF(O296=0,0,(J296-O296)/O296)</f>
        <v>6.0985069895367311E-2</v>
      </c>
      <c r="S296" s="275">
        <f t="shared" ref="S296:S305" si="42">L296-Q296</f>
        <v>40993.790000000386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35"/>
        <v>PiècesPièces Ro Carrosserie</v>
      </c>
      <c r="B297" s="41" t="s">
        <v>180</v>
      </c>
      <c r="C297" s="252" t="s">
        <v>183</v>
      </c>
      <c r="D297" s="290">
        <f t="array" ref="D297">+SUMPRODUCT(('Budget original'!$A$8:$A$502=$A297)*('Budget original'!$C$3:$AO$3=D$2),'Budget original'!$C$8:$AO$502)</f>
        <v>360000</v>
      </c>
      <c r="E297" s="352">
        <f t="shared" si="36"/>
        <v>0.23400000000000001</v>
      </c>
      <c r="F297" s="275">
        <f t="array" ref="F297">+SUMPRODUCT(('Budget original'!$A$8:$A$502=$A297)*('Budget original'!$C$3:$AO$3=F$2),'Budget original'!$C$8:$AO$502)</f>
        <v>84240</v>
      </c>
      <c r="G297" s="290"/>
      <c r="H297" s="352"/>
      <c r="I297" s="275"/>
      <c r="J297" s="253">
        <f>-SUMIFS(BV_Data_An_Cour!$P:$P,BV_Data_An_Cour!$X:$X,"Oui",BV_Data_An_Cour!$U:$U,$B297,BV_Data_An_Cour!$V:$V,$C297)</f>
        <v>408233.46</v>
      </c>
      <c r="K297" s="352">
        <f t="shared" si="37"/>
        <v>0.23336563347845124</v>
      </c>
      <c r="L297" s="255">
        <f>-SUMIFS(BV_Data_An_Cour!$P:$P,BV_Data_An_Cour!$U:$U,$B297,BV_Data_An_Cour!$V:$V,$C297,BV_Data_An_Cour!$W:$W,$L$2)</f>
        <v>95267.659999999989</v>
      </c>
      <c r="M297" s="291">
        <f t="shared" si="38"/>
        <v>0.13398183333333338</v>
      </c>
      <c r="N297" s="275">
        <f t="shared" si="39"/>
        <v>11027.659999999989</v>
      </c>
      <c r="O297" s="253">
        <f t="array" ref="O297">+SUMPRODUCT(('Réel 2024'!$A$8:$A$502=$A297)*('Réel 2024'!$C$3:$AO$3=O$2),'Réel 2024'!$C$8:$AO$502)</f>
        <v>50025.53</v>
      </c>
      <c r="P297" s="352">
        <f t="shared" si="40"/>
        <v>0.23516312570801307</v>
      </c>
      <c r="Q297" s="255">
        <f t="array" ref="Q297">+SUMPRODUCT(('Réel 2024'!$A$8:$A$502=$A297)*('Réel 2024'!$C$3:$AO$3=Q$2),'Réel 2024'!$C$8:$AO$502)</f>
        <v>11764.159999999978</v>
      </c>
      <c r="R297" s="291">
        <f t="shared" si="41"/>
        <v>7.1605024474503329</v>
      </c>
      <c r="S297" s="275">
        <f t="shared" si="42"/>
        <v>83503.500000000015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35"/>
        <v>PiècesP/A Garantie</v>
      </c>
      <c r="B298" s="41" t="s">
        <v>180</v>
      </c>
      <c r="C298" s="252" t="s">
        <v>184</v>
      </c>
      <c r="D298" s="290">
        <f t="array" ref="D298">+SUMPRODUCT(('Budget original'!$A$8:$A$502=$A298)*('Budget original'!$C$3:$AO$3=D$2),'Budget original'!$C$8:$AO$502)</f>
        <v>448147.13139889727</v>
      </c>
      <c r="E298" s="352">
        <f t="shared" si="36"/>
        <v>0.23300000000000001</v>
      </c>
      <c r="F298" s="275">
        <f t="array" ref="F298">+SUMPRODUCT(('Budget original'!$A$8:$A$502=$A298)*('Budget original'!$C$3:$AO$3=F$2),'Budget original'!$C$8:$AO$502)</f>
        <v>104418.28161594307</v>
      </c>
      <c r="G298" s="290"/>
      <c r="H298" s="352"/>
      <c r="I298" s="275"/>
      <c r="J298" s="253">
        <f>-SUMIFS(BV_Data_An_Cour!$P:$P,BV_Data_An_Cour!$X:$X,"Oui",BV_Data_An_Cour!$U:$U,$B298,BV_Data_An_Cour!$V:$V,$C298)</f>
        <v>516376.59</v>
      </c>
      <c r="K298" s="352">
        <f t="shared" si="37"/>
        <v>0.23927428623361877</v>
      </c>
      <c r="L298" s="255">
        <f>-SUMIFS(BV_Data_An_Cour!$P:$P,BV_Data_An_Cour!$U:$U,$B298,BV_Data_An_Cour!$V:$V,$C298,BV_Data_An_Cour!$W:$W,$L$2)</f>
        <v>123555.64000000001</v>
      </c>
      <c r="M298" s="291">
        <f t="shared" si="38"/>
        <v>0.15224789766727634</v>
      </c>
      <c r="N298" s="275">
        <f t="shared" si="39"/>
        <v>19137.358384056948</v>
      </c>
      <c r="O298" s="253">
        <f t="array" ref="O298">+SUMPRODUCT(('Réel 2024'!$A$8:$A$502=$A298)*('Réel 2024'!$C$3:$AO$3=O$2),'Réel 2024'!$C$8:$AO$502)</f>
        <v>615082.41</v>
      </c>
      <c r="P298" s="352">
        <f t="shared" si="40"/>
        <v>0.233621263856334</v>
      </c>
      <c r="Q298" s="255">
        <f t="array" ref="Q298">+SUMPRODUCT(('Réel 2024'!$A$8:$A$502=$A298)*('Réel 2024'!$C$3:$AO$3=Q$2),'Réel 2024'!$C$8:$AO$502)</f>
        <v>143696.32999999981</v>
      </c>
      <c r="R298" s="291">
        <f t="shared" si="41"/>
        <v>-0.16047576454023454</v>
      </c>
      <c r="S298" s="275">
        <f t="shared" si="42"/>
        <v>-20140.689999999799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35"/>
        <v>PiècesVentes Internes</v>
      </c>
      <c r="B299" s="41" t="s">
        <v>180</v>
      </c>
      <c r="C299" s="252" t="s">
        <v>185</v>
      </c>
      <c r="D299" s="290">
        <f t="array" ref="D299">+SUMPRODUCT(('Budget original'!$A$8:$A$502=$A299)*('Budget original'!$C$3:$AO$3=D$2),'Budget original'!$C$8:$AO$502)</f>
        <v>489409.42267818167</v>
      </c>
      <c r="E299" s="352">
        <f t="shared" si="36"/>
        <v>0.28500000000000003</v>
      </c>
      <c r="F299" s="275">
        <f t="array" ref="F299">+SUMPRODUCT(('Budget original'!$A$8:$A$502=$A299)*('Budget original'!$C$3:$AO$3=F$2),'Budget original'!$C$8:$AO$502)</f>
        <v>139481.68546328178</v>
      </c>
      <c r="G299" s="290"/>
      <c r="H299" s="352"/>
      <c r="I299" s="275"/>
      <c r="J299" s="253">
        <f>-SUMIFS(BV_Data_An_Cour!$P:$P,BV_Data_An_Cour!$X:$X,"Oui",BV_Data_An_Cour!$U:$U,$B299,BV_Data_An_Cour!$V:$V,$C299)</f>
        <v>368724.84</v>
      </c>
      <c r="K299" s="352">
        <f t="shared" si="37"/>
        <v>0.2752414239301047</v>
      </c>
      <c r="L299" s="255">
        <f>-SUMIFS(BV_Data_An_Cour!$P:$P,BV_Data_An_Cour!$U:$U,$B299,BV_Data_An_Cour!$V:$V,$C299,BV_Data_An_Cour!$W:$W,$L$2)</f>
        <v>101488.35000000003</v>
      </c>
      <c r="M299" s="291">
        <f t="shared" si="38"/>
        <v>-0.246592274455532</v>
      </c>
      <c r="N299" s="275">
        <f t="shared" si="39"/>
        <v>-37993.33546328175</v>
      </c>
      <c r="O299" s="253">
        <f t="array" ref="O299">+SUMPRODUCT(('Réel 2024'!$A$8:$A$502=$A299)*('Réel 2024'!$C$3:$AO$3=O$2),'Réel 2024'!$C$8:$AO$502)</f>
        <v>439829.62</v>
      </c>
      <c r="P299" s="352">
        <f t="shared" si="40"/>
        <v>0.28300947535093207</v>
      </c>
      <c r="Q299" s="255">
        <f t="array" ref="Q299">+SUMPRODUCT(('Réel 2024'!$A$8:$A$502=$A299)*('Réel 2024'!$C$3:$AO$3=Q$2),'Réel 2024'!$C$8:$AO$502)</f>
        <v>124475.94999999981</v>
      </c>
      <c r="R299" s="291">
        <f t="shared" si="41"/>
        <v>-0.1616643735817519</v>
      </c>
      <c r="S299" s="275">
        <f t="shared" si="42"/>
        <v>-22987.599999999773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35"/>
        <v>PiècesVentes Détails</v>
      </c>
      <c r="B300" s="41" t="s">
        <v>180</v>
      </c>
      <c r="C300" s="252" t="s">
        <v>186</v>
      </c>
      <c r="D300" s="290">
        <f t="array" ref="D300">+SUMPRODUCT(('Budget original'!$A$8:$A$502=$A300)*('Budget original'!$C$3:$AO$3=D$2),'Budget original'!$C$8:$AO$502)</f>
        <v>128748.73971967766</v>
      </c>
      <c r="E300" s="352">
        <f t="shared" si="36"/>
        <v>0.28499999999999998</v>
      </c>
      <c r="F300" s="275">
        <f t="array" ref="F300">+SUMPRODUCT(('Budget original'!$A$8:$A$502=$A300)*('Budget original'!$C$3:$AO$3=F$2),'Budget original'!$C$8:$AO$502)</f>
        <v>36693.390820108129</v>
      </c>
      <c r="G300" s="290"/>
      <c r="H300" s="352"/>
      <c r="I300" s="275"/>
      <c r="J300" s="253">
        <f>-SUMIFS(BV_Data_An_Cour!$P:$P,BV_Data_An_Cour!$X:$X,"Oui",BV_Data_An_Cour!$U:$U,$B300,BV_Data_An_Cour!$V:$V,$C300)</f>
        <v>93908.31</v>
      </c>
      <c r="K300" s="352">
        <f t="shared" si="37"/>
        <v>0.31643088881058556</v>
      </c>
      <c r="L300" s="255">
        <f>-SUMIFS(BV_Data_An_Cour!$P:$P,BV_Data_An_Cour!$U:$U,$B300,BV_Data_An_Cour!$V:$V,$C300,BV_Data_An_Cour!$W:$W,$L$2)</f>
        <v>29715.489999999998</v>
      </c>
      <c r="M300" s="291">
        <f t="shared" si="38"/>
        <v>-0.27060792824485203</v>
      </c>
      <c r="N300" s="275">
        <f t="shared" si="39"/>
        <v>-6977.9008201081306</v>
      </c>
      <c r="O300" s="253">
        <f t="array" ref="O300">+SUMPRODUCT(('Réel 2024'!$A$8:$A$502=$A300)*('Réel 2024'!$C$3:$AO$3=O$2),'Réel 2024'!$C$8:$AO$502)</f>
        <v>119392.74</v>
      </c>
      <c r="P300" s="352">
        <f t="shared" si="40"/>
        <v>0.28769647132648063</v>
      </c>
      <c r="Q300" s="255">
        <f t="array" ref="Q300">+SUMPRODUCT(('Réel 2024'!$A$8:$A$502=$A300)*('Réel 2024'!$C$3:$AO$3=Q$2),'Réel 2024'!$C$8:$AO$502)</f>
        <v>34348.869999999959</v>
      </c>
      <c r="R300" s="291">
        <f t="shared" si="41"/>
        <v>-0.21345041582930424</v>
      </c>
      <c r="S300" s="275">
        <f t="shared" si="42"/>
        <v>-4633.379999999961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35"/>
        <v>PiècesVentes de Gros</v>
      </c>
      <c r="B301" s="41" t="s">
        <v>180</v>
      </c>
      <c r="C301" s="252" t="s">
        <v>187</v>
      </c>
      <c r="D301" s="290">
        <f t="array" ref="D301">+SUMPRODUCT(('Budget original'!$A$8:$A$502=$A301)*('Budget original'!$C$3:$AO$3=D$2),'Budget original'!$C$8:$AO$502)</f>
        <v>1148518.4244893598</v>
      </c>
      <c r="E301" s="352">
        <f t="shared" si="36"/>
        <v>0.13499999999999998</v>
      </c>
      <c r="F301" s="275">
        <f t="array" ref="F301">+SUMPRODUCT(('Budget original'!$A$8:$A$502=$A301)*('Budget original'!$C$3:$AO$3=F$2),'Budget original'!$C$8:$AO$502)</f>
        <v>155049.98730606356</v>
      </c>
      <c r="G301" s="290"/>
      <c r="H301" s="352"/>
      <c r="I301" s="275"/>
      <c r="J301" s="253">
        <f>-SUMIFS(BV_Data_An_Cour!$P:$P,BV_Data_An_Cour!$X:$X,"Oui",BV_Data_An_Cour!$U:$U,$B301,BV_Data_An_Cour!$V:$V,$C301)</f>
        <v>1510640.77</v>
      </c>
      <c r="K301" s="352">
        <f t="shared" si="37"/>
        <v>0.14320225184972332</v>
      </c>
      <c r="L301" s="255">
        <f>-SUMIFS(BV_Data_An_Cour!$P:$P,BV_Data_An_Cour!$U:$U,$B301,BV_Data_An_Cour!$V:$V,$C301,BV_Data_An_Cour!$W:$W,$L$2)</f>
        <v>216327.15999999997</v>
      </c>
      <c r="M301" s="291">
        <f t="shared" si="38"/>
        <v>0.31529519926651817</v>
      </c>
      <c r="N301" s="275">
        <f t="shared" si="39"/>
        <v>61277.172693936416</v>
      </c>
      <c r="O301" s="253">
        <f t="array" ref="O301">+SUMPRODUCT(('Réel 2024'!$A$8:$A$502=$A301)*('Réel 2024'!$C$3:$AO$3=O$2),'Réel 2024'!$C$8:$AO$502)</f>
        <v>1348594.2199999997</v>
      </c>
      <c r="P301" s="352">
        <f t="shared" si="40"/>
        <v>0.13523373991622137</v>
      </c>
      <c r="Q301" s="255">
        <f t="array" ref="Q301">+SUMPRODUCT(('Réel 2024'!$A$8:$A$502=$A301)*('Réel 2024'!$C$3:$AO$3=Q$2),'Réel 2024'!$C$8:$AO$502)</f>
        <v>182375.43999999939</v>
      </c>
      <c r="R301" s="291">
        <f t="shared" si="41"/>
        <v>0.12015960590428773</v>
      </c>
      <c r="S301" s="275">
        <f t="shared" si="42"/>
        <v>33951.720000000583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35"/>
        <v>Pièces[...]</v>
      </c>
      <c r="B302" s="41" t="s">
        <v>180</v>
      </c>
      <c r="C302" s="252" t="s">
        <v>59</v>
      </c>
      <c r="D302" s="290">
        <f t="array" ref="D302">+SUMPRODUCT(('Budget original'!$A$8:$A$502=$A302)*('Budget original'!$C$3:$AO$3=D$2),'Budget original'!$C$8:$AO$502)</f>
        <v>0</v>
      </c>
      <c r="E302" s="352">
        <f t="shared" si="36"/>
        <v>0</v>
      </c>
      <c r="F302" s="275">
        <f t="array" ref="F302">+SUMPRODUCT(('Budget original'!$A$8:$A$502=$A302)*('Budget original'!$C$3:$AO$3=F$2),'Budget original'!$C$8:$AO$502)</f>
        <v>0</v>
      </c>
      <c r="G302" s="290"/>
      <c r="H302" s="352"/>
      <c r="I302" s="275"/>
      <c r="J302" s="253">
        <f>-SUMIFS(BV_Data_An_Cour!$P:$P,BV_Data_An_Cour!$X:$X,"Oui",BV_Data_An_Cour!$U:$U,$B302,BV_Data_An_Cour!$V:$V,$C302)</f>
        <v>0</v>
      </c>
      <c r="K302" s="352">
        <f t="shared" si="37"/>
        <v>0</v>
      </c>
      <c r="L302" s="255">
        <f>-SUMIFS(BV_Data_An_Cour!$P:$P,BV_Data_An_Cour!$U:$U,$B302,BV_Data_An_Cour!$V:$V,$C302,BV_Data_An_Cour!$W:$W,$L$2)</f>
        <v>0</v>
      </c>
      <c r="M302" s="291" t="e">
        <f t="shared" si="38"/>
        <v>#DIV/0!</v>
      </c>
      <c r="N302" s="275">
        <f t="shared" si="39"/>
        <v>0</v>
      </c>
      <c r="O302" s="253">
        <f t="array" ref="O302">+SUMPRODUCT(('Réel 2024'!$A$8:$A$502=$A302)*('Réel 2024'!$C$3:$AO$3=O$2),'Réel 2024'!$C$8:$AO$502)</f>
        <v>0</v>
      </c>
      <c r="P302" s="352">
        <f t="shared" si="40"/>
        <v>0</v>
      </c>
      <c r="Q302" s="255">
        <f t="array" ref="Q302">+SUMPRODUCT(('Réel 2024'!$A$8:$A$502=$A302)*('Réel 2024'!$C$3:$AO$3=Q$2),'Réel 2024'!$C$8:$AO$502)</f>
        <v>0</v>
      </c>
      <c r="R302" s="291">
        <f t="shared" si="41"/>
        <v>0</v>
      </c>
      <c r="S302" s="275">
        <f t="shared" si="42"/>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35"/>
        <v>PiècesEscomptes</v>
      </c>
      <c r="B303" s="41" t="s">
        <v>180</v>
      </c>
      <c r="C303" s="252" t="s">
        <v>188</v>
      </c>
      <c r="D303" s="290">
        <f t="array" ref="D303">+SUMPRODUCT(('Budget original'!$A$8:$A$502=$A303)*('Budget original'!$C$3:$AO$3=D$2),'Budget original'!$C$8:$AO$502)</f>
        <v>0</v>
      </c>
      <c r="E303" s="352">
        <f t="shared" si="36"/>
        <v>0</v>
      </c>
      <c r="F303" s="275">
        <f t="array" ref="F303">+SUMPRODUCT(('Budget original'!$A$8:$A$502=$A303)*('Budget original'!$C$3:$AO$3=F$2),'Budget original'!$C$8:$AO$502)</f>
        <v>94933.459815398412</v>
      </c>
      <c r="G303" s="290"/>
      <c r="H303" s="352"/>
      <c r="I303" s="275"/>
      <c r="J303" s="253">
        <f>-SUMIFS(BV_Data_An_Cour!$P:$P,BV_Data_An_Cour!$X:$X,"Oui",BV_Data_An_Cour!$U:$U,$B303,BV_Data_An_Cour!$V:$V,$C303)</f>
        <v>0</v>
      </c>
      <c r="K303" s="352">
        <f t="shared" si="37"/>
        <v>0</v>
      </c>
      <c r="L303" s="255">
        <f>-SUMIFS(BV_Data_An_Cour!$P:$P,BV_Data_An_Cour!$U:$U,$B303,BV_Data_An_Cour!$V:$V,$C303,BV_Data_An_Cour!$W:$W,$L$2)</f>
        <v>75891.91</v>
      </c>
      <c r="M303" s="291"/>
      <c r="N303" s="275">
        <f t="shared" si="39"/>
        <v>-19041.549815398408</v>
      </c>
      <c r="O303" s="253">
        <f t="array" ref="O303">+SUMPRODUCT(('Réel 2024'!$A$8:$A$502=$A303)*('Réel 2024'!$C$3:$AO$3=O$2),'Réel 2024'!$C$8:$AO$502)</f>
        <v>0</v>
      </c>
      <c r="P303" s="352">
        <f t="shared" si="40"/>
        <v>0</v>
      </c>
      <c r="Q303" s="255">
        <f t="array" ref="Q303">+SUMPRODUCT(('Réel 2024'!$A$8:$A$502=$A303)*('Réel 2024'!$C$3:$AO$3=Q$2),'Réel 2024'!$C$8:$AO$502)</f>
        <v>58484.479999999981</v>
      </c>
      <c r="R303" s="291">
        <f t="shared" si="41"/>
        <v>0</v>
      </c>
      <c r="S303" s="275">
        <f t="shared" si="42"/>
        <v>17407.430000000022</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35"/>
        <v>PiècesRectif. Inventaire</v>
      </c>
      <c r="B304" s="41" t="s">
        <v>180</v>
      </c>
      <c r="C304" s="245" t="s">
        <v>189</v>
      </c>
      <c r="D304" s="290">
        <f t="array" ref="D304">+SUMPRODUCT(('Budget original'!$A$8:$A$502=$A304)*('Budget original'!$C$3:$AO$3=D$2),'Budget original'!$C$8:$AO$502)</f>
        <v>0</v>
      </c>
      <c r="E304" s="352">
        <f t="shared" si="36"/>
        <v>0</v>
      </c>
      <c r="F304" s="275">
        <f t="array" ref="F304">+SUMPRODUCT(('Budget original'!$A$8:$A$502=$A304)*('Budget original'!$C$3:$AO$3=F$2),'Budget original'!$C$8:$AO$502)</f>
        <v>0</v>
      </c>
      <c r="G304" s="290"/>
      <c r="H304" s="352"/>
      <c r="I304" s="275"/>
      <c r="J304" s="253">
        <f>-SUMIFS(BV_Data_An_Cour!$P:$P,BV_Data_An_Cour!$X:$X,"Oui",BV_Data_An_Cour!$U:$U,$B304,BV_Data_An_Cour!$V:$V,$C304)</f>
        <v>0</v>
      </c>
      <c r="K304" s="352">
        <f t="shared" si="37"/>
        <v>0</v>
      </c>
      <c r="L304" s="255">
        <f>-SUMIFS(BV_Data_An_Cour!$P:$P,BV_Data_An_Cour!$U:$U,$B304,BV_Data_An_Cour!$V:$V,$C304,BV_Data_An_Cour!$W:$W,$L$2)</f>
        <v>0</v>
      </c>
      <c r="M304" s="291"/>
      <c r="N304" s="275">
        <f t="shared" si="39"/>
        <v>0</v>
      </c>
      <c r="O304" s="253">
        <f t="array" ref="O304">+SUMPRODUCT(('Réel 2024'!$A$8:$A$502=$A304)*('Réel 2024'!$C$3:$AO$3=O$2),'Réel 2024'!$C$8:$AO$502)</f>
        <v>0</v>
      </c>
      <c r="P304" s="352">
        <f t="shared" si="40"/>
        <v>0</v>
      </c>
      <c r="Q304" s="255">
        <f t="array" ref="Q304">+SUMPRODUCT(('Réel 2024'!$A$8:$A$502=$A304)*('Réel 2024'!$C$3:$AO$3=Q$2),'Réel 2024'!$C$8:$AO$502)</f>
        <v>0</v>
      </c>
      <c r="R304" s="291">
        <f t="shared" si="41"/>
        <v>0</v>
      </c>
      <c r="S304" s="275">
        <f t="shared" si="42"/>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35"/>
        <v>PiècesSous-total Pièces</v>
      </c>
      <c r="B305" s="41" t="s">
        <v>180</v>
      </c>
      <c r="C305" s="269" t="s">
        <v>190</v>
      </c>
      <c r="D305" s="389">
        <f>SUM(D296:D304)</f>
        <v>3209532.8439570302</v>
      </c>
      <c r="E305" s="406">
        <f>IF(D305&lt;=0,0,F305/D305)</f>
        <v>0.26077471074379821</v>
      </c>
      <c r="F305" s="391">
        <f>SUM(F296:F304)</f>
        <v>836964.99900561466</v>
      </c>
      <c r="G305" s="389"/>
      <c r="H305" s="406"/>
      <c r="I305" s="391"/>
      <c r="J305" s="389">
        <f>SUM(J296:J304)</f>
        <v>3508147.93</v>
      </c>
      <c r="K305" s="406">
        <f t="shared" si="37"/>
        <v>0.24766991510531886</v>
      </c>
      <c r="L305" s="391">
        <f>SUM(L296:L304)</f>
        <v>868862.70000000007</v>
      </c>
      <c r="M305" s="407">
        <f>(+J305-D305)/D305</f>
        <v>9.3040046810927063E-2</v>
      </c>
      <c r="N305" s="391">
        <f t="shared" si="39"/>
        <v>31897.700994385406</v>
      </c>
      <c r="O305" s="389">
        <f>SUM(O296:O304)</f>
        <v>3148110.71</v>
      </c>
      <c r="P305" s="406">
        <f>IF(O305&lt;=0,0,Q305/O305)</f>
        <v>0.2353055525166072</v>
      </c>
      <c r="Q305" s="391">
        <f>SUM(Q296:Q304)</f>
        <v>740767.92999999854</v>
      </c>
      <c r="R305" s="407">
        <f t="shared" si="41"/>
        <v>0.11436612405540217</v>
      </c>
      <c r="S305" s="391">
        <f t="shared" si="42"/>
        <v>128094.77000000153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35"/>
        <v>Pièces</v>
      </c>
      <c r="B306" s="41" t="s">
        <v>180</v>
      </c>
      <c r="C306" s="252"/>
      <c r="D306" s="41"/>
      <c r="E306" s="41"/>
      <c r="F306" s="262"/>
      <c r="G306" s="252"/>
      <c r="H306" s="41"/>
      <c r="I306" s="262"/>
      <c r="J306" s="252"/>
      <c r="K306" s="41"/>
      <c r="L306" s="262"/>
      <c r="M306" s="252"/>
      <c r="N306" s="264">
        <f>N305/F305</f>
        <v>3.8111152834685531E-2</v>
      </c>
      <c r="O306" s="252"/>
      <c r="P306" s="41"/>
      <c r="Q306" s="262"/>
      <c r="R306" s="252"/>
      <c r="S306" s="264">
        <f>IF(Q305=0,0,S305/Q305)</f>
        <v>0.17292159232649526</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35"/>
        <v>Pièces</v>
      </c>
      <c r="B307" s="41" t="s">
        <v>180</v>
      </c>
      <c r="C307" s="245"/>
      <c r="D307" s="317"/>
      <c r="E307" s="317"/>
      <c r="F307" s="408"/>
      <c r="G307" s="245"/>
      <c r="H307" s="317"/>
      <c r="I307" s="408"/>
      <c r="J307" s="266"/>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35"/>
        <v>PiècesVentes Pneus</v>
      </c>
      <c r="B308" s="41" t="s">
        <v>180</v>
      </c>
      <c r="C308" s="252" t="s">
        <v>191</v>
      </c>
      <c r="D308" s="290">
        <f t="array" ref="D308">+SUMPRODUCT(('Budget original'!$A$8:$A$502=$A308)*('Budget original'!$C$3:$AO$3=D$2),'Budget original'!$C$8:$AO$502)</f>
        <v>284309.91234321048</v>
      </c>
      <c r="E308" s="352">
        <f>IF(D308=0,0,F308/D308)</f>
        <v>0.17100000000000004</v>
      </c>
      <c r="F308" s="316">
        <f t="array" ref="F308">+SUMPRODUCT(('Budget original'!$A$8:$A$502=$A308)*('Budget original'!$C$3:$AO$3=F$2),'Budget original'!$C$8:$AO$502)</f>
        <v>48616.995010689003</v>
      </c>
      <c r="G308" s="290"/>
      <c r="H308" s="352"/>
      <c r="I308" s="316"/>
      <c r="J308" s="253">
        <f>-SUMIFS(BV_Data_An_Cour!$P:$P,BV_Data_An_Cour!$X:$X,"Oui",BV_Data_An_Cour!$U:$U,$B308,BV_Data_An_Cour!$V:$V,$C308)</f>
        <v>347346.82</v>
      </c>
      <c r="K308" s="352">
        <f>IF(J308&lt;=0,0,L308/J308)</f>
        <v>0.18815436398697985</v>
      </c>
      <c r="L308" s="255">
        <f>-SUMIFS(BV_Data_An_Cour!$P:$P,BV_Data_An_Cour!$U:$U,$B308,BV_Data_An_Cour!$V:$V,$C308,BV_Data_An_Cour!$W:$W,$L$2)</f>
        <v>65354.819999999978</v>
      </c>
      <c r="M308" s="291">
        <f>(+J308-D308)/D308</f>
        <v>0.22171899367579292</v>
      </c>
      <c r="N308" s="275">
        <f>L308-F308</f>
        <v>16737.824989310975</v>
      </c>
      <c r="O308" s="253">
        <f t="array" ref="O308">+SUMPRODUCT(('Réel 2024'!$A$8:$A$502=$A308)*('Réel 2024'!$C$3:$AO$3=O$2),'Réel 2024'!$C$8:$AO$502)</f>
        <v>275780.79999999987</v>
      </c>
      <c r="P308" s="352">
        <f>IF(O308=0,0,Q308/O308)</f>
        <v>0.16271176238519863</v>
      </c>
      <c r="Q308" s="255">
        <f t="array" ref="Q308">+SUMPRODUCT(('Réel 2024'!$A$8:$A$502=$A308)*('Réel 2024'!$C$3:$AO$3=Q$2),'Réel 2024'!$C$8:$AO$502)</f>
        <v>44872.77999999997</v>
      </c>
      <c r="R308" s="291">
        <f>IF(O308=0,0,(J308-O308)/O308)</f>
        <v>0.25950327216398011</v>
      </c>
      <c r="S308" s="275">
        <f>L308-Q308</f>
        <v>20482.040000000008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35"/>
        <v>PiècesHuiles et Graisse</v>
      </c>
      <c r="B309" s="41" t="s">
        <v>180</v>
      </c>
      <c r="C309" s="245" t="s">
        <v>192</v>
      </c>
      <c r="D309" s="290">
        <f t="array" ref="D309">+SUMPRODUCT(('Budget original'!$A$8:$A$502=$A309)*('Budget original'!$C$3:$AO$3=D$2),'Budget original'!$C$8:$AO$502)</f>
        <v>143978.44582992091</v>
      </c>
      <c r="E309" s="352">
        <f>IF(D309=0,0,F309/D309)</f>
        <v>0.27000000000000007</v>
      </c>
      <c r="F309" s="295">
        <f t="array" ref="F309">+SUMPRODUCT(('Budget original'!$A$8:$A$502=$A309)*('Budget original'!$C$3:$AO$3=F$2),'Budget original'!$C$8:$AO$502)</f>
        <v>38874.180374078656</v>
      </c>
      <c r="G309" s="290"/>
      <c r="H309" s="352"/>
      <c r="I309" s="295"/>
      <c r="J309" s="253">
        <f>-SUMIFS(BV_Data_An_Cour!$P:$P,BV_Data_An_Cour!$X:$X,"Oui",BV_Data_An_Cour!$U:$U,$B309,BV_Data_An_Cour!$V:$V,$C309)</f>
        <v>139903.99</v>
      </c>
      <c r="K309" s="352">
        <f>IF(J309&lt;=0,0,L309/J309)</f>
        <v>0.27931590800233785</v>
      </c>
      <c r="L309" s="255">
        <f>-SUMIFS(BV_Data_An_Cour!$P:$P,BV_Data_An_Cour!$U:$U,$B309,BV_Data_An_Cour!$V:$V,$C309,BV_Data_An_Cour!$W:$W,$L$2)</f>
        <v>39077.409999999989</v>
      </c>
      <c r="M309" s="291">
        <f>(+J309-D309)/D309</f>
        <v>-2.8299068005873576E-2</v>
      </c>
      <c r="N309" s="275">
        <f>L309-F309</f>
        <v>203.22962592133263</v>
      </c>
      <c r="O309" s="253">
        <f t="array" ref="O309">+SUMPRODUCT(('Réel 2024'!$A$8:$A$502=$A309)*('Réel 2024'!$C$3:$AO$3=O$2),'Réel 2024'!$C$8:$AO$502)</f>
        <v>153680.75999999998</v>
      </c>
      <c r="P309" s="352">
        <f>IF(O309=0,0,Q309/O309)</f>
        <v>0.26764039948787333</v>
      </c>
      <c r="Q309" s="255">
        <f t="array" ref="Q309">+SUMPRODUCT(('Réel 2024'!$A$8:$A$502=$A309)*('Réel 2024'!$C$3:$AO$3=Q$2),'Réel 2024'!$C$8:$AO$502)</f>
        <v>41131.179999999978</v>
      </c>
      <c r="R309" s="291">
        <f>IF(O309=0,0,(J309-O309)/O309)</f>
        <v>-8.9645379161321107E-2</v>
      </c>
      <c r="S309" s="275">
        <f>L309-Q309</f>
        <v>-2053.7699999999895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35"/>
        <v>PiècesSous-total Pièces et Acc.</v>
      </c>
      <c r="B310" s="41" t="s">
        <v>180</v>
      </c>
      <c r="C310" s="269" t="s">
        <v>193</v>
      </c>
      <c r="D310" s="389">
        <f>D305+D308+D309</f>
        <v>3637821.2021301617</v>
      </c>
      <c r="E310" s="406">
        <f>IF(D310&lt;=0,0,F310/D310)</f>
        <v>0.254123587450933</v>
      </c>
      <c r="F310" s="391">
        <f>F305+F308+F309</f>
        <v>924456.17439038237</v>
      </c>
      <c r="G310" s="392"/>
      <c r="H310" s="406"/>
      <c r="I310" s="391"/>
      <c r="J310" s="392">
        <f>J305+J308+J309</f>
        <v>3995398.74</v>
      </c>
      <c r="K310" s="406">
        <f>IF(J310&lt;=0,0,L310/J310)</f>
        <v>0.24360395378209485</v>
      </c>
      <c r="L310" s="391">
        <f>L305+L308+L309</f>
        <v>973294.93</v>
      </c>
      <c r="M310" s="407">
        <f>(+J310-D310)/D310</f>
        <v>9.8294423502852613E-2</v>
      </c>
      <c r="N310" s="391">
        <f>L310-F310</f>
        <v>48838.755609617685</v>
      </c>
      <c r="O310" s="392">
        <f>O305+O308+O309</f>
        <v>3577572.2699999996</v>
      </c>
      <c r="P310" s="406">
        <f>IF(O310&lt;=0,0,Q310/O310)</f>
        <v>0.23109858518665191</v>
      </c>
      <c r="Q310" s="391">
        <f>Q305+Q308+Q309</f>
        <v>826771.8899999985</v>
      </c>
      <c r="R310" s="407">
        <f>IF(O310=0,0,(J310-O310)/O310)</f>
        <v>0.11679050441656087</v>
      </c>
      <c r="S310" s="391">
        <f>L310-Q310</f>
        <v>146523.04000000155</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35"/>
        <v>Pièces</v>
      </c>
      <c r="B311" s="41" t="s">
        <v>180</v>
      </c>
      <c r="C311" s="252"/>
      <c r="D311" s="41"/>
      <c r="E311" s="41"/>
      <c r="F311" s="262"/>
      <c r="G311" s="252"/>
      <c r="H311" s="41"/>
      <c r="I311" s="262"/>
      <c r="J311" s="252"/>
      <c r="K311" s="41"/>
      <c r="L311" s="262"/>
      <c r="M311" s="252"/>
      <c r="N311" s="264">
        <f>N310/F310</f>
        <v>5.2829714336456904E-2</v>
      </c>
      <c r="O311" s="252"/>
      <c r="P311" s="41"/>
      <c r="Q311" s="262"/>
      <c r="R311" s="252"/>
      <c r="S311" s="264">
        <f>IF(Q310=0,0,S310/Q310)</f>
        <v>0.17722305483801803</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35"/>
        <v>Pièces</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35"/>
        <v>PiècesAutostock</v>
      </c>
      <c r="B313" s="41" t="s">
        <v>180</v>
      </c>
      <c r="C313" s="245" t="s">
        <v>194</v>
      </c>
      <c r="D313" s="293">
        <f t="array" ref="D313">+SUMPRODUCT(('Budget original'!$A$8:$A$502=$A313)*('Budget original'!$C$3:$AO$3=D$2),'Budget original'!$C$8:$AO$502)</f>
        <v>0</v>
      </c>
      <c r="E313" s="353">
        <f>IF(D313=0,0,F313/D313)</f>
        <v>0</v>
      </c>
      <c r="F313" s="295">
        <f t="array" ref="F313">+SUMPRODUCT(('Budget original'!$A$8:$A$502=$A313)*('Budget original'!$C$3:$AO$3=F$2),'Budget original'!$C$8:$AO$502)</f>
        <v>0</v>
      </c>
      <c r="G313" s="364"/>
      <c r="H313" s="353"/>
      <c r="I313" s="295"/>
      <c r="J313" s="266">
        <f>-SUMIFS(BV_Data_An_Cour!$P:$P,BV_Data_An_Cour!$X:$X,"Oui",BV_Data_An_Cour!$U:$U,$B313,BV_Data_An_Cour!$V:$V,$C313)</f>
        <v>0</v>
      </c>
      <c r="K313" s="353">
        <f>IF(J313&lt;=0,0,L313/J313)</f>
        <v>0</v>
      </c>
      <c r="L313" s="247">
        <f>-SUMIFS(BV_Data_An_Cour!$P:$P,BV_Data_An_Cour!$U:$U,$B313,BV_Data_An_Cour!$V:$V,$C313,BV_Data_An_Cour!$W:$W,$L$2)</f>
        <v>0</v>
      </c>
      <c r="M313" s="353">
        <f>IF(F313=0,0,(+L313-F313)/F313)</f>
        <v>0</v>
      </c>
      <c r="N313" s="295">
        <f>L313-F313</f>
        <v>0</v>
      </c>
      <c r="O313" s="266">
        <f t="array" ref="O313">+SUMPRODUCT(('Réel 2024'!$A$8:$A$502=$A313)*('Réel 2024'!$C$3:$AO$3=O$2),'Réel 2024'!$C$8:$AO$502)</f>
        <v>0</v>
      </c>
      <c r="P313" s="353">
        <f>IF(O313=0,0,Q313/O313)</f>
        <v>0</v>
      </c>
      <c r="Q313" s="247">
        <f t="array" ref="Q313">+SUMPRODUCT(('Réel 2024'!$A$8:$A$502=$A313)*('Réel 2024'!$C$3:$AO$3=Q$2),'Réel 2024'!$C$8:$AO$502)</f>
        <v>0</v>
      </c>
      <c r="R313" s="353">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35"/>
        <v>Pièces</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35"/>
        <v>PiècesTotal Dépt. Pièces</v>
      </c>
      <c r="B315" s="41" t="s">
        <v>180</v>
      </c>
      <c r="C315" s="277" t="s">
        <v>195</v>
      </c>
      <c r="D315" s="278">
        <f>D310+D313</f>
        <v>3637821.2021301617</v>
      </c>
      <c r="E315" s="409">
        <f>IF(D315&lt;=0,0,F315/D315)</f>
        <v>0.254123587450933</v>
      </c>
      <c r="F315" s="280">
        <f>F310+F313</f>
        <v>924456.17439038237</v>
      </c>
      <c r="G315" s="281"/>
      <c r="H315" s="409"/>
      <c r="I315" s="280"/>
      <c r="J315" s="281">
        <f>J310+J313</f>
        <v>3995398.74</v>
      </c>
      <c r="K315" s="409">
        <f>IF(J315&lt;=0,0,L315/J315)</f>
        <v>0.24360395378209485</v>
      </c>
      <c r="L315" s="280">
        <f>L310+L313</f>
        <v>973294.93</v>
      </c>
      <c r="M315" s="410">
        <f>(+J315-D315)/D315</f>
        <v>9.8294423502852613E-2</v>
      </c>
      <c r="N315" s="411">
        <f>L315-F315</f>
        <v>48838.755609617685</v>
      </c>
      <c r="O315" s="281">
        <f>O310+O313</f>
        <v>3577572.2699999996</v>
      </c>
      <c r="P315" s="409">
        <f>IF(O315&lt;=0,0,Q315/O315)</f>
        <v>0.23109858518665191</v>
      </c>
      <c r="Q315" s="280">
        <f>Q310+Q313</f>
        <v>826771.8899999985</v>
      </c>
      <c r="R315" s="410">
        <f>IF(O315=0,0,(J315-O315)/O315)</f>
        <v>0.11679050441656087</v>
      </c>
      <c r="S315" s="411">
        <f>L315-Q315</f>
        <v>146523.04000000155</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35"/>
        <v>Pièces</v>
      </c>
      <c r="B316" s="41" t="s">
        <v>180</v>
      </c>
      <c r="C316" s="331"/>
      <c r="D316" s="412"/>
      <c r="E316" s="413"/>
      <c r="F316" s="334"/>
      <c r="G316" s="414"/>
      <c r="H316" s="413"/>
      <c r="I316" s="334"/>
      <c r="J316" s="414"/>
      <c r="K316" s="413"/>
      <c r="L316" s="334"/>
      <c r="M316" s="415"/>
      <c r="N316" s="286">
        <f>N315/F315</f>
        <v>5.2829714336456904E-2</v>
      </c>
      <c r="O316" s="414"/>
      <c r="P316" s="413"/>
      <c r="Q316" s="334"/>
      <c r="R316" s="415"/>
      <c r="S316" s="286">
        <f>IF(Q315=0,0,S315/Q315)</f>
        <v>0.17722305483801803</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35"/>
        <v>Pièces</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35"/>
        <v>PiècesDEPENSES</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35"/>
        <v>PiècesSalaires cadres</v>
      </c>
      <c r="B319" s="41" t="s">
        <v>180</v>
      </c>
      <c r="C319" s="311" t="s">
        <v>120</v>
      </c>
      <c r="D319" s="41"/>
      <c r="E319" s="41"/>
      <c r="F319" s="253">
        <f t="array" ref="F319">+SUMPRODUCT(('Budget original'!$A$8:$A$502=$A319)*('Budget original'!$C$3:$AO$3=F$2),'Budget original'!$C$8:$AO$502)</f>
        <v>37346.047435897439</v>
      </c>
      <c r="G319" s="252"/>
      <c r="H319" s="41"/>
      <c r="I319" s="253"/>
      <c r="J319" s="252"/>
      <c r="K319" s="41"/>
      <c r="L319" s="255">
        <f>SUMIFS(BV_Data_An_Cour!$P:$P,BV_Data_An_Cour!$U:$U,$B319,BV_Data_An_Cour!$V:$V,$C319,BV_Data_An_Cour!$W:$W,$L$2)</f>
        <v>43834.99</v>
      </c>
      <c r="M319" s="252"/>
      <c r="N319" s="275">
        <f t="shared" ref="N319:N349" si="43">L319-F319</f>
        <v>6488.9425641025591</v>
      </c>
      <c r="O319" s="252"/>
      <c r="P319" s="41"/>
      <c r="Q319" s="255">
        <f t="array" ref="Q319">+SUMPRODUCT(('Réel 2024'!$A$8:$A$502=$A319)*('Réel 2024'!$C$3:$AO$3=Q$2),'Réel 2024'!$C$8:$AO$502)</f>
        <v>64368.52</v>
      </c>
      <c r="R319" s="252"/>
      <c r="S319" s="255">
        <f t="shared" ref="S319:S349" si="44">L319-Q319</f>
        <v>-20533.53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35"/>
        <v>PiècesSalaires commis</v>
      </c>
      <c r="B320" s="41" t="s">
        <v>180</v>
      </c>
      <c r="C320" s="312" t="s">
        <v>121</v>
      </c>
      <c r="D320" s="296"/>
      <c r="E320" s="41"/>
      <c r="F320" s="247">
        <f t="array" ref="F320">+SUMPRODUCT(('Budget original'!$A$8:$A$502=$A320)*('Budget original'!$C$3:$AO$3=F$2),'Budget original'!$C$8:$AO$502)</f>
        <v>219958.71783736406</v>
      </c>
      <c r="G320" s="297"/>
      <c r="H320" s="41"/>
      <c r="I320" s="247"/>
      <c r="J320" s="252"/>
      <c r="K320" s="41"/>
      <c r="L320" s="255">
        <f>SUMIFS(BV_Data_An_Cour!$P:$P,BV_Data_An_Cour!$U:$U,$B320,BV_Data_An_Cour!$V:$V,$C320,BV_Data_An_Cour!$W:$W,$L$2)</f>
        <v>180986.83</v>
      </c>
      <c r="M320" s="252"/>
      <c r="N320" s="275">
        <f t="shared" si="43"/>
        <v>-38971.887837364076</v>
      </c>
      <c r="O320" s="252"/>
      <c r="P320" s="41"/>
      <c r="Q320" s="255">
        <f t="array" ref="Q320">+SUMPRODUCT(('Réel 2024'!$A$8:$A$502=$A320)*('Réel 2024'!$C$3:$AO$3=Q$2),'Réel 2024'!$C$8:$AO$502)</f>
        <v>180336.34000000003</v>
      </c>
      <c r="R320" s="252"/>
      <c r="S320" s="275">
        <f t="shared" si="44"/>
        <v>650.48999999996158</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35"/>
        <v>PiècesSalaires autres</v>
      </c>
      <c r="B321" s="41" t="s">
        <v>180</v>
      </c>
      <c r="C321" s="311" t="s">
        <v>122</v>
      </c>
      <c r="D321" s="313"/>
      <c r="E321" s="314"/>
      <c r="F321" s="253">
        <f t="array" ref="F321">+SUMPRODUCT(('Budget original'!$A$8:$A$502=$A321)*('Budget original'!$C$3:$AO$3=F$2),'Budget original'!$C$8:$AO$502)</f>
        <v>151.93333333333334</v>
      </c>
      <c r="G321" s="315"/>
      <c r="H321" s="314"/>
      <c r="I321" s="253"/>
      <c r="J321" s="240"/>
      <c r="K321" s="314"/>
      <c r="L321" s="271">
        <f>SUMIFS(BV_Data_An_Cour!$P:$P,BV_Data_An_Cour!$U:$U,$B321,BV_Data_An_Cour!$V:$V,$C321,BV_Data_An_Cour!$W:$W,$L$2)</f>
        <v>39080.160000000003</v>
      </c>
      <c r="M321" s="240"/>
      <c r="N321" s="316">
        <f t="shared" si="43"/>
        <v>38928.226666666669</v>
      </c>
      <c r="O321" s="240"/>
      <c r="P321" s="314"/>
      <c r="Q321" s="271">
        <f t="array" ref="Q321">+SUMPRODUCT(('Réel 2024'!$A$8:$A$502=$A321)*('Réel 2024'!$C$3:$AO$3=Q$2),'Réel 2024'!$C$8:$AO$502)</f>
        <v>797.43999999999994</v>
      </c>
      <c r="R321" s="240"/>
      <c r="S321" s="316">
        <f t="shared" si="44"/>
        <v>38282.720000000001</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35"/>
        <v>PiècesSalaires spécialistes</v>
      </c>
      <c r="B322" s="41" t="s">
        <v>180</v>
      </c>
      <c r="C322" s="311" t="s">
        <v>123</v>
      </c>
      <c r="D322" s="296"/>
      <c r="E322" s="41"/>
      <c r="F322" s="253">
        <f t="array" ref="F322">+SUMPRODUCT(('Budget original'!$A$8:$A$502=$A322)*('Budget original'!$C$3:$AO$3=F$2),'Budget original'!$C$8:$AO$502)</f>
        <v>0</v>
      </c>
      <c r="G322" s="297"/>
      <c r="H322" s="41"/>
      <c r="I322" s="253"/>
      <c r="J322" s="252"/>
      <c r="K322" s="41"/>
      <c r="L322" s="255">
        <f>SUMIFS(BV_Data_An_Cour!$P:$P,BV_Data_An_Cour!$U:$U,$B322,BV_Data_An_Cour!$V:$V,$C322,BV_Data_An_Cour!$W:$W,$L$2)</f>
        <v>0</v>
      </c>
      <c r="M322" s="252"/>
      <c r="N322" s="275">
        <f t="shared" si="43"/>
        <v>0</v>
      </c>
      <c r="O322" s="252"/>
      <c r="P322" s="41"/>
      <c r="Q322" s="255">
        <f t="array" ref="Q322">+SUMPRODUCT(('Réel 2024'!$A$8:$A$502=$A322)*('Réel 2024'!$C$3:$AO$3=Q$2),'Réel 2024'!$C$8:$AO$502)</f>
        <v>0</v>
      </c>
      <c r="R322" s="252"/>
      <c r="S322" s="275">
        <f t="shared" si="44"/>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35"/>
        <v>Pièces[...]</v>
      </c>
      <c r="B323" s="41" t="s">
        <v>180</v>
      </c>
      <c r="C323" s="252" t="s">
        <v>59</v>
      </c>
      <c r="D323" s="296"/>
      <c r="E323" s="41"/>
      <c r="F323" s="253">
        <f t="array" ref="F323">+SUMPRODUCT(('Budget original'!$A$8:$A$502=$A323)*('Budget original'!$C$3:$AO$3=F$2),'Budget original'!$C$8:$AO$502)</f>
        <v>0</v>
      </c>
      <c r="G323" s="297"/>
      <c r="H323" s="41"/>
      <c r="I323" s="253"/>
      <c r="J323" s="252"/>
      <c r="K323" s="41"/>
      <c r="L323" s="255">
        <f>SUMIFS(BV_Data_An_Cour!$P:$P,BV_Data_An_Cour!$U:$U,$B323,BV_Data_An_Cour!$V:$V,$C323,BV_Data_An_Cour!$W:$W,$L$2)</f>
        <v>0</v>
      </c>
      <c r="M323" s="252"/>
      <c r="N323" s="275">
        <f t="shared" si="43"/>
        <v>0</v>
      </c>
      <c r="O323" s="252"/>
      <c r="P323" s="41"/>
      <c r="Q323" s="255">
        <f t="array" ref="Q323">+SUMPRODUCT(('Réel 2024'!$A$8:$A$502=$A323)*('Réel 2024'!$C$3:$AO$3=Q$2),'Réel 2024'!$C$8:$AO$502)</f>
        <v>0</v>
      </c>
      <c r="R323" s="252"/>
      <c r="S323" s="275">
        <f t="shared" si="44"/>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35"/>
        <v>Pièces[...]</v>
      </c>
      <c r="B324" s="41" t="s">
        <v>180</v>
      </c>
      <c r="C324" s="252" t="s">
        <v>59</v>
      </c>
      <c r="D324" s="296"/>
      <c r="E324" s="41"/>
      <c r="F324" s="253">
        <f t="array" ref="F324">+SUMPRODUCT(('Budget original'!$A$8:$A$502=$A324)*('Budget original'!$C$3:$AO$3=F$2),'Budget original'!$C$8:$AO$502)</f>
        <v>0</v>
      </c>
      <c r="G324" s="297"/>
      <c r="H324" s="41"/>
      <c r="I324" s="253"/>
      <c r="J324" s="252"/>
      <c r="K324" s="41"/>
      <c r="L324" s="255">
        <f>SUMIFS(BV_Data_An_Cour!$P:$P,BV_Data_An_Cour!$U:$U,$B324,BV_Data_An_Cour!$V:$V,$C324,BV_Data_An_Cour!$W:$W,$L$2)</f>
        <v>0</v>
      </c>
      <c r="M324" s="252"/>
      <c r="N324" s="275">
        <f t="shared" si="43"/>
        <v>0</v>
      </c>
      <c r="O324" s="252"/>
      <c r="P324" s="41"/>
      <c r="Q324" s="255">
        <f t="array" ref="Q324">+SUMPRODUCT(('Réel 2024'!$A$8:$A$502=$A324)*('Réel 2024'!$C$3:$AO$3=Q$2),'Réel 2024'!$C$8:$AO$502)</f>
        <v>0</v>
      </c>
      <c r="R324" s="252"/>
      <c r="S324" s="275">
        <f t="shared" si="44"/>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35"/>
        <v>Pièces[...]</v>
      </c>
      <c r="B325" s="41" t="s">
        <v>180</v>
      </c>
      <c r="C325" s="252" t="s">
        <v>59</v>
      </c>
      <c r="D325" s="296"/>
      <c r="E325" s="41"/>
      <c r="F325" s="253">
        <f t="array" ref="F325">+SUMPRODUCT(('Budget original'!$A$8:$A$502=$A325)*('Budget original'!$C$3:$AO$3=F$2),'Budget original'!$C$8:$AO$502)</f>
        <v>0</v>
      </c>
      <c r="G325" s="297"/>
      <c r="H325" s="41"/>
      <c r="I325" s="253"/>
      <c r="J325" s="252"/>
      <c r="K325" s="41"/>
      <c r="L325" s="255">
        <f>SUMIFS(BV_Data_An_Cour!$P:$P,BV_Data_An_Cour!$U:$U,$B325,BV_Data_An_Cour!$V:$V,$C325,BV_Data_An_Cour!$W:$W,$L$2)</f>
        <v>0</v>
      </c>
      <c r="M325" s="252"/>
      <c r="N325" s="275">
        <f t="shared" si="43"/>
        <v>0</v>
      </c>
      <c r="O325" s="252"/>
      <c r="P325" s="41"/>
      <c r="Q325" s="255">
        <f t="array" ref="Q325">+SUMPRODUCT(('Réel 2024'!$A$8:$A$502=$A325)*('Réel 2024'!$C$3:$AO$3=Q$2),'Réel 2024'!$C$8:$AO$502)</f>
        <v>0</v>
      </c>
      <c r="R325" s="252"/>
      <c r="S325" s="275">
        <f t="shared" si="44"/>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35"/>
        <v>PiècesSalaires en absences</v>
      </c>
      <c r="B326" s="41" t="s">
        <v>180</v>
      </c>
      <c r="C326" s="312" t="s">
        <v>124</v>
      </c>
      <c r="D326" s="296"/>
      <c r="E326" s="41"/>
      <c r="F326" s="247">
        <f t="array" ref="F326">+SUMPRODUCT(('Budget original'!$A$8:$A$502=$A326)*('Budget original'!$C$3:$AO$3=F$2),'Budget original'!$C$8:$AO$502)</f>
        <v>31443.651628194668</v>
      </c>
      <c r="G326" s="297"/>
      <c r="H326" s="41"/>
      <c r="I326" s="247"/>
      <c r="J326" s="252"/>
      <c r="K326" s="41"/>
      <c r="L326" s="255">
        <f>SUMIFS(BV_Data_An_Cour!$P:$P,BV_Data_An_Cour!$U:$U,$B326,BV_Data_An_Cour!$V:$V,$C326,BV_Data_An_Cour!$W:$W,$L$2)</f>
        <v>30813.41</v>
      </c>
      <c r="M326" s="252"/>
      <c r="N326" s="275">
        <f t="shared" si="43"/>
        <v>-630.24162819466801</v>
      </c>
      <c r="O326" s="252"/>
      <c r="P326" s="41"/>
      <c r="Q326" s="255">
        <f t="array" ref="Q326">+SUMPRODUCT(('Réel 2024'!$A$8:$A$502=$A326)*('Réel 2024'!$C$3:$AO$3=Q$2),'Réel 2024'!$C$8:$AO$502)</f>
        <v>28513.910000000003</v>
      </c>
      <c r="R326" s="252"/>
      <c r="S326" s="275">
        <f t="shared" si="44"/>
        <v>2299.4999999999964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35"/>
        <v>PiècesDéduction à la source</v>
      </c>
      <c r="B327" s="41" t="s">
        <v>180</v>
      </c>
      <c r="C327" s="311" t="s">
        <v>125</v>
      </c>
      <c r="D327" s="313"/>
      <c r="E327" s="314"/>
      <c r="F327" s="253">
        <f t="array" ref="F327">+SUMPRODUCT(('Budget original'!$A$8:$A$502=$A327)*('Budget original'!$C$3:$AO$3=F$2),'Budget original'!$C$8:$AO$502)</f>
        <v>38231.047794633167</v>
      </c>
      <c r="G327" s="315"/>
      <c r="H327" s="314"/>
      <c r="I327" s="253"/>
      <c r="J327" s="240"/>
      <c r="K327" s="314"/>
      <c r="L327" s="271">
        <f>SUMIFS(BV_Data_An_Cour!$P:$P,BV_Data_An_Cour!$U:$U,$B327,BV_Data_An_Cour!$V:$V,$C327,BV_Data_An_Cour!$W:$W,$L$2)</f>
        <v>36264.32</v>
      </c>
      <c r="M327" s="240"/>
      <c r="N327" s="316">
        <f t="shared" si="43"/>
        <v>-1966.7277946331669</v>
      </c>
      <c r="O327" s="240"/>
      <c r="P327" s="314"/>
      <c r="Q327" s="271">
        <f t="array" ref="Q327">+SUMPRODUCT(('Réel 2024'!$A$8:$A$502=$A327)*('Réel 2024'!$C$3:$AO$3=Q$2),'Réel 2024'!$C$8:$AO$502)</f>
        <v>48286.14</v>
      </c>
      <c r="R327" s="240"/>
      <c r="S327" s="316">
        <f t="shared" si="44"/>
        <v>-12021.82</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35"/>
        <v>PiècesBénéfices marginaux</v>
      </c>
      <c r="B328" s="41" t="s">
        <v>180</v>
      </c>
      <c r="C328" s="311" t="s">
        <v>126</v>
      </c>
      <c r="D328" s="296"/>
      <c r="E328" s="41"/>
      <c r="F328" s="253">
        <f t="array" ref="F328">+SUMPRODUCT(('Budget original'!$A$8:$A$502=$A328)*('Budget original'!$C$3:$AO$3=F$2),'Budget original'!$C$8:$AO$502)</f>
        <v>19697.300711582739</v>
      </c>
      <c r="G328" s="297"/>
      <c r="H328" s="41"/>
      <c r="I328" s="253"/>
      <c r="J328" s="252"/>
      <c r="K328" s="41"/>
      <c r="L328" s="255">
        <f>SUMIFS(BV_Data_An_Cour!$P:$P,BV_Data_An_Cour!$U:$U,$B328,BV_Data_An_Cour!$V:$V,$C328,BV_Data_An_Cour!$W:$W,$L$2)</f>
        <v>12631.97</v>
      </c>
      <c r="M328" s="252"/>
      <c r="N328" s="275">
        <f t="shared" si="43"/>
        <v>-7065.3307115827392</v>
      </c>
      <c r="O328" s="252"/>
      <c r="P328" s="41"/>
      <c r="Q328" s="255">
        <f t="array" ref="Q328">+SUMPRODUCT(('Réel 2024'!$A$8:$A$502=$A328)*('Réel 2024'!$C$3:$AO$3=Q$2),'Réel 2024'!$C$8:$AO$502)</f>
        <v>8100.68</v>
      </c>
      <c r="R328" s="252"/>
      <c r="S328" s="275">
        <f t="shared" si="44"/>
        <v>4531.2899999999991</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35"/>
        <v>PiècesCsst</v>
      </c>
      <c r="B329" s="41" t="s">
        <v>180</v>
      </c>
      <c r="C329" s="311" t="s">
        <v>127</v>
      </c>
      <c r="D329" s="296"/>
      <c r="E329" s="41"/>
      <c r="F329" s="253">
        <f t="array" ref="F329">+SUMPRODUCT(('Budget original'!$A$8:$A$502=$A329)*('Budget original'!$C$3:$AO$3=F$2),'Budget original'!$C$8:$AO$502)</f>
        <v>8588.1339248813638</v>
      </c>
      <c r="G329" s="297"/>
      <c r="H329" s="41"/>
      <c r="I329" s="253"/>
      <c r="J329" s="252"/>
      <c r="K329" s="41"/>
      <c r="L329" s="255">
        <f>SUMIFS(BV_Data_An_Cour!$P:$P,BV_Data_An_Cour!$U:$U,$B329,BV_Data_An_Cour!$V:$V,$C329,BV_Data_An_Cour!$W:$W,$L$2)</f>
        <v>9144.15</v>
      </c>
      <c r="M329" s="252"/>
      <c r="N329" s="275">
        <f t="shared" si="43"/>
        <v>556.01607511863585</v>
      </c>
      <c r="O329" s="252"/>
      <c r="P329" s="41"/>
      <c r="Q329" s="255">
        <f t="array" ref="Q329">+SUMPRODUCT(('Réel 2024'!$A$8:$A$502=$A329)*('Réel 2024'!$C$3:$AO$3=Q$2),'Réel 2024'!$C$8:$AO$502)</f>
        <v>8940.93</v>
      </c>
      <c r="R329" s="252"/>
      <c r="S329" s="275">
        <f t="shared" si="44"/>
        <v>203.21999999999935</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35"/>
        <v>Pièces[...]</v>
      </c>
      <c r="B330" s="41" t="s">
        <v>180</v>
      </c>
      <c r="C330" s="252" t="s">
        <v>59</v>
      </c>
      <c r="D330" s="298"/>
      <c r="E330" s="317"/>
      <c r="F330" s="253">
        <f t="array" ref="F330">+SUMPRODUCT(('Budget original'!$A$8:$A$502=$A330)*('Budget original'!$C$3:$AO$3=F$2),'Budget original'!$C$8:$AO$502)</f>
        <v>0</v>
      </c>
      <c r="G330" s="299"/>
      <c r="H330" s="317"/>
      <c r="I330" s="253"/>
      <c r="J330" s="245"/>
      <c r="K330" s="317"/>
      <c r="L330" s="255">
        <f>SUMIFS(BV_Data_An_Cour!$P:$P,BV_Data_An_Cour!$U:$U,$B330,BV_Data_An_Cour!$V:$V,$C330,BV_Data_An_Cour!$W:$W,$L$2)</f>
        <v>0</v>
      </c>
      <c r="M330" s="245"/>
      <c r="N330" s="295">
        <f t="shared" si="43"/>
        <v>0</v>
      </c>
      <c r="O330" s="245"/>
      <c r="P330" s="317"/>
      <c r="Q330" s="255">
        <f t="array" ref="Q330">+SUMPRODUCT(('Réel 2024'!$A$8:$A$502=$A330)*('Réel 2024'!$C$3:$AO$3=Q$2),'Réel 2024'!$C$8:$AO$502)</f>
        <v>0</v>
      </c>
      <c r="R330" s="245"/>
      <c r="S330" s="295">
        <f t="shared" si="44"/>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35"/>
        <v>PiècesTOTAL PERSONNEL</v>
      </c>
      <c r="B331" s="41" t="s">
        <v>180</v>
      </c>
      <c r="C331" s="303" t="s">
        <v>128</v>
      </c>
      <c r="D331" s="304" t="s">
        <v>119</v>
      </c>
      <c r="E331" s="305">
        <f>F331/F$315</f>
        <v>0.38446044551572234</v>
      </c>
      <c r="F331" s="306">
        <f>+SUM(F319:F330)</f>
        <v>355416.83266588673</v>
      </c>
      <c r="G331" s="307"/>
      <c r="H331" s="305"/>
      <c r="I331" s="306"/>
      <c r="J331" s="307" t="s">
        <v>119</v>
      </c>
      <c r="K331" s="305">
        <f>L331/L$315</f>
        <v>0.36243467332147711</v>
      </c>
      <c r="L331" s="306">
        <f>+SUM(L319:L330)</f>
        <v>352755.82999999996</v>
      </c>
      <c r="M331" s="354"/>
      <c r="N331" s="319">
        <f t="shared" si="43"/>
        <v>-2661.0026658867719</v>
      </c>
      <c r="O331" s="307" t="s">
        <v>119</v>
      </c>
      <c r="P331" s="305">
        <f>Q331/Q$315</f>
        <v>0.41044448185097421</v>
      </c>
      <c r="Q331" s="306">
        <f>+SUM(Q319:Q330)</f>
        <v>339343.96</v>
      </c>
      <c r="R331" s="354"/>
      <c r="S331" s="319">
        <f t="shared" si="44"/>
        <v>13411.869999999937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35"/>
        <v>PiècesPublicité 2</v>
      </c>
      <c r="B332" s="41" t="s">
        <v>180</v>
      </c>
      <c r="C332" s="405" t="s">
        <v>129</v>
      </c>
      <c r="D332" s="296"/>
      <c r="E332" s="41"/>
      <c r="F332" s="253">
        <f t="array" ref="F332">+SUMPRODUCT(('Budget original'!$A$8:$A$502=$A332)*('Budget original'!$C$3:$AO$3=F$2),'Budget original'!$C$8:$AO$502)</f>
        <v>47181.25</v>
      </c>
      <c r="G332" s="297"/>
      <c r="H332" s="41"/>
      <c r="I332" s="253"/>
      <c r="J332" s="252"/>
      <c r="K332" s="41"/>
      <c r="L332" s="255">
        <f>SUMIFS(BV_Data_An_Cour!$P:$P,BV_Data_An_Cour!$U:$U,$B332,BV_Data_An_Cour!$V:$V,$C332,BV_Data_An_Cour!$W:$W,$L$2)</f>
        <v>29933.15</v>
      </c>
      <c r="M332" s="252"/>
      <c r="N332" s="275">
        <f t="shared" si="43"/>
        <v>-17248.099999999999</v>
      </c>
      <c r="O332" s="252"/>
      <c r="P332" s="41"/>
      <c r="Q332" s="255">
        <f t="array" ref="Q332">+SUMPRODUCT(('Réel 2024'!$A$8:$A$502=$A332)*('Réel 2024'!$C$3:$AO$3=Q$2),'Réel 2024'!$C$8:$AO$502)</f>
        <v>39949.94</v>
      </c>
      <c r="R332" s="252"/>
      <c r="S332" s="275">
        <f t="shared" si="44"/>
        <v>-10016.790000000001</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35"/>
        <v>PiècesService gratuit 2</v>
      </c>
      <c r="B333" s="41" t="s">
        <v>180</v>
      </c>
      <c r="C333" s="311" t="s">
        <v>130</v>
      </c>
      <c r="D333" s="296"/>
      <c r="E333" s="41"/>
      <c r="F333" s="253">
        <f t="array" ref="F333">+SUMPRODUCT(('Budget original'!$A$8:$A$502=$A333)*('Budget original'!$C$3:$AO$3=F$2),'Budget original'!$C$8:$AO$502)</f>
        <v>3930.6804474099913</v>
      </c>
      <c r="G333" s="297"/>
      <c r="H333" s="41"/>
      <c r="I333" s="253"/>
      <c r="J333" s="252"/>
      <c r="K333" s="41"/>
      <c r="L333" s="255">
        <f>SUMIFS(BV_Data_An_Cour!$P:$P,BV_Data_An_Cour!$U:$U,$B333,BV_Data_An_Cour!$V:$V,$C333,BV_Data_An_Cour!$W:$W,$L$2)</f>
        <v>2846.48</v>
      </c>
      <c r="M333" s="252"/>
      <c r="N333" s="275">
        <f t="shared" si="43"/>
        <v>-1084.2004474099913</v>
      </c>
      <c r="O333" s="252"/>
      <c r="P333" s="41"/>
      <c r="Q333" s="255">
        <f t="array" ref="Q333">+SUMPRODUCT(('Réel 2024'!$A$8:$A$502=$A333)*('Réel 2024'!$C$3:$AO$3=Q$2),'Réel 2024'!$C$8:$AO$502)</f>
        <v>12482.300000000001</v>
      </c>
      <c r="R333" s="252"/>
      <c r="S333" s="275">
        <f t="shared" si="44"/>
        <v>-9635.8200000000015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35"/>
        <v>PiècesFrais véhicules de cie</v>
      </c>
      <c r="B334" s="41" t="s">
        <v>180</v>
      </c>
      <c r="C334" s="312" t="s">
        <v>131</v>
      </c>
      <c r="D334" s="298"/>
      <c r="E334" s="317"/>
      <c r="F334" s="247">
        <f t="array" ref="F334">+SUMPRODUCT(('Budget original'!$A$8:$A$502=$A334)*('Budget original'!$C$3:$AO$3=F$2),'Budget original'!$C$8:$AO$502)</f>
        <v>8850.2434222222255</v>
      </c>
      <c r="G334" s="299"/>
      <c r="H334" s="317"/>
      <c r="I334" s="247"/>
      <c r="J334" s="245"/>
      <c r="K334" s="317"/>
      <c r="L334" s="255">
        <f>SUMIFS(BV_Data_An_Cour!$P:$P,BV_Data_An_Cour!$U:$U,$B334,BV_Data_An_Cour!$V:$V,$C334,BV_Data_An_Cour!$W:$W,$L$2)</f>
        <v>13637.9</v>
      </c>
      <c r="M334" s="245"/>
      <c r="N334" s="295">
        <f t="shared" si="43"/>
        <v>4787.6565777777741</v>
      </c>
      <c r="O334" s="245"/>
      <c r="P334" s="317"/>
      <c r="Q334" s="255">
        <f t="array" ref="Q334">+SUMPRODUCT(('Réel 2024'!$A$8:$A$502=$A334)*('Réel 2024'!$C$3:$AO$3=Q$2),'Réel 2024'!$C$8:$AO$502)</f>
        <v>8451</v>
      </c>
      <c r="R334" s="245"/>
      <c r="S334" s="295">
        <f t="shared" si="44"/>
        <v>5186.8999999999996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35"/>
        <v>PiècesInformatique</v>
      </c>
      <c r="B335" s="41" t="s">
        <v>180</v>
      </c>
      <c r="C335" s="311" t="s">
        <v>132</v>
      </c>
      <c r="D335" s="296"/>
      <c r="E335" s="41"/>
      <c r="F335" s="253">
        <f t="array" ref="F335">+SUMPRODUCT(('Budget original'!$A$8:$A$502=$A335)*('Budget original'!$C$3:$AO$3=F$2),'Budget original'!$C$8:$AO$502)</f>
        <v>46767.5</v>
      </c>
      <c r="G335" s="297"/>
      <c r="H335" s="41"/>
      <c r="I335" s="253"/>
      <c r="J335" s="252"/>
      <c r="K335" s="41"/>
      <c r="L335" s="271">
        <f>SUMIFS(BV_Data_An_Cour!$P:$P,BV_Data_An_Cour!$U:$U,$B335,BV_Data_An_Cour!$V:$V,$C335,BV_Data_An_Cour!$W:$W,$L$2)</f>
        <v>41837.660000000003</v>
      </c>
      <c r="M335" s="252"/>
      <c r="N335" s="275">
        <f t="shared" si="43"/>
        <v>-4929.8399999999965</v>
      </c>
      <c r="O335" s="252"/>
      <c r="P335" s="41"/>
      <c r="Q335" s="271">
        <f t="array" ref="Q335">+SUMPRODUCT(('Réel 2024'!$A$8:$A$502=$A335)*('Réel 2024'!$C$3:$AO$3=Q$2),'Réel 2024'!$C$8:$AO$502)</f>
        <v>45216.619999999995</v>
      </c>
      <c r="R335" s="252"/>
      <c r="S335" s="275">
        <f t="shared" si="44"/>
        <v>-3378.9599999999919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35"/>
        <v>PiècesFrais de déplacement</v>
      </c>
      <c r="B336" s="41" t="s">
        <v>180</v>
      </c>
      <c r="C336" s="311" t="s">
        <v>133</v>
      </c>
      <c r="D336" s="296"/>
      <c r="E336" s="41"/>
      <c r="F336" s="253">
        <f t="array" ref="F336">+SUMPRODUCT(('Budget original'!$A$8:$A$502=$A336)*('Budget original'!$C$3:$AO$3=F$2),'Budget original'!$C$8:$AO$502)</f>
        <v>7000</v>
      </c>
      <c r="G336" s="297"/>
      <c r="H336" s="41"/>
      <c r="I336" s="253"/>
      <c r="J336" s="252"/>
      <c r="K336" s="41"/>
      <c r="L336" s="255">
        <f>SUMIFS(BV_Data_An_Cour!$P:$P,BV_Data_An_Cour!$U:$U,$B336,BV_Data_An_Cour!$V:$V,$C336,BV_Data_An_Cour!$W:$W,$L$2)</f>
        <v>4265.66</v>
      </c>
      <c r="M336" s="252"/>
      <c r="N336" s="275">
        <f t="shared" si="43"/>
        <v>-2734.34</v>
      </c>
      <c r="O336" s="252"/>
      <c r="P336" s="41"/>
      <c r="Q336" s="255">
        <f t="array" ref="Q336">+SUMPRODUCT(('Réel 2024'!$A$8:$A$502=$A336)*('Réel 2024'!$C$3:$AO$3=Q$2),'Réel 2024'!$C$8:$AO$502)</f>
        <v>6621.7999999999993</v>
      </c>
      <c r="R336" s="252"/>
      <c r="S336" s="275">
        <f t="shared" si="44"/>
        <v>-2356.1399999999994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35"/>
        <v>PiècesServices extérieurs</v>
      </c>
      <c r="B337" s="41" t="s">
        <v>180</v>
      </c>
      <c r="C337" s="312" t="s">
        <v>134</v>
      </c>
      <c r="D337" s="298"/>
      <c r="E337" s="317"/>
      <c r="F337" s="247">
        <f t="array" ref="F337">+SUMPRODUCT(('Budget original'!$A$8:$A$502=$A337)*('Budget original'!$C$3:$AO$3=F$2),'Budget original'!$C$8:$AO$502)</f>
        <v>106508.78032066855</v>
      </c>
      <c r="G337" s="299"/>
      <c r="H337" s="317"/>
      <c r="I337" s="247"/>
      <c r="J337" s="245"/>
      <c r="K337" s="317"/>
      <c r="L337" s="247">
        <f>SUMIFS(BV_Data_An_Cour!$P:$P,BV_Data_An_Cour!$U:$U,$B337,BV_Data_An_Cour!$V:$V,$C337,BV_Data_An_Cour!$W:$W,$L$2)</f>
        <v>63605.400000000009</v>
      </c>
      <c r="M337" s="245"/>
      <c r="N337" s="295">
        <f t="shared" si="43"/>
        <v>-42903.380320668541</v>
      </c>
      <c r="O337" s="245"/>
      <c r="P337" s="317"/>
      <c r="Q337" s="247">
        <f t="array" ref="Q337">+SUMPRODUCT(('Réel 2024'!$A$8:$A$502=$A337)*('Réel 2024'!$C$3:$AO$3=Q$2),'Réel 2024'!$C$8:$AO$502)</f>
        <v>98933.200000000012</v>
      </c>
      <c r="R337" s="245"/>
      <c r="S337" s="295">
        <f t="shared" si="44"/>
        <v>-35327.800000000003</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35"/>
        <v>PiècesFournitures d'atelier</v>
      </c>
      <c r="B338" s="41" t="s">
        <v>180</v>
      </c>
      <c r="C338" s="311" t="s">
        <v>489</v>
      </c>
      <c r="D338" s="296"/>
      <c r="E338" s="41"/>
      <c r="F338" s="253"/>
      <c r="G338" s="297"/>
      <c r="H338" s="41"/>
      <c r="I338" s="253"/>
      <c r="J338" s="252"/>
      <c r="K338" s="41"/>
      <c r="L338" s="255">
        <f>SUMIFS(BV_Data_An_Cour!$P:$P,BV_Data_An_Cour!$U:$U,$B338,BV_Data_An_Cour!$V:$V,$C338,BV_Data_An_Cour!$W:$W,$L$2)</f>
        <v>0</v>
      </c>
      <c r="M338" s="252"/>
      <c r="N338" s="275">
        <f t="shared" si="43"/>
        <v>0</v>
      </c>
      <c r="O338" s="252"/>
      <c r="P338" s="41"/>
      <c r="Q338" s="255"/>
      <c r="R338" s="252"/>
      <c r="S338" s="275">
        <f t="shared" si="44"/>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35"/>
        <v>PiècesFournitures autres</v>
      </c>
      <c r="B339" s="41" t="s">
        <v>180</v>
      </c>
      <c r="C339" s="311" t="s">
        <v>135</v>
      </c>
      <c r="D339" s="296"/>
      <c r="E339" s="41"/>
      <c r="F339" s="253">
        <f t="array" ref="F339">+SUMPRODUCT(('Budget original'!$A$8:$A$502=$A339)*('Budget original'!$C$3:$AO$3=F$2),'Budget original'!$C$8:$AO$502)</f>
        <v>350</v>
      </c>
      <c r="G339" s="297"/>
      <c r="H339" s="41"/>
      <c r="I339" s="253"/>
      <c r="J339" s="252"/>
      <c r="K339" s="41"/>
      <c r="L339" s="255">
        <f>SUMIFS(BV_Data_An_Cour!$P:$P,BV_Data_An_Cour!$U:$U,$B339,BV_Data_An_Cour!$V:$V,$C339,BV_Data_An_Cour!$W:$W,$L$2)</f>
        <v>121.2</v>
      </c>
      <c r="M339" s="252"/>
      <c r="N339" s="275">
        <f t="shared" si="43"/>
        <v>-228.8</v>
      </c>
      <c r="O339" s="252"/>
      <c r="P339" s="41"/>
      <c r="Q339" s="255">
        <f t="array" ref="Q339">+SUMPRODUCT(('Réel 2024'!$A$8:$A$502=$A339)*('Réel 2024'!$C$3:$AO$3=Q$2),'Réel 2024'!$C$8:$AO$502)</f>
        <v>114.94</v>
      </c>
      <c r="R339" s="252"/>
      <c r="S339" s="275">
        <f t="shared" si="44"/>
        <v>6.2600000000000051</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35"/>
        <v>PiècesUniformes</v>
      </c>
      <c r="B340" s="41" t="s">
        <v>180</v>
      </c>
      <c r="C340" s="311" t="s">
        <v>136</v>
      </c>
      <c r="D340" s="296"/>
      <c r="E340" s="41"/>
      <c r="F340" s="253">
        <f t="array" ref="F340">+SUMPRODUCT(('Budget original'!$A$8:$A$502=$A340)*('Budget original'!$C$3:$AO$3=F$2),'Budget original'!$C$8:$AO$502)</f>
        <v>0</v>
      </c>
      <c r="G340" s="297"/>
      <c r="H340" s="41"/>
      <c r="I340" s="253"/>
      <c r="J340" s="252"/>
      <c r="K340" s="41"/>
      <c r="L340" s="255">
        <f>SUMIFS(BV_Data_An_Cour!$P:$P,BV_Data_An_Cour!$U:$U,$B340,BV_Data_An_Cour!$V:$V,$C340,BV_Data_An_Cour!$W:$W,$L$2)</f>
        <v>0</v>
      </c>
      <c r="M340" s="252"/>
      <c r="N340" s="275">
        <f t="shared" si="43"/>
        <v>0</v>
      </c>
      <c r="O340" s="252"/>
      <c r="P340" s="41"/>
      <c r="Q340" s="255">
        <f t="array" ref="Q340">+SUMPRODUCT(('Réel 2024'!$A$8:$A$502=$A340)*('Réel 2024'!$C$3:$AO$3=Q$2),'Réel 2024'!$C$8:$AO$502)</f>
        <v>361.45</v>
      </c>
      <c r="R340" s="252"/>
      <c r="S340" s="275">
        <f t="shared" si="44"/>
        <v>-361.45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35"/>
        <v>PiècesPapeterie</v>
      </c>
      <c r="B341" s="41" t="s">
        <v>180</v>
      </c>
      <c r="C341" s="311" t="s">
        <v>137</v>
      </c>
      <c r="D341" s="296"/>
      <c r="E341" s="41"/>
      <c r="F341" s="253">
        <f t="array" ref="F341">+SUMPRODUCT(('Budget original'!$A$8:$A$502=$A341)*('Budget original'!$C$3:$AO$3=F$2),'Budget original'!$C$8:$AO$502)</f>
        <v>3391.5</v>
      </c>
      <c r="G341" s="297"/>
      <c r="H341" s="41"/>
      <c r="I341" s="253"/>
      <c r="J341" s="252"/>
      <c r="K341" s="41"/>
      <c r="L341" s="255">
        <f>SUMIFS(BV_Data_An_Cour!$P:$P,BV_Data_An_Cour!$U:$U,$B341,BV_Data_An_Cour!$V:$V,$C341,BV_Data_An_Cour!$W:$W,$L$2)</f>
        <v>4828.5600000000004</v>
      </c>
      <c r="M341" s="252"/>
      <c r="N341" s="275">
        <f t="shared" si="43"/>
        <v>1437.0600000000004</v>
      </c>
      <c r="O341" s="252"/>
      <c r="P341" s="41"/>
      <c r="Q341" s="255">
        <f t="array" ref="Q341">+SUMPRODUCT(('Réel 2024'!$A$8:$A$502=$A341)*('Réel 2024'!$C$3:$AO$3=Q$2),'Réel 2024'!$C$8:$AO$502)</f>
        <v>3347.0000000000005</v>
      </c>
      <c r="R341" s="252"/>
      <c r="S341" s="275">
        <f t="shared" si="44"/>
        <v>1481.56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35"/>
        <v>PiècesTéléphone</v>
      </c>
      <c r="B342" s="41" t="s">
        <v>180</v>
      </c>
      <c r="C342" s="311" t="s">
        <v>138</v>
      </c>
      <c r="D342" s="296"/>
      <c r="E342" s="41"/>
      <c r="F342" s="253">
        <f t="array" ref="F342">+SUMPRODUCT(('Budget original'!$A$8:$A$502=$A342)*('Budget original'!$C$3:$AO$3=F$2),'Budget original'!$C$8:$AO$502)</f>
        <v>796.25</v>
      </c>
      <c r="G342" s="297"/>
      <c r="H342" s="41"/>
      <c r="I342" s="253"/>
      <c r="J342" s="252"/>
      <c r="K342" s="41"/>
      <c r="L342" s="255">
        <f>SUMIFS(BV_Data_An_Cour!$P:$P,BV_Data_An_Cour!$U:$U,$B342,BV_Data_An_Cour!$V:$V,$C342,BV_Data_An_Cour!$W:$W,$L$2)</f>
        <v>698.93</v>
      </c>
      <c r="M342" s="252"/>
      <c r="N342" s="275">
        <f t="shared" si="43"/>
        <v>-97.32000000000005</v>
      </c>
      <c r="O342" s="252"/>
      <c r="P342" s="41"/>
      <c r="Q342" s="255">
        <f t="array" ref="Q342">+SUMPRODUCT(('Réel 2024'!$A$8:$A$502=$A342)*('Réel 2024'!$C$3:$AO$3=Q$2),'Réel 2024'!$C$8:$AO$502)</f>
        <v>666</v>
      </c>
      <c r="R342" s="252"/>
      <c r="S342" s="275">
        <f t="shared" si="44"/>
        <v>32.92999999999995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35"/>
        <v>PiècesFrais postaux</v>
      </c>
      <c r="B343" s="41" t="s">
        <v>180</v>
      </c>
      <c r="C343" s="311" t="s">
        <v>139</v>
      </c>
      <c r="D343" s="296"/>
      <c r="E343" s="41"/>
      <c r="F343" s="253">
        <f t="array" ref="F343">+SUMPRODUCT(('Budget original'!$A$8:$A$502=$A343)*('Budget original'!$C$3:$AO$3=F$2),'Budget original'!$C$8:$AO$502)</f>
        <v>1246.4375</v>
      </c>
      <c r="G343" s="297"/>
      <c r="H343" s="41"/>
      <c r="I343" s="253"/>
      <c r="J343" s="252"/>
      <c r="K343" s="41"/>
      <c r="L343" s="255">
        <f>SUMIFS(BV_Data_An_Cour!$P:$P,BV_Data_An_Cour!$U:$U,$B343,BV_Data_An_Cour!$V:$V,$C343,BV_Data_An_Cour!$W:$W,$L$2)</f>
        <v>-1085.95</v>
      </c>
      <c r="M343" s="252"/>
      <c r="N343" s="275">
        <f t="shared" si="43"/>
        <v>-2332.3874999999998</v>
      </c>
      <c r="O343" s="252"/>
      <c r="P343" s="41"/>
      <c r="Q343" s="255">
        <f t="array" ref="Q343">+SUMPRODUCT(('Réel 2024'!$A$8:$A$502=$A343)*('Réel 2024'!$C$3:$AO$3=Q$2),'Réel 2024'!$C$8:$AO$502)</f>
        <v>-2448.8900000000003</v>
      </c>
      <c r="R343" s="252"/>
      <c r="S343" s="275">
        <f t="shared" si="44"/>
        <v>1362.9400000000003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35"/>
        <v>PiècesDivers</v>
      </c>
      <c r="B344" s="41" t="s">
        <v>180</v>
      </c>
      <c r="C344" s="311" t="s">
        <v>140</v>
      </c>
      <c r="D344" s="296"/>
      <c r="E344" s="41"/>
      <c r="F344" s="253">
        <f t="array" ref="F344">+SUMPRODUCT(('Budget original'!$A$8:$A$502=$A344)*('Budget original'!$C$3:$AO$3=F$2),'Budget original'!$C$8:$AO$502)</f>
        <v>656.25</v>
      </c>
      <c r="G344" s="297"/>
      <c r="H344" s="41"/>
      <c r="I344" s="253"/>
      <c r="J344" s="252"/>
      <c r="K344" s="41"/>
      <c r="L344" s="255">
        <f>SUMIFS(BV_Data_An_Cour!$P:$P,BV_Data_An_Cour!$U:$U,$B344,BV_Data_An_Cour!$V:$V,$C344,BV_Data_An_Cour!$W:$W,$L$2)</f>
        <v>843.87</v>
      </c>
      <c r="M344" s="252"/>
      <c r="N344" s="275">
        <f t="shared" si="43"/>
        <v>187.62</v>
      </c>
      <c r="O344" s="252"/>
      <c r="P344" s="41"/>
      <c r="Q344" s="255">
        <f t="array" ref="Q344">+SUMPRODUCT(('Réel 2024'!$A$8:$A$502=$A344)*('Réel 2024'!$C$3:$AO$3=Q$2),'Réel 2024'!$C$8:$AO$502)</f>
        <v>460.96000000000004</v>
      </c>
      <c r="R344" s="252"/>
      <c r="S344" s="275">
        <f t="shared" si="44"/>
        <v>382.90999999999997</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35"/>
        <v>PiècesFormation</v>
      </c>
      <c r="B345" s="41" t="s">
        <v>180</v>
      </c>
      <c r="C345" s="311" t="s">
        <v>141</v>
      </c>
      <c r="D345" s="296"/>
      <c r="E345" s="41"/>
      <c r="F345" s="253">
        <f t="array" ref="F345">+SUMPRODUCT(('Budget original'!$A$8:$A$502=$A345)*('Budget original'!$C$3:$AO$3=F$2),'Budget original'!$C$8:$AO$502)</f>
        <v>2333.333333333333</v>
      </c>
      <c r="G345" s="297"/>
      <c r="H345" s="41"/>
      <c r="I345" s="253"/>
      <c r="J345" s="252"/>
      <c r="K345" s="41"/>
      <c r="L345" s="255">
        <f>SUMIFS(BV_Data_An_Cour!$P:$P,BV_Data_An_Cour!$U:$U,$B345,BV_Data_An_Cour!$V:$V,$C345,BV_Data_An_Cour!$W:$W,$L$2)</f>
        <v>1424.2</v>
      </c>
      <c r="M345" s="252"/>
      <c r="N345" s="275">
        <f t="shared" si="43"/>
        <v>-909.13333333333298</v>
      </c>
      <c r="O345" s="252"/>
      <c r="P345" s="41"/>
      <c r="Q345" s="255">
        <f t="array" ref="Q345">+SUMPRODUCT(('Réel 2024'!$A$8:$A$502=$A345)*('Réel 2024'!$C$3:$AO$3=Q$2),'Réel 2024'!$C$8:$AO$502)</f>
        <v>1445.4499999999998</v>
      </c>
      <c r="R345" s="252"/>
      <c r="S345" s="275">
        <f t="shared" si="44"/>
        <v>-21.249999999999773</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35"/>
        <v>PiècesFrais bancaires</v>
      </c>
      <c r="B346" s="41" t="s">
        <v>180</v>
      </c>
      <c r="C346" s="311" t="s">
        <v>142</v>
      </c>
      <c r="D346" s="296"/>
      <c r="E346" s="41"/>
      <c r="F346" s="253">
        <f t="array" ref="F346">+SUMPRODUCT(('Budget original'!$A$8:$A$502=$A346)*('Budget original'!$C$3:$AO$3=F$2),'Budget original'!$C$8:$AO$502)</f>
        <v>11431.270497413841</v>
      </c>
      <c r="G346" s="297"/>
      <c r="H346" s="41"/>
      <c r="I346" s="253"/>
      <c r="J346" s="252"/>
      <c r="K346" s="41"/>
      <c r="L346" s="255">
        <f>SUMIFS(BV_Data_An_Cour!$P:$P,BV_Data_An_Cour!$U:$U,$B346,BV_Data_An_Cour!$V:$V,$C346,BV_Data_An_Cour!$W:$W,L$2)</f>
        <v>13466.71</v>
      </c>
      <c r="M346" s="252"/>
      <c r="N346" s="275">
        <f t="shared" si="43"/>
        <v>2035.4395025861577</v>
      </c>
      <c r="O346" s="252"/>
      <c r="P346" s="41"/>
      <c r="Q346" s="255">
        <f t="array" ref="Q346">+SUMPRODUCT(('Réel 2024'!$A$8:$A$502=$A346)*('Réel 2024'!$C$3:$AO$3=Q$2),'Réel 2024'!$C$8:$AO$502)</f>
        <v>11249.11</v>
      </c>
      <c r="R346" s="252"/>
      <c r="S346" s="275">
        <f t="shared" si="44"/>
        <v>2217.5999999999985</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35"/>
        <v>Pièces[...]</v>
      </c>
      <c r="B347" s="41" t="s">
        <v>180</v>
      </c>
      <c r="C347" s="311" t="s">
        <v>59</v>
      </c>
      <c r="D347" s="296"/>
      <c r="E347" s="41"/>
      <c r="F347" s="253">
        <f t="array" ref="F347">+SUMPRODUCT(('Budget original'!$A$8:$A$502=$A347)*('Budget original'!$C$3:$AO$3=F$2),'Budget original'!$C$8:$AO$502)</f>
        <v>0</v>
      </c>
      <c r="G347" s="297"/>
      <c r="H347" s="41"/>
      <c r="I347" s="253"/>
      <c r="J347" s="252"/>
      <c r="K347" s="41"/>
      <c r="L347" s="255">
        <f>SUMIFS(BV_Data_An_Cour!$P:$P,BV_Data_An_Cour!$U:$U,$B347,BV_Data_An_Cour!$V:$V,$C347,BV_Data_An_Cour!$W:$W,$L$2)</f>
        <v>0</v>
      </c>
      <c r="M347" s="252"/>
      <c r="N347" s="275">
        <f t="shared" si="43"/>
        <v>0</v>
      </c>
      <c r="O347" s="252"/>
      <c r="P347" s="41"/>
      <c r="Q347" s="255">
        <f t="array" ref="Q347">+SUMPRODUCT(('Réel 2024'!$A$8:$A$502=$A347)*('Réel 2024'!$C$3:$AO$3=Q$2),'Réel 2024'!$C$8:$AO$502)</f>
        <v>0</v>
      </c>
      <c r="R347" s="252"/>
      <c r="S347" s="275">
        <f t="shared" si="44"/>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35"/>
        <v>Pièces[...]</v>
      </c>
      <c r="B348" s="41" t="s">
        <v>180</v>
      </c>
      <c r="C348" s="311" t="s">
        <v>59</v>
      </c>
      <c r="D348" s="296"/>
      <c r="E348" s="41"/>
      <c r="F348" s="253">
        <f t="array" ref="F348">+SUMPRODUCT(('Budget original'!$A$8:$A$502=$A348)*('Budget original'!$C$3:$AO$3=F$2),'Budget original'!$C$8:$AO$502)</f>
        <v>0</v>
      </c>
      <c r="G348" s="297"/>
      <c r="H348" s="41"/>
      <c r="I348" s="253"/>
      <c r="J348" s="252"/>
      <c r="K348" s="41"/>
      <c r="L348" s="255">
        <f>SUMIFS(BV_Data_An_Cour!$P:$P,BV_Data_An_Cour!$U:$U,$B348,BV_Data_An_Cour!$V:$V,$C348,BV_Data_An_Cour!$W:$W,$L$2)</f>
        <v>0</v>
      </c>
      <c r="M348" s="252"/>
      <c r="N348" s="275">
        <f t="shared" si="43"/>
        <v>0</v>
      </c>
      <c r="O348" s="252"/>
      <c r="P348" s="41"/>
      <c r="Q348" s="255">
        <f t="array" ref="Q348">+SUMPRODUCT(('Réel 2024'!$A$8:$A$502=$A348)*('Réel 2024'!$C$3:$AO$3=Q$2),'Réel 2024'!$C$8:$AO$502)</f>
        <v>0</v>
      </c>
      <c r="R348" s="252"/>
      <c r="S348" s="275">
        <f t="shared" si="44"/>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35"/>
        <v>Pièces[...]</v>
      </c>
      <c r="B349" s="41" t="s">
        <v>180</v>
      </c>
      <c r="C349" s="311" t="s">
        <v>59</v>
      </c>
      <c r="D349" s="296"/>
      <c r="E349" s="41"/>
      <c r="F349" s="253">
        <f t="array" ref="F349">+SUMPRODUCT(('Budget original'!$A$8:$A$502=$A349)*('Budget original'!$C$3:$AO$3=F$2),'Budget original'!$C$8:$AO$502)</f>
        <v>0</v>
      </c>
      <c r="G349" s="297"/>
      <c r="H349" s="41"/>
      <c r="I349" s="253"/>
      <c r="J349" s="252"/>
      <c r="K349" s="41"/>
      <c r="L349" s="255">
        <f>SUMIFS(BV_Data_An_Cour!$P:$P,BV_Data_An_Cour!$U:$U,$B349,BV_Data_An_Cour!$V:$V,$C349,BV_Data_An_Cour!$W:$W,$L$2)</f>
        <v>0</v>
      </c>
      <c r="M349" s="252"/>
      <c r="N349" s="275">
        <f t="shared" si="43"/>
        <v>0</v>
      </c>
      <c r="O349" s="252"/>
      <c r="P349" s="41"/>
      <c r="Q349" s="255">
        <f t="array" ref="Q349">+SUMPRODUCT(('Réel 2024'!$A$8:$A$502=$A349)*('Réel 2024'!$C$3:$AO$3=Q$2),'Réel 2024'!$C$8:$AO$502)</f>
        <v>0</v>
      </c>
      <c r="R349" s="252"/>
      <c r="S349" s="275">
        <f t="shared" si="44"/>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0.26009182715406115</v>
      </c>
      <c r="F350" s="306">
        <f>+SUM(F332:F349)</f>
        <v>240443.49552104797</v>
      </c>
      <c r="G350" s="307"/>
      <c r="H350" s="305"/>
      <c r="I350" s="306"/>
      <c r="J350" s="307" t="s">
        <v>119</v>
      </c>
      <c r="K350" s="305">
        <f>L350/L$315</f>
        <v>0.18126444982098075</v>
      </c>
      <c r="L350" s="306">
        <f>+SUM(L332:L349)</f>
        <v>176423.77</v>
      </c>
      <c r="M350" s="310"/>
      <c r="N350" s="306">
        <f>+SUM(N332:N349)</f>
        <v>-64019.72552104792</v>
      </c>
      <c r="O350" s="307" t="s">
        <v>119</v>
      </c>
      <c r="P350" s="305">
        <f>Q350/Q$315</f>
        <v>0.27438146209833092</v>
      </c>
      <c r="Q350" s="306">
        <f>+SUM(Q332:Q349)</f>
        <v>226850.88</v>
      </c>
      <c r="R350" s="310"/>
      <c r="S350" s="306">
        <f>+SUM(S332:S349)</f>
        <v>-50427.109999999986</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0.64455227266978354</v>
      </c>
      <c r="F352" s="306">
        <f>F331+F350</f>
        <v>595860.3281869347</v>
      </c>
      <c r="G352" s="307"/>
      <c r="H352" s="305"/>
      <c r="I352" s="306"/>
      <c r="J352" s="307" t="s">
        <v>119</v>
      </c>
      <c r="K352" s="305">
        <f>L352/L$315</f>
        <v>0.54369912314245794</v>
      </c>
      <c r="L352" s="306">
        <f>L331+L350</f>
        <v>529179.6</v>
      </c>
      <c r="M352" s="310"/>
      <c r="N352" s="319">
        <f>L352-F352</f>
        <v>-66680.728186934721</v>
      </c>
      <c r="O352" s="307" t="s">
        <v>119</v>
      </c>
      <c r="P352" s="305">
        <f>Q352/Q$315</f>
        <v>0.68482594394930518</v>
      </c>
      <c r="Q352" s="306">
        <f>Q331+Q350</f>
        <v>566194.84000000008</v>
      </c>
      <c r="R352" s="310"/>
      <c r="S352" s="319">
        <f>L352-Q352</f>
        <v>-37015.240000000107</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331" t="s">
        <v>151</v>
      </c>
      <c r="D354" s="359"/>
      <c r="E354" s="332"/>
      <c r="F354" s="334">
        <f>F315-F352</f>
        <v>328595.84620344767</v>
      </c>
      <c r="G354" s="360"/>
      <c r="H354" s="332"/>
      <c r="I354" s="334"/>
      <c r="J354" s="331"/>
      <c r="K354" s="333"/>
      <c r="L354" s="334">
        <f>L315-L352</f>
        <v>444115.33000000007</v>
      </c>
      <c r="M354" s="331"/>
      <c r="N354" s="334">
        <f>L354-F354</f>
        <v>115519.48379655241</v>
      </c>
      <c r="O354" s="331"/>
      <c r="P354" s="333"/>
      <c r="Q354" s="334">
        <f>Q315-Q352</f>
        <v>260577.04999999842</v>
      </c>
      <c r="R354" s="331"/>
      <c r="S354" s="334">
        <f>L354-Q354</f>
        <v>183538.28000000166</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567">
        <v>0.25</v>
      </c>
      <c r="T355" s="41">
        <v>0.75</v>
      </c>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Volks</v>
      </c>
      <c r="D357" s="231"/>
      <c r="E357" s="231"/>
      <c r="F357" s="231"/>
      <c r="G357" s="231"/>
      <c r="H357" s="36"/>
      <c r="I357" s="36"/>
      <c r="J357" s="36"/>
      <c r="K357" s="9" t="s">
        <v>196</v>
      </c>
      <c r="L357" s="231"/>
      <c r="M357" s="231"/>
      <c r="N357" s="36"/>
      <c r="O357" s="36"/>
      <c r="P357" s="231"/>
      <c r="Q357" s="36"/>
      <c r="R357" s="231"/>
      <c r="S357" s="10" t="str">
        <f>$S$1</f>
        <v>Réalisé AAJ, Juillet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178" t="s">
        <v>343</v>
      </c>
      <c r="E359" s="1179"/>
      <c r="F359" s="1180"/>
      <c r="G359" s="1181"/>
      <c r="H359" s="1179"/>
      <c r="I359" s="1180"/>
      <c r="J359" s="1181" t="s">
        <v>344</v>
      </c>
      <c r="K359" s="1179"/>
      <c r="L359" s="1180"/>
      <c r="M359" s="1181"/>
      <c r="N359" s="1180"/>
      <c r="O359" s="1181" t="s">
        <v>345</v>
      </c>
      <c r="P359" s="1179"/>
      <c r="Q359" s="1180"/>
      <c r="R359" s="1181" t="s">
        <v>346</v>
      </c>
      <c r="S359" s="118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45">+B360&amp;C360</f>
        <v>Boutique</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45"/>
        <v>BoutiqueBoutique</v>
      </c>
      <c r="B361" s="41" t="s">
        <v>196</v>
      </c>
      <c r="C361" s="277" t="s">
        <v>196</v>
      </c>
      <c r="D361" s="420">
        <f t="array" ref="D361">+SUMPRODUCT(('Budget original'!$A$8:$A$502=$A361)*('Budget original'!$C$3:$AO$3=D$2),'Budget original'!$C$8:$AO$502)</f>
        <v>0</v>
      </c>
      <c r="E361" s="421">
        <f>IFERROR(F361/D361,0)</f>
        <v>0</v>
      </c>
      <c r="F361" s="422">
        <f t="array" ref="F361">+SUMPRODUCT(('Budget original'!$A$8:$A$502=$A361)*('Budget original'!$C$3:$AO$3=F$2),'Budget original'!$C$8:$AO$502)</f>
        <v>0</v>
      </c>
      <c r="G361" s="420"/>
      <c r="H361" s="421"/>
      <c r="I361" s="420"/>
      <c r="J361" s="423">
        <f>-SUMIFS(BV_Data_An_Cour!$N:$N,BV_Data_An_Cour!$Q:$Q,$B361,BV_Data_An_Cour!$O:$O,"S",BV_Data_An_Cour!$R:$R,$C361)</f>
        <v>0</v>
      </c>
      <c r="K361" s="409">
        <f>IF(J361&lt;=0,0,L361/J361)</f>
        <v>0</v>
      </c>
      <c r="L361" s="424">
        <f>J361-SUMIFS(BV_Data_An_Cour!$N:$N,BV_Data_An_Cour!$Q:$Q,$B361,BV_Data_An_Cour!$O:$O,"C",BV_Data_An_Cour!$R:$R,$C361)</f>
        <v>0</v>
      </c>
      <c r="M361" s="410"/>
      <c r="N361" s="411"/>
      <c r="O361" s="423">
        <f t="array" ref="O361">+SUMPRODUCT(('Réel 2024'!$A$8:$A$502=$A361)*('Réel 2024'!$C$3:$AO$3=O$2),'Réel 2024'!$C$8:$AO$502)</f>
        <v>0</v>
      </c>
      <c r="P361" s="409">
        <f>IFERROR(Q361/O361,0)</f>
        <v>0</v>
      </c>
      <c r="Q361" s="424">
        <f t="array" ref="Q361">+SUMPRODUCT(('Réel 2024'!$A$8:$A$502=$A361)*('Réel 2024'!$C$3:$AO$3=Q$2),'Réel 2024'!$C$8:$AO$502)</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45"/>
        <v>Boutique</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45"/>
        <v>BoutiqueTotal Dépt. Boutique</v>
      </c>
      <c r="B363" s="41" t="s">
        <v>196</v>
      </c>
      <c r="C363" s="269" t="s">
        <v>197</v>
      </c>
      <c r="D363" s="318">
        <f>+D361</f>
        <v>0</v>
      </c>
      <c r="E363" s="371">
        <f>IF(D363&lt;=0,0,F363/D363)</f>
        <v>0</v>
      </c>
      <c r="F363" s="373">
        <f>+F361</f>
        <v>0</v>
      </c>
      <c r="G363" s="372"/>
      <c r="H363" s="371"/>
      <c r="I363" s="373"/>
      <c r="J363" s="372">
        <f>+J361</f>
        <v>0</v>
      </c>
      <c r="K363" s="371">
        <f>IF(J363&lt;=0,0,L363/J363)</f>
        <v>0</v>
      </c>
      <c r="L363" s="373">
        <f>+L361</f>
        <v>0</v>
      </c>
      <c r="M363" s="352"/>
      <c r="N363" s="426"/>
      <c r="O363" s="372">
        <f>+O361</f>
        <v>0</v>
      </c>
      <c r="P363" s="371">
        <f>IF(O363&lt;=0,0,Q363/O363)</f>
        <v>0</v>
      </c>
      <c r="Q363" s="373">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45"/>
        <v>Boutique</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45"/>
        <v>BoutiqueDEPENSES</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45"/>
        <v>BoutiqueSalaires cadres</v>
      </c>
      <c r="B366" s="41" t="s">
        <v>196</v>
      </c>
      <c r="C366" s="311" t="s">
        <v>120</v>
      </c>
      <c r="D366" s="41"/>
      <c r="E366" s="41"/>
      <c r="F366" s="253">
        <f t="array" ref="F366">+SUMPRODUCT(('Budget original'!$A$8:$A$502=$A366)*('Budget original'!$C$3:$AO$3=F$2),'Budget original'!$C$8:$AO$502)</f>
        <v>0</v>
      </c>
      <c r="G366" s="252"/>
      <c r="H366" s="41"/>
      <c r="I366" s="253"/>
      <c r="J366" s="252"/>
      <c r="K366" s="41"/>
      <c r="L366" s="255">
        <f>SUMIFS(BV_Data_An_Cour!$N:$N,BV_Data_An_Cour!$Q:$Q,$B366,BV_Data_An_Cour!$R:$R,$C366)</f>
        <v>0</v>
      </c>
      <c r="M366" s="252"/>
      <c r="N366" s="262"/>
      <c r="O366" s="252"/>
      <c r="P366" s="41"/>
      <c r="Q366" s="255">
        <f t="array" ref="Q366">+SUMPRODUCT(('Réel 2024'!$A$8:$A$502=$A366)*('Réel 2024'!$C$3:$AO$3=Q$2),'Réel 2024'!$C$8:$AO$502)</f>
        <v>0</v>
      </c>
      <c r="R366" s="252"/>
      <c r="S366" s="255">
        <f t="shared" ref="S366:S395" si="46">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45"/>
        <v>BoutiqueSalaires commis</v>
      </c>
      <c r="B367" s="41" t="s">
        <v>196</v>
      </c>
      <c r="C367" s="312" t="s">
        <v>121</v>
      </c>
      <c r="D367" s="296"/>
      <c r="E367" s="41"/>
      <c r="F367" s="247">
        <f t="array" ref="F367">+SUMPRODUCT(('Budget original'!$A$8:$A$502=$A367)*('Budget original'!$C$3:$AO$3=F$2),'Budget original'!$C$8:$AO$502)</f>
        <v>0</v>
      </c>
      <c r="G367" s="297"/>
      <c r="H367" s="41"/>
      <c r="I367" s="247"/>
      <c r="J367" s="252"/>
      <c r="K367" s="41"/>
      <c r="L367" s="247">
        <f>SUMIFS(BV_Data_An_Cour!$N:$N,BV_Data_An_Cour!$Q:$Q,$B367,BV_Data_An_Cour!$R:$R,$C367)</f>
        <v>0</v>
      </c>
      <c r="M367" s="252"/>
      <c r="N367" s="275"/>
      <c r="O367" s="252"/>
      <c r="P367" s="41"/>
      <c r="Q367" s="247">
        <f t="array" ref="Q367">+SUMPRODUCT(('Réel 2024'!$A$8:$A$502=$A367)*('Réel 2024'!$C$3:$AO$3=Q$2),'Réel 2024'!$C$8:$AO$502)</f>
        <v>0</v>
      </c>
      <c r="R367" s="252"/>
      <c r="S367" s="275">
        <f t="shared" si="4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45"/>
        <v>BoutiqueSalaires autres</v>
      </c>
      <c r="B368" s="41" t="s">
        <v>196</v>
      </c>
      <c r="C368" s="311" t="s">
        <v>122</v>
      </c>
      <c r="D368" s="313"/>
      <c r="E368" s="314"/>
      <c r="F368" s="253">
        <f t="array" ref="F368">+SUMPRODUCT(('Budget original'!$A$8:$A$502=$A368)*('Budget original'!$C$3:$AO$3=F$2),'Budget original'!$C$8:$AO$502)</f>
        <v>0</v>
      </c>
      <c r="G368" s="315"/>
      <c r="H368" s="314"/>
      <c r="I368" s="253"/>
      <c r="J368" s="240"/>
      <c r="K368" s="314"/>
      <c r="L368" s="255">
        <f>SUMIFS(BV_Data_An_Cour!$N:$N,BV_Data_An_Cour!$Q:$Q,$B368,BV_Data_An_Cour!$R:$R,$C368)</f>
        <v>0</v>
      </c>
      <c r="M368" s="240"/>
      <c r="N368" s="316"/>
      <c r="O368" s="240"/>
      <c r="P368" s="314"/>
      <c r="Q368" s="255">
        <f t="array" ref="Q368">+SUMPRODUCT(('Réel 2024'!$A$8:$A$502=$A368)*('Réel 2024'!$C$3:$AO$3=Q$2),'Réel 2024'!$C$8:$AO$502)</f>
        <v>0</v>
      </c>
      <c r="R368" s="240"/>
      <c r="S368" s="316">
        <f t="shared" si="4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45"/>
        <v>BoutiqueSalaires spécialistes</v>
      </c>
      <c r="B369" s="41" t="s">
        <v>196</v>
      </c>
      <c r="C369" s="311" t="s">
        <v>123</v>
      </c>
      <c r="D369" s="296"/>
      <c r="E369" s="41"/>
      <c r="F369" s="253">
        <f t="array" ref="F369">+SUMPRODUCT(('Budget original'!$A$8:$A$502=$A369)*('Budget original'!$C$3:$AO$3=F$2),'Budget original'!$C$8:$AO$502)</f>
        <v>0</v>
      </c>
      <c r="G369" s="297"/>
      <c r="H369" s="41"/>
      <c r="I369" s="253"/>
      <c r="J369" s="252"/>
      <c r="K369" s="41"/>
      <c r="L369" s="255">
        <f>SUMIFS(BV_Data_An_Cour!$N:$N,BV_Data_An_Cour!$Q:$Q,$B369,BV_Data_An_Cour!$R:$R,$C369)</f>
        <v>0</v>
      </c>
      <c r="M369" s="252"/>
      <c r="N369" s="275"/>
      <c r="O369" s="252"/>
      <c r="P369" s="41"/>
      <c r="Q369" s="255">
        <f t="array" ref="Q369">+SUMPRODUCT(('Réel 2024'!$A$8:$A$502=$A369)*('Réel 2024'!$C$3:$AO$3=Q$2),'Réel 2024'!$C$8:$AO$502)</f>
        <v>0</v>
      </c>
      <c r="R369" s="252"/>
      <c r="S369" s="275">
        <f t="shared" si="4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45"/>
        <v>Boutique[...]</v>
      </c>
      <c r="B370" s="41" t="s">
        <v>196</v>
      </c>
      <c r="C370" s="252" t="s">
        <v>59</v>
      </c>
      <c r="D370" s="296"/>
      <c r="E370" s="41"/>
      <c r="F370" s="253">
        <f t="array" ref="F370">+SUMPRODUCT(('Budget original'!$A$8:$A$502=$A370)*('Budget original'!$C$3:$AO$3=F$2),'Budget original'!$C$8:$AO$502)</f>
        <v>0</v>
      </c>
      <c r="G370" s="297"/>
      <c r="H370" s="41"/>
      <c r="I370" s="253"/>
      <c r="J370" s="252"/>
      <c r="K370" s="41"/>
      <c r="L370" s="255">
        <f>SUMIFS(BV_Data_An_Cour!$N:$N,BV_Data_An_Cour!$Q:$Q,$B370,BV_Data_An_Cour!$R:$R,$C370)</f>
        <v>0</v>
      </c>
      <c r="M370" s="252"/>
      <c r="N370" s="275"/>
      <c r="O370" s="252"/>
      <c r="P370" s="41"/>
      <c r="Q370" s="255">
        <f t="array" ref="Q370">+SUMPRODUCT(('Réel 2024'!$A$8:$A$502=$A370)*('Réel 2024'!$C$3:$AO$3=Q$2),'Réel 2024'!$C$8:$AO$502)</f>
        <v>0</v>
      </c>
      <c r="R370" s="252"/>
      <c r="S370" s="275">
        <f t="shared" si="4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45"/>
        <v>Boutique[...]</v>
      </c>
      <c r="B371" s="41" t="s">
        <v>196</v>
      </c>
      <c r="C371" s="252" t="s">
        <v>59</v>
      </c>
      <c r="D371" s="296"/>
      <c r="E371" s="41"/>
      <c r="F371" s="253">
        <f t="array" ref="F371">+SUMPRODUCT(('Budget original'!$A$8:$A$502=$A371)*('Budget original'!$C$3:$AO$3=F$2),'Budget original'!$C$8:$AO$502)</f>
        <v>0</v>
      </c>
      <c r="G371" s="297"/>
      <c r="H371" s="41"/>
      <c r="I371" s="253"/>
      <c r="J371" s="252"/>
      <c r="K371" s="41"/>
      <c r="L371" s="255">
        <f>SUMIFS(BV_Data_An_Cour!$N:$N,BV_Data_An_Cour!$Q:$Q,$B371,BV_Data_An_Cour!$R:$R,$C371)</f>
        <v>0</v>
      </c>
      <c r="M371" s="252"/>
      <c r="N371" s="275"/>
      <c r="O371" s="252"/>
      <c r="P371" s="41"/>
      <c r="Q371" s="255">
        <f t="array" ref="Q371">+SUMPRODUCT(('Réel 2024'!$A$8:$A$502=$A371)*('Réel 2024'!$C$3:$AO$3=Q$2),'Réel 2024'!$C$8:$AO$502)</f>
        <v>0</v>
      </c>
      <c r="R371" s="252"/>
      <c r="S371" s="275">
        <f t="shared" si="4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45"/>
        <v>Boutique[...]</v>
      </c>
      <c r="B372" s="41" t="s">
        <v>196</v>
      </c>
      <c r="C372" s="252" t="s">
        <v>59</v>
      </c>
      <c r="D372" s="296"/>
      <c r="E372" s="41"/>
      <c r="F372" s="253">
        <f t="array" ref="F372">+SUMPRODUCT(('Budget original'!$A$8:$A$502=$A372)*('Budget original'!$C$3:$AO$3=F$2),'Budget original'!$C$8:$AO$502)</f>
        <v>0</v>
      </c>
      <c r="G372" s="297"/>
      <c r="H372" s="41"/>
      <c r="I372" s="253"/>
      <c r="J372" s="252"/>
      <c r="K372" s="41"/>
      <c r="L372" s="255">
        <f>SUMIFS(BV_Data_An_Cour!$N:$N,BV_Data_An_Cour!$Q:$Q,$B372,BV_Data_An_Cour!$R:$R,$C372)</f>
        <v>0</v>
      </c>
      <c r="M372" s="252"/>
      <c r="N372" s="275"/>
      <c r="O372" s="252"/>
      <c r="P372" s="41"/>
      <c r="Q372" s="255">
        <f t="array" ref="Q372">+SUMPRODUCT(('Réel 2024'!$A$8:$A$502=$A372)*('Réel 2024'!$C$3:$AO$3=Q$2),'Réel 2024'!$C$8:$AO$502)</f>
        <v>0</v>
      </c>
      <c r="R372" s="252"/>
      <c r="S372" s="275">
        <f t="shared" si="4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45"/>
        <v>BoutiqueSalaires en absences</v>
      </c>
      <c r="B373" s="41" t="s">
        <v>196</v>
      </c>
      <c r="C373" s="312" t="s">
        <v>124</v>
      </c>
      <c r="D373" s="296"/>
      <c r="E373" s="41"/>
      <c r="F373" s="247">
        <f t="array" ref="F373">+SUMPRODUCT(('Budget original'!$A$8:$A$502=$A373)*('Budget original'!$C$3:$AO$3=F$2),'Budget original'!$C$8:$AO$502)</f>
        <v>0</v>
      </c>
      <c r="G373" s="297"/>
      <c r="H373" s="41"/>
      <c r="I373" s="247"/>
      <c r="J373" s="252"/>
      <c r="K373" s="41"/>
      <c r="L373" s="247">
        <f>SUMIFS(BV_Data_An_Cour!$N:$N,BV_Data_An_Cour!$Q:$Q,$B373,BV_Data_An_Cour!$R:$R,$C373)</f>
        <v>0</v>
      </c>
      <c r="M373" s="252"/>
      <c r="N373" s="275"/>
      <c r="O373" s="252"/>
      <c r="P373" s="41"/>
      <c r="Q373" s="247">
        <f t="array" ref="Q373">+SUMPRODUCT(('Réel 2024'!$A$8:$A$502=$A373)*('Réel 2024'!$C$3:$AO$3=Q$2),'Réel 2024'!$C$8:$AO$502)</f>
        <v>0</v>
      </c>
      <c r="R373" s="252"/>
      <c r="S373" s="275">
        <f t="shared" si="4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45"/>
        <v>BoutiqueDéduction à la source</v>
      </c>
      <c r="B374" s="41" t="s">
        <v>196</v>
      </c>
      <c r="C374" s="311" t="s">
        <v>125</v>
      </c>
      <c r="D374" s="313"/>
      <c r="E374" s="314"/>
      <c r="F374" s="253">
        <f t="array" ref="F374">+SUMPRODUCT(('Budget original'!$A$8:$A$502=$A374)*('Budget original'!$C$3:$AO$3=F$2),'Budget original'!$C$8:$AO$502)</f>
        <v>0</v>
      </c>
      <c r="G374" s="315"/>
      <c r="H374" s="314"/>
      <c r="I374" s="253"/>
      <c r="J374" s="240"/>
      <c r="K374" s="314"/>
      <c r="L374" s="255">
        <f>SUMIFS(BV_Data_An_Cour!$N:$N,BV_Data_An_Cour!$Q:$Q,$B374,BV_Data_An_Cour!$R:$R,$C374)</f>
        <v>0</v>
      </c>
      <c r="M374" s="240"/>
      <c r="N374" s="316"/>
      <c r="O374" s="240"/>
      <c r="P374" s="314"/>
      <c r="Q374" s="255">
        <f t="array" ref="Q374">+SUMPRODUCT(('Réel 2024'!$A$8:$A$502=$A374)*('Réel 2024'!$C$3:$AO$3=Q$2),'Réel 2024'!$C$8:$AO$502)</f>
        <v>0</v>
      </c>
      <c r="R374" s="240"/>
      <c r="S374" s="316">
        <f t="shared" si="4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45"/>
        <v>BoutiqueBénéfices marginaux</v>
      </c>
      <c r="B375" s="41" t="s">
        <v>196</v>
      </c>
      <c r="C375" s="311" t="s">
        <v>126</v>
      </c>
      <c r="D375" s="296"/>
      <c r="E375" s="41"/>
      <c r="F375" s="253">
        <f t="array" ref="F375">+SUMPRODUCT(('Budget original'!$A$8:$A$502=$A375)*('Budget original'!$C$3:$AO$3=F$2),'Budget original'!$C$8:$AO$502)</f>
        <v>0</v>
      </c>
      <c r="G375" s="297"/>
      <c r="H375" s="41"/>
      <c r="I375" s="253"/>
      <c r="J375" s="252"/>
      <c r="K375" s="41"/>
      <c r="L375" s="255">
        <f>SUMIFS(BV_Data_An_Cour!$N:$N,BV_Data_An_Cour!$Q:$Q,$B375,BV_Data_An_Cour!$R:$R,$C375)</f>
        <v>0</v>
      </c>
      <c r="M375" s="252"/>
      <c r="N375" s="275"/>
      <c r="O375" s="252"/>
      <c r="P375" s="41"/>
      <c r="Q375" s="255">
        <f t="array" ref="Q375">+SUMPRODUCT(('Réel 2024'!$A$8:$A$502=$A375)*('Réel 2024'!$C$3:$AO$3=Q$2),'Réel 2024'!$C$8:$AO$502)</f>
        <v>0</v>
      </c>
      <c r="R375" s="252"/>
      <c r="S375" s="275">
        <f t="shared" si="4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45"/>
        <v>BoutiqueCsst</v>
      </c>
      <c r="B376" s="41" t="s">
        <v>196</v>
      </c>
      <c r="C376" s="311" t="s">
        <v>127</v>
      </c>
      <c r="D376" s="296"/>
      <c r="E376" s="41"/>
      <c r="F376" s="253">
        <f t="array" ref="F376">+SUMPRODUCT(('Budget original'!$A$8:$A$502=$A376)*('Budget original'!$C$3:$AO$3=F$2),'Budget original'!$C$8:$AO$502)</f>
        <v>0</v>
      </c>
      <c r="G376" s="297"/>
      <c r="H376" s="41"/>
      <c r="I376" s="253"/>
      <c r="J376" s="252"/>
      <c r="K376" s="41"/>
      <c r="L376" s="255">
        <f>SUMIFS(BV_Data_An_Cour!$N:$N,BV_Data_An_Cour!$Q:$Q,$B376,BV_Data_An_Cour!$R:$R,$C376)</f>
        <v>0</v>
      </c>
      <c r="M376" s="252"/>
      <c r="N376" s="275"/>
      <c r="O376" s="252"/>
      <c r="P376" s="41"/>
      <c r="Q376" s="255">
        <f t="array" ref="Q376">+SUMPRODUCT(('Réel 2024'!$A$8:$A$502=$A376)*('Réel 2024'!$C$3:$AO$3=Q$2),'Réel 2024'!$C$8:$AO$502)</f>
        <v>0</v>
      </c>
      <c r="R376" s="252"/>
      <c r="S376" s="275">
        <f t="shared" si="4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45"/>
        <v>Boutique[...]</v>
      </c>
      <c r="B377" s="41" t="s">
        <v>196</v>
      </c>
      <c r="C377" s="252" t="s">
        <v>59</v>
      </c>
      <c r="D377" s="298"/>
      <c r="E377" s="317"/>
      <c r="F377" s="253">
        <f t="array" ref="F377">+SUMPRODUCT(('Budget original'!$A$8:$A$502=$A377)*('Budget original'!$C$3:$AO$3=F$2),'Budget original'!$C$8:$AO$502)</f>
        <v>0</v>
      </c>
      <c r="G377" s="299"/>
      <c r="H377" s="317"/>
      <c r="I377" s="253"/>
      <c r="J377" s="245"/>
      <c r="K377" s="317"/>
      <c r="L377" s="255">
        <f>SUMIFS(BV_Data_An_Cour!$N:$N,BV_Data_An_Cour!$Q:$Q,$B377,BV_Data_An_Cour!$R:$R,$C377)</f>
        <v>0</v>
      </c>
      <c r="M377" s="245"/>
      <c r="N377" s="295"/>
      <c r="O377" s="245"/>
      <c r="P377" s="317"/>
      <c r="Q377" s="255">
        <f t="array" ref="Q377">+SUMPRODUCT(('Réel 2024'!$A$8:$A$502=$A377)*('Réel 2024'!$C$3:$AO$3=Q$2),'Réel 2024'!$C$8:$AO$502)</f>
        <v>0</v>
      </c>
      <c r="R377" s="245"/>
      <c r="S377" s="295">
        <f t="shared" si="4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45"/>
        <v>BoutiqueTOTAL PERSONNEL</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4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45"/>
        <v>BoutiquePublicité 2</v>
      </c>
      <c r="B379" s="41" t="s">
        <v>196</v>
      </c>
      <c r="C379" s="405" t="s">
        <v>129</v>
      </c>
      <c r="D379" s="296"/>
      <c r="E379" s="41"/>
      <c r="F379" s="253">
        <f t="array" ref="F379">+SUMPRODUCT(('Budget original'!$A$8:$A$502=$A379)*('Budget original'!$C$3:$AO$3=F$2),'Budget original'!$C$8:$AO$502)</f>
        <v>0</v>
      </c>
      <c r="G379" s="297"/>
      <c r="H379" s="41"/>
      <c r="I379" s="253"/>
      <c r="J379" s="252"/>
      <c r="K379" s="41"/>
      <c r="L379" s="255">
        <f>SUMIFS(BV_Data_An_Cour!$N:$N,BV_Data_An_Cour!$Q:$Q,$B379,BV_Data_An_Cour!$R:$R,$C379)</f>
        <v>0</v>
      </c>
      <c r="M379" s="252"/>
      <c r="N379" s="275"/>
      <c r="O379" s="252"/>
      <c r="P379" s="41"/>
      <c r="Q379" s="255">
        <f t="array" ref="Q379">+SUMPRODUCT(('Réel 2024'!$A$8:$A$502=$A379)*('Réel 2024'!$C$3:$AO$3=Q$2),'Réel 2024'!$C$8:$AO$502)</f>
        <v>0</v>
      </c>
      <c r="R379" s="252"/>
      <c r="S379" s="275">
        <f t="shared" si="4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45"/>
        <v>BoutiqueService gratuit 2</v>
      </c>
      <c r="B380" s="41" t="s">
        <v>196</v>
      </c>
      <c r="C380" s="311" t="s">
        <v>130</v>
      </c>
      <c r="D380" s="296"/>
      <c r="E380" s="41"/>
      <c r="F380" s="253">
        <f t="array" ref="F380">+SUMPRODUCT(('Budget original'!$A$8:$A$502=$A380)*('Budget original'!$C$3:$AO$3=F$2),'Budget original'!$C$8:$AO$502)</f>
        <v>0</v>
      </c>
      <c r="G380" s="297"/>
      <c r="H380" s="41"/>
      <c r="I380" s="253"/>
      <c r="J380" s="252"/>
      <c r="K380" s="41"/>
      <c r="L380" s="255">
        <f>SUMIFS(BV_Data_An_Cour!$N:$N,BV_Data_An_Cour!$Q:$Q,$B380,BV_Data_An_Cour!$R:$R,$C380)</f>
        <v>0</v>
      </c>
      <c r="M380" s="252"/>
      <c r="N380" s="275"/>
      <c r="O380" s="252"/>
      <c r="P380" s="41"/>
      <c r="Q380" s="255">
        <f t="array" ref="Q380">+SUMPRODUCT(('Réel 2024'!$A$8:$A$502=$A380)*('Réel 2024'!$C$3:$AO$3=Q$2),'Réel 2024'!$C$8:$AO$502)</f>
        <v>0</v>
      </c>
      <c r="R380" s="252"/>
      <c r="S380" s="275">
        <f t="shared" si="4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45"/>
        <v>BoutiqueFrais véhicules de cie</v>
      </c>
      <c r="B381" s="41" t="s">
        <v>196</v>
      </c>
      <c r="C381" s="312" t="s">
        <v>131</v>
      </c>
      <c r="D381" s="298"/>
      <c r="E381" s="317"/>
      <c r="F381" s="247">
        <f t="array" ref="F381">+SUMPRODUCT(('Budget original'!$A$8:$A$502=$A381)*('Budget original'!$C$3:$AO$3=F$2),'Budget original'!$C$8:$AO$502)</f>
        <v>0</v>
      </c>
      <c r="G381" s="299"/>
      <c r="H381" s="317"/>
      <c r="I381" s="247"/>
      <c r="J381" s="245"/>
      <c r="K381" s="317"/>
      <c r="L381" s="247">
        <f>SUMIFS(BV_Data_An_Cour!$N:$N,BV_Data_An_Cour!$Q:$Q,$B381,BV_Data_An_Cour!$R:$R,$C381)</f>
        <v>0</v>
      </c>
      <c r="M381" s="245"/>
      <c r="N381" s="295"/>
      <c r="O381" s="245"/>
      <c r="P381" s="317"/>
      <c r="Q381" s="247">
        <f t="array" ref="Q381">+SUMPRODUCT(('Réel 2024'!$A$8:$A$502=$A381)*('Réel 2024'!$C$3:$AO$3=Q$2),'Réel 2024'!$C$8:$AO$502)</f>
        <v>0</v>
      </c>
      <c r="R381" s="245"/>
      <c r="S381" s="295">
        <f t="shared" si="4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45"/>
        <v>BoutiqueInformatique</v>
      </c>
      <c r="B382" s="41" t="s">
        <v>196</v>
      </c>
      <c r="C382" s="311" t="s">
        <v>132</v>
      </c>
      <c r="D382" s="296"/>
      <c r="E382" s="41"/>
      <c r="F382" s="253">
        <f t="array" ref="F382">+SUMPRODUCT(('Budget original'!$A$8:$A$502=$A382)*('Budget original'!$C$3:$AO$3=F$2),'Budget original'!$C$8:$AO$502)</f>
        <v>0</v>
      </c>
      <c r="G382" s="297"/>
      <c r="H382" s="41"/>
      <c r="I382" s="253"/>
      <c r="J382" s="252"/>
      <c r="K382" s="41"/>
      <c r="L382" s="255">
        <f>SUMIFS(BV_Data_An_Cour!$N:$N,BV_Data_An_Cour!$Q:$Q,$B382,BV_Data_An_Cour!$R:$R,$C382)</f>
        <v>0</v>
      </c>
      <c r="M382" s="252"/>
      <c r="N382" s="275"/>
      <c r="O382" s="252"/>
      <c r="P382" s="41"/>
      <c r="Q382" s="255">
        <f t="array" ref="Q382">+SUMPRODUCT(('Réel 2024'!$A$8:$A$502=$A382)*('Réel 2024'!$C$3:$AO$3=Q$2),'Réel 2024'!$C$8:$AO$502)</f>
        <v>0</v>
      </c>
      <c r="R382" s="252"/>
      <c r="S382" s="275">
        <f t="shared" si="4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45"/>
        <v>BoutiqueFrais de déplacement</v>
      </c>
      <c r="B383" s="41" t="s">
        <v>196</v>
      </c>
      <c r="C383" s="311" t="s">
        <v>133</v>
      </c>
      <c r="D383" s="296"/>
      <c r="E383" s="41"/>
      <c r="F383" s="253">
        <f t="array" ref="F383">+SUMPRODUCT(('Budget original'!$A$8:$A$502=$A383)*('Budget original'!$C$3:$AO$3=F$2),'Budget original'!$C$8:$AO$502)</f>
        <v>0</v>
      </c>
      <c r="G383" s="297"/>
      <c r="H383" s="41"/>
      <c r="I383" s="253"/>
      <c r="J383" s="252"/>
      <c r="K383" s="41"/>
      <c r="L383" s="255">
        <f>SUMIFS(BV_Data_An_Cour!$N:$N,BV_Data_An_Cour!$Q:$Q,$B383,BV_Data_An_Cour!$R:$R,$C383)</f>
        <v>0</v>
      </c>
      <c r="M383" s="252"/>
      <c r="N383" s="275"/>
      <c r="O383" s="252"/>
      <c r="P383" s="41"/>
      <c r="Q383" s="255">
        <f t="array" ref="Q383">+SUMPRODUCT(('Réel 2024'!$A$8:$A$502=$A383)*('Réel 2024'!$C$3:$AO$3=Q$2),'Réel 2024'!$C$8:$AO$502)</f>
        <v>0</v>
      </c>
      <c r="R383" s="252"/>
      <c r="S383" s="275">
        <f t="shared" si="4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45"/>
        <v>BoutiqueServices extérieurs</v>
      </c>
      <c r="B384" s="41" t="s">
        <v>196</v>
      </c>
      <c r="C384" s="311" t="s">
        <v>134</v>
      </c>
      <c r="D384" s="298"/>
      <c r="E384" s="317"/>
      <c r="F384" s="247">
        <f t="array" ref="F384">+SUMPRODUCT(('Budget original'!$A$8:$A$502=$A384)*('Budget original'!$C$3:$AO$3=F$2),'Budget original'!$C$8:$AO$502)</f>
        <v>0</v>
      </c>
      <c r="G384" s="299"/>
      <c r="H384" s="317"/>
      <c r="I384" s="247"/>
      <c r="J384" s="245"/>
      <c r="K384" s="317"/>
      <c r="L384" s="247">
        <f>SUMIFS(BV_Data_An_Cour!$N:$N,BV_Data_An_Cour!$Q:$Q,$B384,BV_Data_An_Cour!$R:$R,$C384)</f>
        <v>0</v>
      </c>
      <c r="M384" s="245"/>
      <c r="N384" s="295"/>
      <c r="O384" s="245"/>
      <c r="P384" s="317"/>
      <c r="Q384" s="247">
        <f t="array" ref="Q384">+SUMPRODUCT(('Réel 2024'!$A$8:$A$502=$A384)*('Réel 2024'!$C$3:$AO$3=Q$2),'Réel 2024'!$C$8:$AO$502)</f>
        <v>0</v>
      </c>
      <c r="R384" s="245"/>
      <c r="S384" s="295">
        <f t="shared" si="4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45"/>
        <v>BoutiqueFournitures autres</v>
      </c>
      <c r="B385" s="41" t="s">
        <v>196</v>
      </c>
      <c r="C385" s="405" t="s">
        <v>135</v>
      </c>
      <c r="D385" s="296"/>
      <c r="E385" s="41"/>
      <c r="F385" s="253">
        <f t="array" ref="F385">+SUMPRODUCT(('Budget original'!$A$8:$A$502=$A385)*('Budget original'!$C$3:$AO$3=F$2),'Budget original'!$C$8:$AO$502)</f>
        <v>0</v>
      </c>
      <c r="G385" s="297"/>
      <c r="H385" s="41"/>
      <c r="I385" s="253"/>
      <c r="J385" s="252"/>
      <c r="K385" s="41"/>
      <c r="L385" s="255">
        <f>SUMIFS(BV_Data_An_Cour!$N:$N,BV_Data_An_Cour!$Q:$Q,$B385,BV_Data_An_Cour!$R:$R,$C385)</f>
        <v>0</v>
      </c>
      <c r="M385" s="252"/>
      <c r="N385" s="275"/>
      <c r="O385" s="252"/>
      <c r="P385" s="41"/>
      <c r="Q385" s="255">
        <f t="array" ref="Q385">+SUMPRODUCT(('Réel 2024'!$A$8:$A$502=$A385)*('Réel 2024'!$C$3:$AO$3=Q$2),'Réel 2024'!$C$8:$AO$502)</f>
        <v>0</v>
      </c>
      <c r="R385" s="252"/>
      <c r="S385" s="275">
        <f t="shared" si="4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45"/>
        <v>BoutiqueUniformes</v>
      </c>
      <c r="B386" s="41" t="s">
        <v>196</v>
      </c>
      <c r="C386" s="311" t="s">
        <v>136</v>
      </c>
      <c r="D386" s="296"/>
      <c r="E386" s="41"/>
      <c r="F386" s="253">
        <f t="array" ref="F386">+SUMPRODUCT(('Budget original'!$A$8:$A$502=$A386)*('Budget original'!$C$3:$AO$3=F$2),'Budget original'!$C$8:$AO$502)</f>
        <v>0</v>
      </c>
      <c r="G386" s="297"/>
      <c r="H386" s="41"/>
      <c r="I386" s="253"/>
      <c r="J386" s="252"/>
      <c r="K386" s="41"/>
      <c r="L386" s="255">
        <f>SUMIFS(BV_Data_An_Cour!$N:$N,BV_Data_An_Cour!$Q:$Q,$B386,BV_Data_An_Cour!$R:$R,$C386)</f>
        <v>0</v>
      </c>
      <c r="M386" s="252"/>
      <c r="N386" s="275"/>
      <c r="O386" s="252"/>
      <c r="P386" s="41"/>
      <c r="Q386" s="255">
        <f t="array" ref="Q386">+SUMPRODUCT(('Réel 2024'!$A$8:$A$502=$A386)*('Réel 2024'!$C$3:$AO$3=Q$2),'Réel 2024'!$C$8:$AO$502)</f>
        <v>0</v>
      </c>
      <c r="R386" s="252"/>
      <c r="S386" s="275">
        <f t="shared" si="4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45"/>
        <v>BoutiquePapeterie</v>
      </c>
      <c r="B387" s="41" t="s">
        <v>196</v>
      </c>
      <c r="C387" s="311" t="s">
        <v>137</v>
      </c>
      <c r="D387" s="296"/>
      <c r="E387" s="41"/>
      <c r="F387" s="253">
        <f t="array" ref="F387">+SUMPRODUCT(('Budget original'!$A$8:$A$502=$A387)*('Budget original'!$C$3:$AO$3=F$2),'Budget original'!$C$8:$AO$502)</f>
        <v>0</v>
      </c>
      <c r="G387" s="297"/>
      <c r="H387" s="41"/>
      <c r="I387" s="253"/>
      <c r="J387" s="252"/>
      <c r="K387" s="41"/>
      <c r="L387" s="255">
        <f>SUMIFS(BV_Data_An_Cour!$N:$N,BV_Data_An_Cour!$Q:$Q,$B387,BV_Data_An_Cour!$R:$R,$C387)</f>
        <v>0</v>
      </c>
      <c r="M387" s="252"/>
      <c r="N387" s="275"/>
      <c r="O387" s="252"/>
      <c r="P387" s="41"/>
      <c r="Q387" s="255">
        <f t="array" ref="Q387">+SUMPRODUCT(('Réel 2024'!$A$8:$A$502=$A387)*('Réel 2024'!$C$3:$AO$3=Q$2),'Réel 2024'!$C$8:$AO$502)</f>
        <v>0</v>
      </c>
      <c r="R387" s="252"/>
      <c r="S387" s="275">
        <f t="shared" si="4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45"/>
        <v>BoutiqueTéléphone</v>
      </c>
      <c r="B388" s="41" t="s">
        <v>196</v>
      </c>
      <c r="C388" s="311" t="s">
        <v>138</v>
      </c>
      <c r="D388" s="296"/>
      <c r="E388" s="41"/>
      <c r="F388" s="253">
        <f t="array" ref="F388">+SUMPRODUCT(('Budget original'!$A$8:$A$502=$A388)*('Budget original'!$C$3:$AO$3=F$2),'Budget original'!$C$8:$AO$502)</f>
        <v>0</v>
      </c>
      <c r="G388" s="297"/>
      <c r="H388" s="41"/>
      <c r="I388" s="253"/>
      <c r="J388" s="252"/>
      <c r="K388" s="41"/>
      <c r="L388" s="255">
        <f>SUMIFS(BV_Data_An_Cour!$N:$N,BV_Data_An_Cour!$Q:$Q,$B388,BV_Data_An_Cour!$R:$R,$C388)</f>
        <v>0</v>
      </c>
      <c r="M388" s="252"/>
      <c r="N388" s="275"/>
      <c r="O388" s="252"/>
      <c r="P388" s="41"/>
      <c r="Q388" s="255">
        <f t="array" ref="Q388">+SUMPRODUCT(('Réel 2024'!$A$8:$A$502=$A388)*('Réel 2024'!$C$3:$AO$3=Q$2),'Réel 2024'!$C$8:$AO$502)</f>
        <v>0</v>
      </c>
      <c r="R388" s="252"/>
      <c r="S388" s="275">
        <f t="shared" si="4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45"/>
        <v>BoutiqueFrais postaux</v>
      </c>
      <c r="B389" s="41" t="s">
        <v>196</v>
      </c>
      <c r="C389" s="311" t="s">
        <v>139</v>
      </c>
      <c r="D389" s="296"/>
      <c r="E389" s="41"/>
      <c r="F389" s="253">
        <f t="array" ref="F389">+SUMPRODUCT(('Budget original'!$A$8:$A$502=$A389)*('Budget original'!$C$3:$AO$3=F$2),'Budget original'!$C$8:$AO$502)</f>
        <v>0</v>
      </c>
      <c r="G389" s="297"/>
      <c r="H389" s="41"/>
      <c r="I389" s="253"/>
      <c r="J389" s="252"/>
      <c r="K389" s="41"/>
      <c r="L389" s="255">
        <f>SUMIFS(BV_Data_An_Cour!$N:$N,BV_Data_An_Cour!$Q:$Q,$B389,BV_Data_An_Cour!$R:$R,$C389)</f>
        <v>0</v>
      </c>
      <c r="M389" s="252"/>
      <c r="N389" s="275"/>
      <c r="O389" s="252"/>
      <c r="P389" s="41"/>
      <c r="Q389" s="255">
        <f t="array" ref="Q389">+SUMPRODUCT(('Réel 2024'!$A$8:$A$502=$A389)*('Réel 2024'!$C$3:$AO$3=Q$2),'Réel 2024'!$C$8:$AO$502)</f>
        <v>0</v>
      </c>
      <c r="R389" s="252"/>
      <c r="S389" s="275">
        <f t="shared" si="4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45"/>
        <v>BoutiqueDivers</v>
      </c>
      <c r="B390" s="41" t="s">
        <v>196</v>
      </c>
      <c r="C390" s="311" t="s">
        <v>140</v>
      </c>
      <c r="D390" s="296"/>
      <c r="E390" s="41"/>
      <c r="F390" s="253">
        <f t="array" ref="F390">+SUMPRODUCT(('Budget original'!$A$8:$A$502=$A390)*('Budget original'!$C$3:$AO$3=F$2),'Budget original'!$C$8:$AO$502)</f>
        <v>0</v>
      </c>
      <c r="G390" s="297"/>
      <c r="H390" s="41"/>
      <c r="I390" s="253"/>
      <c r="J390" s="252"/>
      <c r="K390" s="41"/>
      <c r="L390" s="255">
        <f>SUMIFS(BV_Data_An_Cour!$N:$N,BV_Data_An_Cour!$Q:$Q,$B390,BV_Data_An_Cour!$R:$R,$C390)</f>
        <v>0</v>
      </c>
      <c r="M390" s="252"/>
      <c r="N390" s="275"/>
      <c r="O390" s="252"/>
      <c r="P390" s="41"/>
      <c r="Q390" s="255">
        <f t="array" ref="Q390">+SUMPRODUCT(('Réel 2024'!$A$8:$A$502=$A390)*('Réel 2024'!$C$3:$AO$3=Q$2),'Réel 2024'!$C$8:$AO$502)</f>
        <v>0</v>
      </c>
      <c r="R390" s="252"/>
      <c r="S390" s="275">
        <f t="shared" si="4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45"/>
        <v>BoutiqueFormation</v>
      </c>
      <c r="B391" s="41" t="s">
        <v>196</v>
      </c>
      <c r="C391" s="311" t="s">
        <v>141</v>
      </c>
      <c r="D391" s="296"/>
      <c r="E391" s="41"/>
      <c r="F391" s="253">
        <f t="array" ref="F391">+SUMPRODUCT(('Budget original'!$A$8:$A$502=$A391)*('Budget original'!$C$3:$AO$3=F$2),'Budget original'!$C$8:$AO$502)</f>
        <v>0</v>
      </c>
      <c r="G391" s="297"/>
      <c r="H391" s="41"/>
      <c r="I391" s="253"/>
      <c r="J391" s="252"/>
      <c r="K391" s="41"/>
      <c r="L391" s="255">
        <f>SUMIFS(BV_Data_An_Cour!$N:$N,BV_Data_An_Cour!$Q:$Q,$B391,BV_Data_An_Cour!$R:$R,$C391)</f>
        <v>0</v>
      </c>
      <c r="M391" s="252"/>
      <c r="N391" s="275"/>
      <c r="O391" s="252"/>
      <c r="P391" s="41"/>
      <c r="Q391" s="255">
        <f t="array" ref="Q391">+SUMPRODUCT(('Réel 2024'!$A$8:$A$502=$A391)*('Réel 2024'!$C$3:$AO$3=Q$2),'Réel 2024'!$C$8:$AO$502)</f>
        <v>0</v>
      </c>
      <c r="R391" s="252"/>
      <c r="S391" s="275">
        <f t="shared" si="4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45"/>
        <v>BoutiqueFrais bancaires</v>
      </c>
      <c r="B392" s="41" t="s">
        <v>196</v>
      </c>
      <c r="C392" s="311" t="s">
        <v>142</v>
      </c>
      <c r="D392" s="296"/>
      <c r="E392" s="41"/>
      <c r="F392" s="253">
        <f t="array" ref="F392">+SUMPRODUCT(('Budget original'!$A$8:$A$502=$A392)*('Budget original'!$C$3:$AO$3=F$2),'Budget original'!$C$8:$AO$502)</f>
        <v>0</v>
      </c>
      <c r="G392" s="297"/>
      <c r="H392" s="41"/>
      <c r="I392" s="253"/>
      <c r="J392" s="252"/>
      <c r="K392" s="41"/>
      <c r="L392" s="255">
        <f>SUMIFS(BV_Data_An_Cour!$N:$N,BV_Data_An_Cour!$Q:$Q,$B392,BV_Data_An_Cour!$R:$R,$C392)</f>
        <v>0</v>
      </c>
      <c r="M392" s="252"/>
      <c r="N392" s="275"/>
      <c r="O392" s="252"/>
      <c r="P392" s="41"/>
      <c r="Q392" s="255">
        <f t="array" ref="Q392">+SUMPRODUCT(('Réel 2024'!$A$8:$A$502=$A392)*('Réel 2024'!$C$3:$AO$3=Q$2),'Réel 2024'!$C$8:$AO$502)</f>
        <v>0</v>
      </c>
      <c r="R392" s="252"/>
      <c r="S392" s="275">
        <f t="shared" si="4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45"/>
        <v>Boutique[...]</v>
      </c>
      <c r="B393" s="41" t="s">
        <v>196</v>
      </c>
      <c r="C393" s="311" t="s">
        <v>59</v>
      </c>
      <c r="D393" s="296"/>
      <c r="E393" s="41"/>
      <c r="F393" s="253">
        <f t="array" ref="F393">+SUMPRODUCT(('Budget original'!$A$8:$A$502=$A393)*('Budget original'!$C$3:$AO$3=F$2),'Budget original'!$C$8:$AO$502)</f>
        <v>0</v>
      </c>
      <c r="G393" s="297"/>
      <c r="H393" s="41"/>
      <c r="I393" s="253"/>
      <c r="J393" s="252"/>
      <c r="K393" s="41"/>
      <c r="L393" s="255">
        <f>SUMIFS(BV_Data_An_Cour!$N:$N,BV_Data_An_Cour!$Q:$Q,$B393,BV_Data_An_Cour!$R:$R,$C393)</f>
        <v>0</v>
      </c>
      <c r="M393" s="252"/>
      <c r="N393" s="275"/>
      <c r="O393" s="252"/>
      <c r="P393" s="41"/>
      <c r="Q393" s="255">
        <f t="array" ref="Q393">+SUMPRODUCT(('Réel 2024'!$A$8:$A$502=$A393)*('Réel 2024'!$C$3:$AO$3=Q$2),'Réel 2024'!$C$8:$AO$502)</f>
        <v>0</v>
      </c>
      <c r="R393" s="252"/>
      <c r="S393" s="275">
        <f t="shared" si="4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45"/>
        <v>Boutique[...]</v>
      </c>
      <c r="B394" s="41" t="s">
        <v>196</v>
      </c>
      <c r="C394" s="311" t="s">
        <v>59</v>
      </c>
      <c r="D394" s="296"/>
      <c r="E394" s="41"/>
      <c r="F394" s="253">
        <f t="array" ref="F394">+SUMPRODUCT(('Budget original'!$A$8:$A$502=$A394)*('Budget original'!$C$3:$AO$3=F$2),'Budget original'!$C$8:$AO$502)</f>
        <v>0</v>
      </c>
      <c r="G394" s="297"/>
      <c r="H394" s="41"/>
      <c r="I394" s="253"/>
      <c r="J394" s="252"/>
      <c r="K394" s="41"/>
      <c r="L394" s="255">
        <f>SUMIFS(BV_Data_An_Cour!$N:$N,BV_Data_An_Cour!$Q:$Q,$B394,BV_Data_An_Cour!$R:$R,$C394)</f>
        <v>0</v>
      </c>
      <c r="M394" s="252"/>
      <c r="N394" s="275"/>
      <c r="O394" s="252"/>
      <c r="P394" s="41"/>
      <c r="Q394" s="255">
        <f t="array" ref="Q394">+SUMPRODUCT(('Réel 2024'!$A$8:$A$502=$A394)*('Réel 2024'!$C$3:$AO$3=Q$2),'Réel 2024'!$C$8:$AO$502)</f>
        <v>0</v>
      </c>
      <c r="R394" s="252"/>
      <c r="S394" s="275">
        <f t="shared" si="46"/>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45"/>
        <v>Boutique[...]</v>
      </c>
      <c r="B395" s="41" t="s">
        <v>196</v>
      </c>
      <c r="C395" s="311" t="s">
        <v>59</v>
      </c>
      <c r="D395" s="298"/>
      <c r="E395" s="317"/>
      <c r="F395" s="253">
        <f t="array" ref="F395">+SUMPRODUCT(('Budget original'!$A$8:$A$502=$A395)*('Budget original'!$C$3:$AO$3=F$2),'Budget original'!$C$8:$AO$502)</f>
        <v>0</v>
      </c>
      <c r="G395" s="299"/>
      <c r="H395" s="317"/>
      <c r="I395" s="253"/>
      <c r="J395" s="245"/>
      <c r="K395" s="317"/>
      <c r="L395" s="255">
        <f>SUMIFS(BV_Data_An_Cour!$N:$N,BV_Data_An_Cour!$Q:$Q,$B395,BV_Data_An_Cour!$R:$R,$C395)</f>
        <v>0</v>
      </c>
      <c r="M395" s="245"/>
      <c r="N395" s="295"/>
      <c r="O395" s="245"/>
      <c r="P395" s="317"/>
      <c r="Q395" s="255">
        <f t="array" ref="Q395">+SUMPRODUCT(('Réel 2024'!$A$8:$A$502=$A395)*('Réel 2024'!$C$3:$AO$3=Q$2),'Réel 2024'!$C$8:$AO$502)</f>
        <v>0</v>
      </c>
      <c r="R395" s="245"/>
      <c r="S395" s="295">
        <f t="shared" si="46"/>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568"/>
      <c r="AE400" s="38"/>
      <c r="AF400" s="38"/>
      <c r="AG400" s="38"/>
      <c r="AH400" s="38"/>
      <c r="AI400" s="38"/>
      <c r="AJ400" s="38"/>
      <c r="AK400" s="38"/>
      <c r="AL400" s="38"/>
      <c r="AM400" s="38"/>
      <c r="AN400" s="38"/>
    </row>
    <row r="401" spans="1:61" ht="15.75" customHeight="1">
      <c r="B401" s="3"/>
      <c r="C401" s="11"/>
      <c r="D401" s="296"/>
      <c r="E401" s="41"/>
      <c r="F401" s="318"/>
      <c r="G401" s="296"/>
      <c r="H401" s="41"/>
      <c r="I401" s="318"/>
      <c r="J401" s="11"/>
      <c r="K401" s="11"/>
      <c r="L401" s="318"/>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8">
        <f>F354+F234+F290</f>
        <v>618116.39634737768</v>
      </c>
      <c r="L402" s="318">
        <f>L354+L234+L290</f>
        <v>807294.51000000013</v>
      </c>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9"/>
      <c r="N403" s="569"/>
      <c r="O403" s="569"/>
      <c r="P403" s="38"/>
      <c r="Q403" s="570"/>
      <c r="R403" s="38"/>
      <c r="U403" s="571"/>
      <c r="V403" s="846" t="str">
        <f>C1</f>
        <v>Volks</v>
      </c>
      <c r="W403" s="36"/>
      <c r="X403" s="36"/>
      <c r="Y403" s="36"/>
      <c r="Z403" s="36"/>
      <c r="AA403" s="36"/>
      <c r="AB403" s="36"/>
      <c r="AC403" s="36"/>
      <c r="AD403" s="36"/>
      <c r="AE403" s="9" t="s">
        <v>3254</v>
      </c>
      <c r="AF403" s="36"/>
      <c r="AG403" s="36"/>
      <c r="AH403" s="36"/>
      <c r="AI403" s="36"/>
      <c r="AJ403" s="854"/>
      <c r="AK403" s="855"/>
      <c r="AL403" s="856"/>
      <c r="AM403" s="856"/>
      <c r="AN403" s="856"/>
      <c r="AO403" s="858" t="str">
        <f>$S$1</f>
        <v>Réalisé AAJ, Juillet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38"/>
      <c r="D404" s="38"/>
      <c r="E404" s="38"/>
      <c r="F404" s="38"/>
      <c r="G404" s="38"/>
      <c r="H404" s="38"/>
      <c r="I404" s="38"/>
      <c r="J404" s="38"/>
      <c r="K404" s="38"/>
      <c r="L404" s="38"/>
      <c r="M404" s="569"/>
      <c r="N404" s="569"/>
      <c r="O404" s="569"/>
      <c r="P404" s="554"/>
      <c r="Q404" s="570"/>
      <c r="R404" s="38"/>
      <c r="S404" s="572"/>
      <c r="T404" s="572"/>
      <c r="U404" s="571"/>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ref="A405:A440" si="47">+U405&amp;V405</f>
        <v/>
      </c>
      <c r="B405" s="3"/>
      <c r="C405" s="38"/>
      <c r="D405" s="38"/>
      <c r="E405" s="38"/>
      <c r="F405" s="38"/>
      <c r="G405" s="38"/>
      <c r="H405" s="38"/>
      <c r="I405" s="38"/>
      <c r="J405" s="38"/>
      <c r="K405" s="38"/>
      <c r="L405" s="38"/>
      <c r="M405" s="569"/>
      <c r="N405" s="569"/>
      <c r="O405" s="569"/>
      <c r="P405" s="554"/>
      <c r="Q405" s="570"/>
      <c r="R405" s="38"/>
      <c r="S405" s="572"/>
      <c r="T405" s="572"/>
      <c r="U405" s="571"/>
      <c r="V405" s="434"/>
      <c r="W405" s="435"/>
      <c r="X405" s="1184" t="s">
        <v>599</v>
      </c>
      <c r="Y405" s="1176"/>
      <c r="Z405" s="1185"/>
      <c r="AA405" s="1175"/>
      <c r="AB405" s="1176"/>
      <c r="AC405" s="1185"/>
      <c r="AD405" s="1175" t="s">
        <v>344</v>
      </c>
      <c r="AE405" s="1176"/>
      <c r="AF405" s="1185"/>
      <c r="AG405" s="1175" t="s">
        <v>3255</v>
      </c>
      <c r="AH405" s="1176"/>
      <c r="AI405" s="1185"/>
      <c r="AJ405" s="1175" t="s">
        <v>600</v>
      </c>
      <c r="AK405" s="1176"/>
      <c r="AL405" s="1176"/>
      <c r="AM405" s="1175" t="s">
        <v>601</v>
      </c>
      <c r="AN405" s="1176"/>
      <c r="AO405" s="1177"/>
      <c r="AP405" s="38"/>
      <c r="AQ405" s="573" t="s">
        <v>648</v>
      </c>
      <c r="AR405" s="574" t="s">
        <v>649</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47"/>
        <v/>
      </c>
      <c r="B406" s="3"/>
      <c r="C406" s="38"/>
      <c r="D406" s="38"/>
      <c r="E406" s="38"/>
      <c r="F406" s="38"/>
      <c r="G406" s="38"/>
      <c r="H406" s="38"/>
      <c r="I406" s="38"/>
      <c r="J406" s="38"/>
      <c r="K406" s="38"/>
      <c r="M406" s="575"/>
      <c r="N406" s="38"/>
      <c r="O406" s="575"/>
      <c r="P406" s="554"/>
      <c r="Q406" s="570"/>
      <c r="R406" s="38"/>
      <c r="S406" s="572"/>
      <c r="T406" s="572"/>
      <c r="U406" s="38"/>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550"/>
      <c r="AR406" s="549"/>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47"/>
        <v>Ventes nettes</v>
      </c>
      <c r="B407" s="3"/>
      <c r="C407" s="38"/>
      <c r="D407" s="38"/>
      <c r="E407" s="38"/>
      <c r="F407" s="38"/>
      <c r="G407" s="38"/>
      <c r="H407" s="38"/>
      <c r="I407" s="38"/>
      <c r="J407" s="569"/>
      <c r="K407" s="571"/>
      <c r="L407" s="38"/>
      <c r="M407" s="569"/>
      <c r="N407" s="568"/>
      <c r="O407" s="568"/>
      <c r="P407" s="554"/>
      <c r="Q407" s="570"/>
      <c r="R407" s="38"/>
      <c r="S407" s="572"/>
      <c r="T407" s="572"/>
      <c r="U407" s="38"/>
      <c r="V407" s="312" t="s">
        <v>96</v>
      </c>
      <c r="W407" s="439"/>
      <c r="X407" s="439"/>
      <c r="Y407" s="439"/>
      <c r="Z407" s="440">
        <f>F5+F93+E195+E251+D315+D363</f>
        <v>39955961.626563847</v>
      </c>
      <c r="AA407" s="439"/>
      <c r="AB407" s="439"/>
      <c r="AC407" s="440"/>
      <c r="AD407" s="441"/>
      <c r="AE407" s="442"/>
      <c r="AF407" s="442">
        <f>L5+L93+K195+K251+J315+J363</f>
        <v>36317453.960000001</v>
      </c>
      <c r="AG407" s="441"/>
      <c r="AH407" s="442"/>
      <c r="AI407" s="443"/>
      <c r="AJ407" s="441"/>
      <c r="AK407" s="442"/>
      <c r="AL407" s="442">
        <f>Q5+Q93+P195+P251+O315+O363</f>
        <v>34188617.439999975</v>
      </c>
      <c r="AM407" s="444"/>
      <c r="AN407" s="442"/>
      <c r="AO407" s="445"/>
      <c r="AP407" s="38"/>
      <c r="AQ407" s="444">
        <v>54204064.640000001</v>
      </c>
      <c r="AR407" s="576">
        <f>AF407-AQ407</f>
        <v>-17886610.68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47"/>
        <v>Profit brut</v>
      </c>
      <c r="B408" s="3"/>
      <c r="C408" s="38"/>
      <c r="D408" s="38"/>
      <c r="E408" s="38"/>
      <c r="F408" s="38"/>
      <c r="G408" s="38"/>
      <c r="H408" s="38"/>
      <c r="I408" s="38"/>
      <c r="J408" s="569"/>
      <c r="K408" s="571"/>
      <c r="L408" s="38"/>
      <c r="M408" s="569"/>
      <c r="N408" s="569"/>
      <c r="O408" s="569"/>
      <c r="P408" s="554"/>
      <c r="Q408" s="570"/>
      <c r="R408" s="38"/>
      <c r="U408" s="571"/>
      <c r="V408" s="446" t="s">
        <v>202</v>
      </c>
      <c r="W408" s="447"/>
      <c r="X408" s="474"/>
      <c r="Y408" s="447"/>
      <c r="Z408" s="448">
        <f>F27+F109+F195+F251+F315+F363</f>
        <v>5604351.0051567936</v>
      </c>
      <c r="AA408" s="447"/>
      <c r="AB408" s="447"/>
      <c r="AC408" s="448"/>
      <c r="AD408" s="474">
        <f>AF408/AF$407</f>
        <v>0.11985583694259604</v>
      </c>
      <c r="AE408" s="450"/>
      <c r="AF408" s="450">
        <f>L27+L109+L195+L251+L315+L363</f>
        <v>4352858.8399999989</v>
      </c>
      <c r="AG408" s="449"/>
      <c r="AH408" s="450">
        <f>AF408-Z408</f>
        <v>-1251492.1651567947</v>
      </c>
      <c r="AI408" s="451">
        <f>AH408/Z408</f>
        <v>-0.22330724182072917</v>
      </c>
      <c r="AJ408" s="474">
        <f>+AL408/AL407</f>
        <v>0.13277400813198836</v>
      </c>
      <c r="AK408" s="450"/>
      <c r="AL408" s="450">
        <f>Q27+Q109+Q195+Q251+Q315+Q363</f>
        <v>4539359.7699999958</v>
      </c>
      <c r="AM408" s="452"/>
      <c r="AN408" s="450">
        <f>AF408-AL408</f>
        <v>-186500.92999999691</v>
      </c>
      <c r="AO408" s="453">
        <f>IF(AL408=0,0,AN408/AL408)</f>
        <v>-4.1085293840897104E-2</v>
      </c>
      <c r="AP408" s="94"/>
      <c r="AQ408" s="452">
        <v>7795760.1900000032</v>
      </c>
      <c r="AR408" s="577">
        <f>AF408-AQ408</f>
        <v>-3442901.3500000043</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47"/>
        <v>DÉPENSES</v>
      </c>
      <c r="B409" s="3"/>
      <c r="C409" s="38"/>
      <c r="D409" s="38"/>
      <c r="E409" s="38"/>
      <c r="F409" s="38"/>
      <c r="G409" s="38"/>
      <c r="H409" s="38"/>
      <c r="I409" s="38"/>
      <c r="J409" s="94"/>
      <c r="K409" s="571"/>
      <c r="L409" s="38"/>
      <c r="M409" s="569"/>
      <c r="N409" s="569"/>
      <c r="O409" s="569"/>
      <c r="P409" s="554"/>
      <c r="Q409" s="570"/>
      <c r="R409" s="38"/>
      <c r="S409" s="572"/>
      <c r="T409" s="572"/>
      <c r="U409" s="571"/>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94"/>
      <c r="AQ409" s="460"/>
      <c r="AR409" s="511"/>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47"/>
        <v>Comm. vendeurs</v>
      </c>
      <c r="B410" s="3"/>
      <c r="C410" s="38"/>
      <c r="D410" s="38"/>
      <c r="E410" s="38"/>
      <c r="F410" s="38"/>
      <c r="G410" s="38"/>
      <c r="H410" s="38"/>
      <c r="I410" s="38"/>
      <c r="J410" s="569"/>
      <c r="K410" s="571"/>
      <c r="L410" s="38"/>
      <c r="M410" s="569"/>
      <c r="N410" s="569"/>
      <c r="O410" s="569"/>
      <c r="P410" s="554"/>
      <c r="Q410" s="570"/>
      <c r="R410" s="38"/>
      <c r="S410" s="572"/>
      <c r="T410" s="572"/>
      <c r="U410" s="571"/>
      <c r="V410" s="311" t="s">
        <v>111</v>
      </c>
      <c r="W410" s="462" t="s">
        <v>606</v>
      </c>
      <c r="X410" s="455"/>
      <c r="Y410" s="463">
        <f t="shared" ref="Y410:Y419" si="48">Z410/(D$13+D$97)</f>
        <v>640.80962431357307</v>
      </c>
      <c r="Z410" s="456">
        <f t="shared" ref="Z410:Z419" si="49">+SUMIF($C:$C,$V410,F:F)</f>
        <v>483170.4567324341</v>
      </c>
      <c r="AA410" s="455"/>
      <c r="AB410" s="463"/>
      <c r="AC410" s="456"/>
      <c r="AD410" s="464"/>
      <c r="AE410" s="463">
        <f t="shared" ref="AE410:AE415" si="50">IF(AF410=0,0,AF410/(J$13+J$97))</f>
        <v>676.74052536231875</v>
      </c>
      <c r="AF410" s="456">
        <f t="shared" ref="AF410:AF419" si="51">+SUMIF($C:$C,$V410,L:L)</f>
        <v>373560.76999999996</v>
      </c>
      <c r="AG410" s="457">
        <f t="shared" ref="AG410:AG419" si="52">AE410-Y410</f>
        <v>35.930901048745682</v>
      </c>
      <c r="AH410" s="458">
        <f t="shared" ref="AH410:AH419" si="53">AF410-Z410</f>
        <v>-109609.68673243414</v>
      </c>
      <c r="AI410" s="459">
        <f t="shared" ref="AI410:AI419" si="54">IF(Z410=0,0,AH410/Z410)</f>
        <v>-0.22685510921693797</v>
      </c>
      <c r="AJ410" s="464"/>
      <c r="AK410" s="458">
        <f t="shared" ref="AK410:AK419" si="55">AL410/(O$13+O$97)</f>
        <v>666.53471454880287</v>
      </c>
      <c r="AL410" s="456">
        <f t="shared" ref="AL410:AL416" si="56">+SUMIF($C:$C,$V410,Q:Q)</f>
        <v>361928.35</v>
      </c>
      <c r="AM410" s="460">
        <f t="shared" ref="AM410:AM419" si="57">AE410-Y410</f>
        <v>35.930901048745682</v>
      </c>
      <c r="AN410" s="458">
        <f t="shared" ref="AN410:AN432" si="58">AF410-AL410</f>
        <v>11632.419999999984</v>
      </c>
      <c r="AO410" s="465">
        <f t="shared" ref="AO410:AO432" si="59">IF(AL410=0,0,AN410/AL410)</f>
        <v>3.2140118341102551E-2</v>
      </c>
      <c r="AP410" s="94"/>
      <c r="AQ410" s="578">
        <v>778277.40999999992</v>
      </c>
      <c r="AR410" s="511">
        <f t="shared" ref="AR410:AR467" si="60">AF410-AQ410</f>
        <v>-404716.63999999996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47"/>
        <v>Comm. F&amp;I</v>
      </c>
      <c r="B411" s="3"/>
      <c r="C411" s="38"/>
      <c r="D411" s="38"/>
      <c r="E411" s="38"/>
      <c r="F411" s="38"/>
      <c r="G411" s="38"/>
      <c r="H411" s="38"/>
      <c r="I411" s="38"/>
      <c r="J411" s="569"/>
      <c r="K411" s="571"/>
      <c r="M411" s="575"/>
      <c r="N411" s="575"/>
      <c r="O411" s="575"/>
      <c r="Q411" s="570"/>
      <c r="R411" s="38"/>
      <c r="S411" s="572"/>
      <c r="T411" s="572"/>
      <c r="U411" s="38"/>
      <c r="V411" s="312" t="s">
        <v>112</v>
      </c>
      <c r="W411" s="466" t="s">
        <v>607</v>
      </c>
      <c r="X411" s="439"/>
      <c r="Y411" s="467">
        <f t="shared" si="48"/>
        <v>366.12112784678482</v>
      </c>
      <c r="Z411" s="440">
        <f t="shared" si="49"/>
        <v>276055.33039647574</v>
      </c>
      <c r="AA411" s="439"/>
      <c r="AB411" s="467"/>
      <c r="AC411" s="440"/>
      <c r="AD411" s="468"/>
      <c r="AE411" s="467">
        <f t="shared" si="50"/>
        <v>334.66972826086959</v>
      </c>
      <c r="AF411" s="440">
        <f t="shared" si="51"/>
        <v>184737.69</v>
      </c>
      <c r="AG411" s="441">
        <f t="shared" si="52"/>
        <v>-31.451399585915226</v>
      </c>
      <c r="AH411" s="442">
        <f t="shared" si="53"/>
        <v>-91317.640396475734</v>
      </c>
      <c r="AI411" s="469">
        <f t="shared" si="54"/>
        <v>-0.33079470070483213</v>
      </c>
      <c r="AJ411" s="468"/>
      <c r="AK411" s="442">
        <f t="shared" si="55"/>
        <v>387.20618784530382</v>
      </c>
      <c r="AL411" s="440">
        <f t="shared" si="56"/>
        <v>210252.95999999996</v>
      </c>
      <c r="AM411" s="444">
        <f t="shared" si="57"/>
        <v>-31.451399585915226</v>
      </c>
      <c r="AN411" s="442">
        <f t="shared" si="58"/>
        <v>-25515.26999999996</v>
      </c>
      <c r="AO411" s="445">
        <f t="shared" si="59"/>
        <v>-0.12135510482230531</v>
      </c>
      <c r="AP411" s="94"/>
      <c r="AQ411" s="579">
        <v>469053.9</v>
      </c>
      <c r="AR411" s="576">
        <f t="shared" si="60"/>
        <v>-284316.21000000002</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47"/>
        <v>Frais de livraison</v>
      </c>
      <c r="B412" s="3"/>
      <c r="C412" s="38"/>
      <c r="D412" s="38"/>
      <c r="E412" s="38"/>
      <c r="F412" s="38"/>
      <c r="G412" s="38"/>
      <c r="H412" s="38"/>
      <c r="I412" s="38"/>
      <c r="J412" s="569"/>
      <c r="K412" s="38"/>
      <c r="L412" s="38"/>
      <c r="M412" s="575"/>
      <c r="N412" s="568"/>
      <c r="O412" s="568"/>
      <c r="P412" s="554"/>
      <c r="Q412" s="570"/>
      <c r="R412" s="38"/>
      <c r="S412" s="572"/>
      <c r="T412" s="572"/>
      <c r="U412" s="38"/>
      <c r="V412" s="311" t="s">
        <v>113</v>
      </c>
      <c r="W412" s="462" t="s">
        <v>608</v>
      </c>
      <c r="X412" s="455"/>
      <c r="Y412" s="463">
        <f t="shared" si="48"/>
        <v>73.980106100795751</v>
      </c>
      <c r="Z412" s="456">
        <f t="shared" si="49"/>
        <v>55781</v>
      </c>
      <c r="AA412" s="455"/>
      <c r="AB412" s="463"/>
      <c r="AC412" s="456"/>
      <c r="AD412" s="464"/>
      <c r="AE412" s="463">
        <f t="shared" si="50"/>
        <v>39.525543478260865</v>
      </c>
      <c r="AF412" s="456">
        <f t="shared" si="51"/>
        <v>21818.1</v>
      </c>
      <c r="AG412" s="457">
        <f t="shared" si="52"/>
        <v>-34.454562622534887</v>
      </c>
      <c r="AH412" s="458">
        <f t="shared" si="53"/>
        <v>-33962.9</v>
      </c>
      <c r="AI412" s="459">
        <f t="shared" si="54"/>
        <v>-0.6088614402753626</v>
      </c>
      <c r="AJ412" s="464"/>
      <c r="AK412" s="458">
        <f t="shared" si="55"/>
        <v>56.649300184162065</v>
      </c>
      <c r="AL412" s="456">
        <f t="shared" si="56"/>
        <v>30760.570000000003</v>
      </c>
      <c r="AM412" s="460">
        <f t="shared" si="57"/>
        <v>-34.454562622534887</v>
      </c>
      <c r="AN412" s="458">
        <f t="shared" si="58"/>
        <v>-8942.4700000000048</v>
      </c>
      <c r="AO412" s="465">
        <f t="shared" si="59"/>
        <v>-0.29071210318924534</v>
      </c>
      <c r="AP412" s="94"/>
      <c r="AQ412" s="578">
        <v>56454.65</v>
      </c>
      <c r="AR412" s="511">
        <f t="shared" si="60"/>
        <v>-34636.550000000003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47"/>
        <v>Service gratuit 1</v>
      </c>
      <c r="B413" s="3"/>
      <c r="C413" s="38"/>
      <c r="D413" s="38"/>
      <c r="E413" s="38"/>
      <c r="F413" s="38"/>
      <c r="G413" s="38"/>
      <c r="H413" s="38"/>
      <c r="I413" s="38"/>
      <c r="J413" s="38"/>
      <c r="K413" s="38"/>
      <c r="L413" s="38"/>
      <c r="M413" s="569"/>
      <c r="N413" s="569"/>
      <c r="O413" s="569"/>
      <c r="P413" s="554"/>
      <c r="Q413" s="570"/>
      <c r="R413" s="38"/>
      <c r="U413" s="571"/>
      <c r="V413" s="311" t="s">
        <v>114</v>
      </c>
      <c r="W413" s="462" t="s">
        <v>609</v>
      </c>
      <c r="X413" s="455"/>
      <c r="Y413" s="463">
        <f t="shared" si="48"/>
        <v>27.161803713527853</v>
      </c>
      <c r="Z413" s="456">
        <f t="shared" si="49"/>
        <v>20480</v>
      </c>
      <c r="AA413" s="455"/>
      <c r="AB413" s="463"/>
      <c r="AC413" s="456"/>
      <c r="AD413" s="464"/>
      <c r="AE413" s="463">
        <f t="shared" si="50"/>
        <v>25.686557971014491</v>
      </c>
      <c r="AF413" s="456">
        <f t="shared" si="51"/>
        <v>14178.98</v>
      </c>
      <c r="AG413" s="457">
        <f t="shared" si="52"/>
        <v>-1.475245742513362</v>
      </c>
      <c r="AH413" s="458">
        <f t="shared" si="53"/>
        <v>-6301.02</v>
      </c>
      <c r="AI413" s="459">
        <f t="shared" si="54"/>
        <v>-0.30766699218750004</v>
      </c>
      <c r="AJ413" s="464"/>
      <c r="AK413" s="458">
        <f t="shared" si="55"/>
        <v>28.813222836095765</v>
      </c>
      <c r="AL413" s="456">
        <f t="shared" si="56"/>
        <v>15645.58</v>
      </c>
      <c r="AM413" s="460">
        <f t="shared" si="57"/>
        <v>-1.475245742513362</v>
      </c>
      <c r="AN413" s="458">
        <f t="shared" si="58"/>
        <v>-1466.6000000000004</v>
      </c>
      <c r="AO413" s="465">
        <f t="shared" si="59"/>
        <v>-9.3738934574493268E-2</v>
      </c>
      <c r="AP413" s="94"/>
      <c r="AQ413" s="578">
        <v>3117.25</v>
      </c>
      <c r="AR413" s="511">
        <f t="shared" si="60"/>
        <v>11061.73</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47"/>
        <v>Entretien stock</v>
      </c>
      <c r="B414" s="3"/>
      <c r="C414" s="38"/>
      <c r="D414" s="38"/>
      <c r="E414" s="38"/>
      <c r="F414" s="38"/>
      <c r="G414" s="38"/>
      <c r="H414" s="38"/>
      <c r="I414" s="38"/>
      <c r="J414" s="38"/>
      <c r="K414" s="38"/>
      <c r="L414" s="38"/>
      <c r="M414" s="569"/>
      <c r="N414" s="569"/>
      <c r="O414" s="569"/>
      <c r="P414" s="554"/>
      <c r="Q414" s="570"/>
      <c r="R414" s="38"/>
      <c r="S414" s="572"/>
      <c r="T414" s="572"/>
      <c r="U414" s="571"/>
      <c r="V414" s="312" t="s">
        <v>115</v>
      </c>
      <c r="W414" s="466"/>
      <c r="X414" s="439"/>
      <c r="Y414" s="467">
        <f t="shared" si="48"/>
        <v>145.15915119363396</v>
      </c>
      <c r="Z414" s="440">
        <f t="shared" si="49"/>
        <v>109450</v>
      </c>
      <c r="AA414" s="439"/>
      <c r="AB414" s="467"/>
      <c r="AC414" s="440"/>
      <c r="AD414" s="468"/>
      <c r="AE414" s="467">
        <f t="shared" si="50"/>
        <v>129.72445652173911</v>
      </c>
      <c r="AF414" s="440">
        <f t="shared" si="51"/>
        <v>71607.899999999994</v>
      </c>
      <c r="AG414" s="441">
        <f t="shared" si="52"/>
        <v>-15.434694671894846</v>
      </c>
      <c r="AH414" s="442">
        <f t="shared" si="53"/>
        <v>-37842.100000000006</v>
      </c>
      <c r="AI414" s="469">
        <f t="shared" si="54"/>
        <v>-0.34574783005938792</v>
      </c>
      <c r="AJ414" s="468"/>
      <c r="AK414" s="442">
        <f t="shared" si="55"/>
        <v>152.28171270718232</v>
      </c>
      <c r="AL414" s="440">
        <f t="shared" si="56"/>
        <v>82688.97</v>
      </c>
      <c r="AM414" s="444">
        <f t="shared" si="57"/>
        <v>-15.434694671894846</v>
      </c>
      <c r="AN414" s="442">
        <f t="shared" si="58"/>
        <v>-11081.070000000007</v>
      </c>
      <c r="AO414" s="445">
        <f t="shared" si="59"/>
        <v>-0.1340090461883853</v>
      </c>
      <c r="AP414" s="94"/>
      <c r="AQ414" s="579">
        <v>111419.39000000001</v>
      </c>
      <c r="AR414" s="576">
        <f t="shared" si="60"/>
        <v>-39811.49000000002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47"/>
        <v>Publicité 1</v>
      </c>
      <c r="B415" s="3"/>
      <c r="C415" s="38"/>
      <c r="D415" s="38"/>
      <c r="E415" s="38"/>
      <c r="F415" s="38"/>
      <c r="G415" s="38"/>
      <c r="H415" s="38"/>
      <c r="I415" s="38"/>
      <c r="J415" s="38"/>
      <c r="K415" s="38"/>
      <c r="L415" s="38"/>
      <c r="M415" s="569"/>
      <c r="N415" s="569"/>
      <c r="O415" s="569"/>
      <c r="P415" s="554"/>
      <c r="Q415" s="570"/>
      <c r="R415" s="38"/>
      <c r="S415" s="572"/>
      <c r="T415" s="572"/>
      <c r="U415" s="571"/>
      <c r="V415" s="311" t="s">
        <v>116</v>
      </c>
      <c r="W415" s="462" t="s">
        <v>610</v>
      </c>
      <c r="X415" s="459"/>
      <c r="Y415" s="463">
        <f t="shared" si="48"/>
        <v>121.16876657824933</v>
      </c>
      <c r="Z415" s="456">
        <f t="shared" si="49"/>
        <v>91361.25</v>
      </c>
      <c r="AA415" s="459"/>
      <c r="AB415" s="463"/>
      <c r="AC415" s="456"/>
      <c r="AD415" s="464"/>
      <c r="AE415" s="463">
        <f t="shared" si="50"/>
        <v>192.46449275362318</v>
      </c>
      <c r="AF415" s="456">
        <f t="shared" si="51"/>
        <v>106240.4</v>
      </c>
      <c r="AG415" s="457">
        <f t="shared" si="52"/>
        <v>71.295726175373844</v>
      </c>
      <c r="AH415" s="458">
        <f t="shared" si="53"/>
        <v>14879.149999999994</v>
      </c>
      <c r="AI415" s="459">
        <f t="shared" si="54"/>
        <v>0.16286062198141985</v>
      </c>
      <c r="AJ415" s="464"/>
      <c r="AK415" s="458">
        <f t="shared" si="55"/>
        <v>245.24797421731122</v>
      </c>
      <c r="AL415" s="456">
        <f t="shared" si="56"/>
        <v>133169.65</v>
      </c>
      <c r="AM415" s="460">
        <f t="shared" si="57"/>
        <v>71.295726175373844</v>
      </c>
      <c r="AN415" s="458">
        <f t="shared" si="58"/>
        <v>-26929.25</v>
      </c>
      <c r="AO415" s="465">
        <f t="shared" si="59"/>
        <v>-0.2022176224087095</v>
      </c>
      <c r="AP415" s="94"/>
      <c r="AQ415" s="578">
        <v>186022.03999999998</v>
      </c>
      <c r="AR415" s="511">
        <f t="shared" si="60"/>
        <v>-79781.639999999985</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47"/>
        <v>Intérêt de gros</v>
      </c>
      <c r="B416" s="3"/>
      <c r="C416" s="38"/>
      <c r="D416" s="38"/>
      <c r="E416" s="38"/>
      <c r="F416" s="38"/>
      <c r="G416" s="38"/>
      <c r="H416" s="38"/>
      <c r="I416" s="38"/>
      <c r="J416" s="38"/>
      <c r="K416" s="38"/>
      <c r="L416" s="38"/>
      <c r="M416" s="569"/>
      <c r="N416" s="569"/>
      <c r="O416" s="569"/>
      <c r="Q416" s="570"/>
      <c r="R416" s="38"/>
      <c r="S416" s="572"/>
      <c r="T416" s="572"/>
      <c r="U416" s="38"/>
      <c r="V416" s="311" t="s">
        <v>117</v>
      </c>
      <c r="W416" s="462" t="s">
        <v>611</v>
      </c>
      <c r="X416" s="455"/>
      <c r="Y416" s="463">
        <f t="shared" si="48"/>
        <v>207.94597704223492</v>
      </c>
      <c r="Z416" s="456">
        <f t="shared" si="49"/>
        <v>156791.26668984513</v>
      </c>
      <c r="AA416" s="455"/>
      <c r="AB416" s="463"/>
      <c r="AC416" s="456"/>
      <c r="AD416" s="464"/>
      <c r="AE416" s="463">
        <f>IF(AF416=0,0,AF416/(J$13+J$13))</f>
        <v>250.26786290322579</v>
      </c>
      <c r="AF416" s="456">
        <f t="shared" si="51"/>
        <v>186199.28999999998</v>
      </c>
      <c r="AG416" s="457">
        <f t="shared" si="52"/>
        <v>42.321885860990875</v>
      </c>
      <c r="AH416" s="458">
        <f t="shared" si="53"/>
        <v>29408.023310154851</v>
      </c>
      <c r="AI416" s="459">
        <f t="shared" si="54"/>
        <v>0.18756161571376292</v>
      </c>
      <c r="AJ416" s="464"/>
      <c r="AK416" s="458">
        <f t="shared" si="55"/>
        <v>194.91716390423574</v>
      </c>
      <c r="AL416" s="456">
        <f t="shared" si="56"/>
        <v>105840.02</v>
      </c>
      <c r="AM416" s="460">
        <f t="shared" si="57"/>
        <v>42.321885860990875</v>
      </c>
      <c r="AN416" s="458">
        <f t="shared" si="58"/>
        <v>80359.269999999975</v>
      </c>
      <c r="AO416" s="465">
        <f t="shared" si="59"/>
        <v>0.75925221858423664</v>
      </c>
      <c r="AP416" s="94"/>
      <c r="AQ416" s="578">
        <v>67811.08</v>
      </c>
      <c r="AR416" s="511">
        <f t="shared" si="60"/>
        <v>118388.20999999998</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47"/>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48"/>
        <v>0</v>
      </c>
      <c r="Z417" s="456">
        <f t="shared" si="49"/>
        <v>0</v>
      </c>
      <c r="AA417" s="455"/>
      <c r="AB417" s="463"/>
      <c r="AC417" s="456"/>
      <c r="AD417" s="464"/>
      <c r="AE417" s="463">
        <f>IF(AF417=0,0,AF417/(J$13+J$13))</f>
        <v>0</v>
      </c>
      <c r="AF417" s="456">
        <f t="shared" si="51"/>
        <v>0</v>
      </c>
      <c r="AG417" s="457">
        <f t="shared" si="52"/>
        <v>0</v>
      </c>
      <c r="AH417" s="458">
        <f t="shared" si="53"/>
        <v>0</v>
      </c>
      <c r="AI417" s="459">
        <f t="shared" si="54"/>
        <v>0</v>
      </c>
      <c r="AJ417" s="464"/>
      <c r="AK417" s="458">
        <f t="shared" si="55"/>
        <v>0</v>
      </c>
      <c r="AL417" s="456"/>
      <c r="AM417" s="460">
        <f t="shared" si="57"/>
        <v>0</v>
      </c>
      <c r="AN417" s="458">
        <f t="shared" si="58"/>
        <v>0</v>
      </c>
      <c r="AO417" s="465">
        <f t="shared" si="59"/>
        <v>0</v>
      </c>
      <c r="AP417" s="94"/>
      <c r="AQ417" s="578">
        <v>0</v>
      </c>
      <c r="AR417" s="511">
        <f t="shared" si="60"/>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47"/>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c r="X418" s="459"/>
      <c r="Y418" s="463">
        <f t="shared" si="48"/>
        <v>0</v>
      </c>
      <c r="Z418" s="456">
        <f t="shared" si="49"/>
        <v>0</v>
      </c>
      <c r="AA418" s="455"/>
      <c r="AB418" s="463"/>
      <c r="AC418" s="456"/>
      <c r="AD418" s="464"/>
      <c r="AE418" s="463">
        <f>IF(AF418=0,0,AF418/(J$13+J$13))</f>
        <v>0</v>
      </c>
      <c r="AF418" s="456">
        <f t="shared" si="51"/>
        <v>0</v>
      </c>
      <c r="AG418" s="457">
        <f t="shared" si="52"/>
        <v>0</v>
      </c>
      <c r="AH418" s="458">
        <f t="shared" si="53"/>
        <v>0</v>
      </c>
      <c r="AI418" s="459">
        <f t="shared" si="54"/>
        <v>0</v>
      </c>
      <c r="AJ418" s="464"/>
      <c r="AK418" s="458">
        <f t="shared" si="55"/>
        <v>0</v>
      </c>
      <c r="AL418" s="456"/>
      <c r="AM418" s="460">
        <f t="shared" si="57"/>
        <v>0</v>
      </c>
      <c r="AN418" s="458">
        <f t="shared" si="58"/>
        <v>0</v>
      </c>
      <c r="AO418" s="465">
        <f t="shared" si="59"/>
        <v>0</v>
      </c>
      <c r="AP418" s="94"/>
      <c r="AQ418" s="578">
        <v>0</v>
      </c>
      <c r="AR418" s="511">
        <f t="shared" si="60"/>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47"/>
        <v>[...]</v>
      </c>
      <c r="B419" s="3"/>
      <c r="C419" s="38"/>
      <c r="D419" s="38"/>
      <c r="E419" s="38"/>
      <c r="F419" s="38"/>
      <c r="G419" s="38"/>
      <c r="H419" s="38"/>
      <c r="I419" s="38"/>
      <c r="J419" s="38"/>
      <c r="K419" s="38"/>
      <c r="L419" s="38"/>
      <c r="M419" s="38"/>
      <c r="N419" s="38"/>
      <c r="O419" s="568"/>
      <c r="P419" s="554"/>
      <c r="Q419" s="570"/>
      <c r="R419" s="38"/>
      <c r="S419" s="572"/>
      <c r="T419" s="572"/>
      <c r="U419" s="38"/>
      <c r="V419" s="311" t="s">
        <v>59</v>
      </c>
      <c r="W419" s="462" t="s">
        <v>611</v>
      </c>
      <c r="X419" s="455"/>
      <c r="Y419" s="463">
        <f t="shared" si="48"/>
        <v>0</v>
      </c>
      <c r="Z419" s="456">
        <f t="shared" si="49"/>
        <v>0</v>
      </c>
      <c r="AA419" s="455"/>
      <c r="AB419" s="463"/>
      <c r="AC419" s="456"/>
      <c r="AD419" s="464"/>
      <c r="AE419" s="463">
        <f>IF(AF419=0,0,AF419/(J$13+J$13))</f>
        <v>0</v>
      </c>
      <c r="AF419" s="456">
        <f t="shared" si="51"/>
        <v>0</v>
      </c>
      <c r="AG419" s="457">
        <f t="shared" si="52"/>
        <v>0</v>
      </c>
      <c r="AH419" s="458">
        <f t="shared" si="53"/>
        <v>0</v>
      </c>
      <c r="AI419" s="459">
        <f t="shared" si="54"/>
        <v>0</v>
      </c>
      <c r="AJ419" s="464"/>
      <c r="AK419" s="458">
        <f t="shared" si="55"/>
        <v>0</v>
      </c>
      <c r="AL419" s="456"/>
      <c r="AM419" s="460">
        <f t="shared" si="57"/>
        <v>0</v>
      </c>
      <c r="AN419" s="458">
        <f t="shared" si="58"/>
        <v>0</v>
      </c>
      <c r="AO419" s="465">
        <f t="shared" si="59"/>
        <v>0</v>
      </c>
      <c r="AP419" s="94"/>
      <c r="AQ419" s="578">
        <v>0</v>
      </c>
      <c r="AR419" s="511">
        <f t="shared" si="60"/>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47"/>
        <v>TOTAL VARIABLES</v>
      </c>
      <c r="B420" s="3"/>
      <c r="C420" s="38"/>
      <c r="D420" s="38"/>
      <c r="E420" s="38"/>
      <c r="F420" s="38"/>
      <c r="G420" s="38"/>
      <c r="H420" s="38"/>
      <c r="I420" s="38"/>
      <c r="J420" s="38"/>
      <c r="K420" s="38"/>
      <c r="L420" s="38"/>
      <c r="M420" s="569"/>
      <c r="N420" s="568"/>
      <c r="O420" s="568"/>
      <c r="P420" s="554"/>
      <c r="Q420" s="570"/>
      <c r="R420" s="38"/>
      <c r="S420" s="572"/>
      <c r="T420" s="572"/>
      <c r="U420" s="38"/>
      <c r="V420" s="470" t="s">
        <v>118</v>
      </c>
      <c r="W420" s="471"/>
      <c r="X420" s="472">
        <f>Z420/Z408</f>
        <v>0.21288625618219564</v>
      </c>
      <c r="Y420" s="471"/>
      <c r="Z420" s="473">
        <f>SUM(Z410:Z419)</f>
        <v>1193089.3038187549</v>
      </c>
      <c r="AA420" s="472"/>
      <c r="AB420" s="471"/>
      <c r="AC420" s="473"/>
      <c r="AD420" s="474">
        <f>AF420/AF$408</f>
        <v>0.22016407267642985</v>
      </c>
      <c r="AE420" s="471"/>
      <c r="AF420" s="473">
        <f>SUM(AF410:AF419)</f>
        <v>958343.12999999989</v>
      </c>
      <c r="AG420" s="475"/>
      <c r="AH420" s="476">
        <f t="shared" ref="AH420:AH452" si="61">AF420-Z420</f>
        <v>-234746.17381875496</v>
      </c>
      <c r="AI420" s="472">
        <f>AH420/Z420</f>
        <v>-0.19675490599689077</v>
      </c>
      <c r="AJ420" s="474">
        <f>IF($AL$408=0,0,AL420/$AL$408)</f>
        <v>0.20714068671406513</v>
      </c>
      <c r="AK420" s="471"/>
      <c r="AL420" s="473">
        <f>SUM(AL410:AL419)</f>
        <v>940286.09999999986</v>
      </c>
      <c r="AM420" s="477"/>
      <c r="AN420" s="476">
        <f t="shared" si="58"/>
        <v>18057.030000000028</v>
      </c>
      <c r="AO420" s="453">
        <f t="shared" si="59"/>
        <v>1.9203761493443359E-2</v>
      </c>
      <c r="AP420" s="94"/>
      <c r="AQ420" s="580">
        <v>1672155.7200000002</v>
      </c>
      <c r="AR420" s="581">
        <f t="shared" si="60"/>
        <v>-713812.59000000032</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47"/>
        <v>Salaires propriétaire</v>
      </c>
      <c r="B421" s="3"/>
      <c r="C421" s="38"/>
      <c r="D421" s="38"/>
      <c r="E421" s="38"/>
      <c r="F421" s="38"/>
      <c r="G421" s="38"/>
      <c r="H421" s="38"/>
      <c r="I421" s="38"/>
      <c r="J421" s="38"/>
      <c r="K421" s="38"/>
      <c r="L421" s="38"/>
      <c r="M421" s="554"/>
      <c r="N421" s="554"/>
      <c r="O421" s="554"/>
      <c r="P421" s="554"/>
      <c r="Q421" s="570"/>
      <c r="R421" s="38"/>
      <c r="U421" s="571"/>
      <c r="V421" s="311" t="s">
        <v>204</v>
      </c>
      <c r="W421" s="462" t="s">
        <v>612</v>
      </c>
      <c r="X421" s="455"/>
      <c r="Y421" s="455"/>
      <c r="Z421" s="456">
        <f t="array" ref="Z421">+SUMPRODUCT(('Budget original'!$A$8:$A$502=$A421)*('Budget original'!$C$3:$AO$3=Z$2),'Budget original'!$C$8:$AO$502)</f>
        <v>97899.398076923069</v>
      </c>
      <c r="AA421" s="455"/>
      <c r="AB421" s="455"/>
      <c r="AC421" s="456"/>
      <c r="AD421" s="464"/>
      <c r="AE421" s="463"/>
      <c r="AF421" s="456">
        <f>SUMIFS(BV_Data_An_Cour!$P:$P,BV_Data_An_Cour!$V:$V,$V421)</f>
        <v>91932.08</v>
      </c>
      <c r="AG421" s="457"/>
      <c r="AH421" s="458">
        <f t="shared" si="61"/>
        <v>-5967.3180769230676</v>
      </c>
      <c r="AI421" s="459">
        <f t="shared" ref="AI421:AI433" si="62">IF(Z421=0,0,AH421/Z421)</f>
        <v>-6.0953572689326767E-2</v>
      </c>
      <c r="AJ421" s="464"/>
      <c r="AK421" s="455"/>
      <c r="AL421" s="456">
        <f t="array" ref="AL421">+SUMPRODUCT(('Réel 2024'!$A$8:$A$502=$A421)*('Réel 2024'!$C$3:$AO$3=Z$2),'Réel 2024'!$C$8:$AO$502)</f>
        <v>102399.96999999971</v>
      </c>
      <c r="AM421" s="460"/>
      <c r="AN421" s="458">
        <f t="shared" si="58"/>
        <v>-10467.889999999708</v>
      </c>
      <c r="AO421" s="465">
        <f t="shared" si="59"/>
        <v>-0.10222551823012974</v>
      </c>
      <c r="AP421" s="94"/>
      <c r="AQ421" s="578">
        <v>196581.69999999998</v>
      </c>
      <c r="AR421" s="511">
        <f t="shared" si="60"/>
        <v>-104649.61999999998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47"/>
        <v>Salaires cadres</v>
      </c>
      <c r="B422" s="3"/>
      <c r="C422" s="38"/>
      <c r="D422" s="38"/>
      <c r="E422" s="38"/>
      <c r="F422" s="38"/>
      <c r="G422" s="38"/>
      <c r="H422" s="38"/>
      <c r="I422" s="38"/>
      <c r="J422" s="38"/>
      <c r="K422" s="38"/>
      <c r="L422" s="38"/>
      <c r="M422" s="554"/>
      <c r="N422" s="554"/>
      <c r="O422" s="554"/>
      <c r="P422" s="554"/>
      <c r="Q422" s="570"/>
      <c r="R422" s="38"/>
      <c r="S422" s="572"/>
      <c r="T422" s="572"/>
      <c r="U422" s="571"/>
      <c r="V422" s="311" t="s">
        <v>120</v>
      </c>
      <c r="W422" s="462" t="s">
        <v>613</v>
      </c>
      <c r="X422" s="455"/>
      <c r="Y422" s="455"/>
      <c r="Z422" s="456">
        <f t="shared" ref="Z422:Z433" si="63">+SUMIF($C:$C,$V422,F:F)</f>
        <v>330983.44230769237</v>
      </c>
      <c r="AA422" s="455"/>
      <c r="AB422" s="455"/>
      <c r="AC422" s="456"/>
      <c r="AD422" s="464"/>
      <c r="AE422" s="463"/>
      <c r="AF422" s="456">
        <f t="shared" ref="AF422:AF433" si="64">+SUMIF($C:$C,$V422,L:L)</f>
        <v>258394.73</v>
      </c>
      <c r="AG422" s="457"/>
      <c r="AH422" s="458">
        <f t="shared" si="61"/>
        <v>-72588.71230769236</v>
      </c>
      <c r="AI422" s="459">
        <f t="shared" si="62"/>
        <v>-0.21931221635012083</v>
      </c>
      <c r="AJ422" s="464"/>
      <c r="AK422" s="455"/>
      <c r="AL422" s="456">
        <f>+SUMIF($C:$C,$V422,Q:Q)</f>
        <v>390682.08</v>
      </c>
      <c r="AM422" s="460"/>
      <c r="AN422" s="458">
        <f t="shared" si="58"/>
        <v>-132287.35</v>
      </c>
      <c r="AO422" s="465">
        <f t="shared" si="59"/>
        <v>-0.33860613724591615</v>
      </c>
      <c r="AP422" s="94"/>
      <c r="AQ422" s="578">
        <v>480874.87</v>
      </c>
      <c r="AR422" s="511">
        <f t="shared" si="60"/>
        <v>-222480.13999999998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47"/>
        <v>Salaires commis</v>
      </c>
      <c r="B423" s="3"/>
      <c r="C423" s="38"/>
      <c r="D423" s="38"/>
      <c r="E423" s="38"/>
      <c r="F423" s="38"/>
      <c r="G423" s="38"/>
      <c r="H423" s="38"/>
      <c r="I423" s="38"/>
      <c r="J423" s="38"/>
      <c r="K423" s="38"/>
      <c r="L423" s="38"/>
      <c r="M423" s="554"/>
      <c r="N423" s="554"/>
      <c r="O423" s="554"/>
      <c r="P423" s="554"/>
      <c r="Q423" s="570"/>
      <c r="R423" s="38"/>
      <c r="S423" s="572"/>
      <c r="T423" s="572"/>
      <c r="U423" s="571"/>
      <c r="V423" s="312" t="s">
        <v>121</v>
      </c>
      <c r="W423" s="466" t="s">
        <v>614</v>
      </c>
      <c r="X423" s="439"/>
      <c r="Y423" s="439"/>
      <c r="Z423" s="440">
        <f t="shared" si="63"/>
        <v>540766.87743400002</v>
      </c>
      <c r="AA423" s="439"/>
      <c r="AB423" s="439"/>
      <c r="AC423" s="440"/>
      <c r="AD423" s="468"/>
      <c r="AE423" s="467"/>
      <c r="AF423" s="440">
        <f t="shared" si="64"/>
        <v>473210.04999999993</v>
      </c>
      <c r="AG423" s="441"/>
      <c r="AH423" s="442">
        <f t="shared" si="61"/>
        <v>-67556.827434000093</v>
      </c>
      <c r="AI423" s="469">
        <f t="shared" si="62"/>
        <v>-0.1249278205694936</v>
      </c>
      <c r="AJ423" s="468"/>
      <c r="AK423" s="439"/>
      <c r="AL423" s="440">
        <f>+SUMIF($C:$C,$V423,Q:Q)</f>
        <v>377844.08</v>
      </c>
      <c r="AM423" s="444"/>
      <c r="AN423" s="442">
        <f t="shared" si="58"/>
        <v>95365.969999999914</v>
      </c>
      <c r="AO423" s="445">
        <f t="shared" si="59"/>
        <v>0.25239503553952708</v>
      </c>
      <c r="AP423" s="94"/>
      <c r="AQ423" s="579">
        <v>263830.23</v>
      </c>
      <c r="AR423" s="576">
        <f t="shared" si="60"/>
        <v>209379.81999999995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47"/>
        <v>Salaires autres</v>
      </c>
      <c r="B424" s="3"/>
      <c r="C424" s="38"/>
      <c r="D424" s="38"/>
      <c r="E424" s="38"/>
      <c r="F424" s="38"/>
      <c r="G424" s="38"/>
      <c r="H424" s="38"/>
      <c r="I424" s="38"/>
      <c r="J424" s="38"/>
      <c r="K424" s="38"/>
      <c r="L424" s="38"/>
      <c r="M424" s="554"/>
      <c r="N424" s="554"/>
      <c r="O424" s="554"/>
      <c r="Q424" s="570"/>
      <c r="R424" s="38"/>
      <c r="S424" s="572"/>
      <c r="T424" s="572"/>
      <c r="U424" s="38"/>
      <c r="V424" s="311" t="s">
        <v>122</v>
      </c>
      <c r="W424" s="462" t="s">
        <v>615</v>
      </c>
      <c r="X424" s="455"/>
      <c r="Y424" s="455"/>
      <c r="Z424" s="456">
        <f t="shared" si="63"/>
        <v>183809.02300166665</v>
      </c>
      <c r="AA424" s="455"/>
      <c r="AB424" s="455"/>
      <c r="AC424" s="456"/>
      <c r="AD424" s="464"/>
      <c r="AE424" s="463"/>
      <c r="AF424" s="456">
        <f t="shared" si="64"/>
        <v>218446.61</v>
      </c>
      <c r="AG424" s="457"/>
      <c r="AH424" s="458">
        <f t="shared" si="61"/>
        <v>34637.58699833334</v>
      </c>
      <c r="AI424" s="459">
        <f t="shared" si="62"/>
        <v>0.18844334425312337</v>
      </c>
      <c r="AJ424" s="464"/>
      <c r="AK424" s="455"/>
      <c r="AL424" s="456">
        <f>+SUMIF($C:$C,$V424,Q:Q)</f>
        <v>172357.00999999998</v>
      </c>
      <c r="AM424" s="460"/>
      <c r="AN424" s="458">
        <f t="shared" si="58"/>
        <v>46089.600000000006</v>
      </c>
      <c r="AO424" s="465">
        <f t="shared" si="59"/>
        <v>0.26740774860274041</v>
      </c>
      <c r="AP424" s="94"/>
      <c r="AQ424" s="578">
        <v>653651.56000000006</v>
      </c>
      <c r="AR424" s="511">
        <f t="shared" si="60"/>
        <v>-435204.95000000007</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47"/>
        <v>Salaires spécialistes</v>
      </c>
      <c r="B425" s="3"/>
      <c r="C425" s="38"/>
      <c r="D425" s="38"/>
      <c r="E425" s="38"/>
      <c r="F425" s="38"/>
      <c r="G425" s="38"/>
      <c r="H425" s="38"/>
      <c r="I425" s="38"/>
      <c r="J425" s="38"/>
      <c r="K425" s="38"/>
      <c r="L425" s="38"/>
      <c r="M425" s="554"/>
      <c r="N425" s="568"/>
      <c r="O425" s="568"/>
      <c r="P425" s="554"/>
      <c r="Q425" s="570"/>
      <c r="R425" s="38"/>
      <c r="S425" s="572"/>
      <c r="T425" s="572"/>
      <c r="U425" s="38"/>
      <c r="V425" s="311" t="s">
        <v>123</v>
      </c>
      <c r="W425" s="462" t="s">
        <v>616</v>
      </c>
      <c r="X425" s="455"/>
      <c r="Y425" s="455"/>
      <c r="Z425" s="456">
        <f t="shared" si="63"/>
        <v>242324.15083231655</v>
      </c>
      <c r="AA425" s="455"/>
      <c r="AB425" s="455"/>
      <c r="AC425" s="456"/>
      <c r="AD425" s="464"/>
      <c r="AE425" s="463"/>
      <c r="AF425" s="456">
        <f t="shared" si="64"/>
        <v>170930.18</v>
      </c>
      <c r="AG425" s="457"/>
      <c r="AH425" s="458">
        <f t="shared" si="61"/>
        <v>-71393.970832316554</v>
      </c>
      <c r="AI425" s="459">
        <f t="shared" si="62"/>
        <v>-0.2946217724774769</v>
      </c>
      <c r="AJ425" s="464"/>
      <c r="AK425" s="455"/>
      <c r="AL425" s="456">
        <f>+SUMIF($C:$C,$V425,Q:Q)</f>
        <v>149338.13</v>
      </c>
      <c r="AM425" s="460"/>
      <c r="AN425" s="458">
        <f t="shared" si="58"/>
        <v>21592.049999999988</v>
      </c>
      <c r="AO425" s="465">
        <f t="shared" si="59"/>
        <v>0.14458497638881634</v>
      </c>
      <c r="AP425" s="94"/>
      <c r="AQ425" s="578">
        <v>399727.32999999996</v>
      </c>
      <c r="AR425" s="511">
        <f t="shared" si="60"/>
        <v>-228797.14999999997</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47"/>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 t="shared" si="63"/>
        <v>0</v>
      </c>
      <c r="AA426" s="455"/>
      <c r="AB426" s="455"/>
      <c r="AC426" s="456"/>
      <c r="AD426" s="464"/>
      <c r="AE426" s="463"/>
      <c r="AF426" s="456">
        <f t="shared" si="64"/>
        <v>0</v>
      </c>
      <c r="AG426" s="457"/>
      <c r="AH426" s="458">
        <f t="shared" si="61"/>
        <v>0</v>
      </c>
      <c r="AI426" s="459">
        <f t="shared" si="62"/>
        <v>0</v>
      </c>
      <c r="AJ426" s="464"/>
      <c r="AK426" s="455"/>
      <c r="AL426" s="456"/>
      <c r="AM426" s="460"/>
      <c r="AN426" s="458">
        <f t="shared" si="58"/>
        <v>0</v>
      </c>
      <c r="AO426" s="465">
        <f t="shared" si="59"/>
        <v>0</v>
      </c>
      <c r="AP426" s="94"/>
      <c r="AQ426" s="578">
        <v>0</v>
      </c>
      <c r="AR426" s="511">
        <f t="shared" si="60"/>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47"/>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 t="shared" si="63"/>
        <v>0</v>
      </c>
      <c r="AA427" s="455"/>
      <c r="AB427" s="455"/>
      <c r="AC427" s="456"/>
      <c r="AD427" s="464"/>
      <c r="AE427" s="463"/>
      <c r="AF427" s="456">
        <f t="shared" si="64"/>
        <v>0</v>
      </c>
      <c r="AG427" s="457"/>
      <c r="AH427" s="458">
        <f t="shared" si="61"/>
        <v>0</v>
      </c>
      <c r="AI427" s="459">
        <f t="shared" si="62"/>
        <v>0</v>
      </c>
      <c r="AJ427" s="464"/>
      <c r="AK427" s="455"/>
      <c r="AL427" s="456"/>
      <c r="AM427" s="460"/>
      <c r="AN427" s="458">
        <f t="shared" si="58"/>
        <v>0</v>
      </c>
      <c r="AO427" s="465">
        <f t="shared" si="59"/>
        <v>0</v>
      </c>
      <c r="AP427" s="94"/>
      <c r="AQ427" s="578">
        <v>0</v>
      </c>
      <c r="AR427" s="511">
        <f t="shared" si="60"/>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47"/>
        <v>[...]</v>
      </c>
      <c r="B428" s="3"/>
      <c r="C428" s="38"/>
      <c r="D428" s="38"/>
      <c r="E428" s="38"/>
      <c r="F428" s="38"/>
      <c r="G428" s="38"/>
      <c r="H428" s="38"/>
      <c r="I428" s="38"/>
      <c r="J428" s="38"/>
      <c r="K428" s="38"/>
      <c r="L428" s="38"/>
      <c r="M428" s="554"/>
      <c r="N428" s="94"/>
      <c r="O428" s="568"/>
      <c r="P428" s="554"/>
      <c r="Q428" s="570"/>
      <c r="R428" s="38"/>
      <c r="S428" s="572"/>
      <c r="T428" s="572"/>
      <c r="U428" s="38"/>
      <c r="V428" s="311" t="s">
        <v>59</v>
      </c>
      <c r="W428" s="462"/>
      <c r="X428" s="455"/>
      <c r="Y428" s="455"/>
      <c r="Z428" s="456">
        <f t="shared" si="63"/>
        <v>0</v>
      </c>
      <c r="AA428" s="455"/>
      <c r="AB428" s="455"/>
      <c r="AC428" s="456"/>
      <c r="AD428" s="464"/>
      <c r="AE428" s="463"/>
      <c r="AF428" s="456">
        <f t="shared" si="64"/>
        <v>0</v>
      </c>
      <c r="AG428" s="457"/>
      <c r="AH428" s="458">
        <f t="shared" si="61"/>
        <v>0</v>
      </c>
      <c r="AI428" s="459">
        <f t="shared" si="62"/>
        <v>0</v>
      </c>
      <c r="AJ428" s="464"/>
      <c r="AK428" s="455"/>
      <c r="AL428" s="456"/>
      <c r="AM428" s="460"/>
      <c r="AN428" s="458">
        <f t="shared" si="58"/>
        <v>0</v>
      </c>
      <c r="AO428" s="465">
        <f t="shared" si="59"/>
        <v>0</v>
      </c>
      <c r="AP428" s="94"/>
      <c r="AQ428" s="578">
        <v>0</v>
      </c>
      <c r="AR428" s="511">
        <f t="shared" si="60"/>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47"/>
        <v>Salaires en absences</v>
      </c>
      <c r="B429" s="3"/>
      <c r="C429" s="38"/>
      <c r="D429" s="38"/>
      <c r="E429" s="38"/>
      <c r="F429" s="38"/>
      <c r="G429" s="38"/>
      <c r="H429" s="38"/>
      <c r="I429" s="38"/>
      <c r="J429" s="38"/>
      <c r="K429" s="38"/>
      <c r="L429" s="38"/>
      <c r="M429" s="554"/>
      <c r="N429" s="94"/>
      <c r="O429" s="568"/>
      <c r="P429" s="554"/>
      <c r="Q429" s="570"/>
      <c r="R429" s="38"/>
      <c r="S429" s="572"/>
      <c r="T429" s="572"/>
      <c r="U429" s="38"/>
      <c r="V429" s="312" t="s">
        <v>124</v>
      </c>
      <c r="W429" s="466" t="s">
        <v>617</v>
      </c>
      <c r="X429" s="439"/>
      <c r="Y429" s="439"/>
      <c r="Z429" s="440">
        <f t="shared" si="63"/>
        <v>311030.32267075236</v>
      </c>
      <c r="AA429" s="439"/>
      <c r="AB429" s="439"/>
      <c r="AC429" s="440"/>
      <c r="AD429" s="468"/>
      <c r="AE429" s="467"/>
      <c r="AF429" s="440">
        <f t="shared" si="64"/>
        <v>321313.24</v>
      </c>
      <c r="AG429" s="441"/>
      <c r="AH429" s="442">
        <f t="shared" si="61"/>
        <v>10282.917329247633</v>
      </c>
      <c r="AI429" s="469">
        <f t="shared" si="62"/>
        <v>3.3060819411272743E-2</v>
      </c>
      <c r="AJ429" s="468"/>
      <c r="AK429" s="439"/>
      <c r="AL429" s="440">
        <f>+SUMIF($C:$C,$V429,Q:Q)</f>
        <v>281075.44</v>
      </c>
      <c r="AM429" s="444"/>
      <c r="AN429" s="442">
        <f t="shared" si="58"/>
        <v>40237.799999999988</v>
      </c>
      <c r="AO429" s="445">
        <f t="shared" si="59"/>
        <v>0.14315658458099359</v>
      </c>
      <c r="AP429" s="94"/>
      <c r="AQ429" s="579">
        <v>484984.30000000005</v>
      </c>
      <c r="AR429" s="576">
        <f t="shared" si="60"/>
        <v>-163671.06000000006</v>
      </c>
      <c r="AS429" s="5" t="s">
        <v>650</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47"/>
        <v>Déduction à la source</v>
      </c>
      <c r="B430" s="3"/>
      <c r="C430" s="38"/>
      <c r="D430" s="38"/>
      <c r="E430" s="38"/>
      <c r="F430" s="38"/>
      <c r="G430" s="38"/>
      <c r="H430" s="38"/>
      <c r="I430" s="38"/>
      <c r="J430" s="38"/>
      <c r="K430" s="38"/>
      <c r="L430" s="38"/>
      <c r="M430" s="554"/>
      <c r="N430" s="554"/>
      <c r="O430" s="554"/>
      <c r="P430" s="554"/>
      <c r="Q430" s="570"/>
      <c r="R430" s="38"/>
      <c r="U430" s="571"/>
      <c r="V430" s="311" t="s">
        <v>125</v>
      </c>
      <c r="W430" s="462" t="s">
        <v>618</v>
      </c>
      <c r="X430" s="455"/>
      <c r="Y430" s="455"/>
      <c r="Z430" s="456">
        <f t="shared" si="63"/>
        <v>378169.02668338176</v>
      </c>
      <c r="AA430" s="455"/>
      <c r="AB430" s="455"/>
      <c r="AC430" s="456"/>
      <c r="AD430" s="464"/>
      <c r="AE430" s="463"/>
      <c r="AF430" s="456">
        <f t="shared" si="64"/>
        <v>354986.22000000003</v>
      </c>
      <c r="AG430" s="457"/>
      <c r="AH430" s="458">
        <f t="shared" si="61"/>
        <v>-23182.806683381728</v>
      </c>
      <c r="AI430" s="459">
        <f t="shared" si="62"/>
        <v>-6.1302764234024122E-2</v>
      </c>
      <c r="AJ430" s="464"/>
      <c r="AK430" s="455"/>
      <c r="AL430" s="456">
        <f>+SUMIF($C:$C,$V430,Q:Q)</f>
        <v>362549.73000000004</v>
      </c>
      <c r="AM430" s="460"/>
      <c r="AN430" s="458">
        <f t="shared" si="58"/>
        <v>-7563.5100000000093</v>
      </c>
      <c r="AO430" s="465">
        <f t="shared" si="59"/>
        <v>-2.0861993194699134E-2</v>
      </c>
      <c r="AP430" s="94"/>
      <c r="AQ430" s="578">
        <v>452089.25</v>
      </c>
      <c r="AR430" s="511">
        <f t="shared" si="60"/>
        <v>-97103.02999999997</v>
      </c>
      <c r="AS430" s="5" t="s">
        <v>651</v>
      </c>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47"/>
        <v>Bénéfices marginaux</v>
      </c>
      <c r="B431" s="3"/>
      <c r="C431" s="38"/>
      <c r="D431" s="38"/>
      <c r="E431" s="38"/>
      <c r="F431" s="38"/>
      <c r="G431" s="38"/>
      <c r="H431" s="38"/>
      <c r="I431" s="38"/>
      <c r="J431" s="38"/>
      <c r="K431" s="38"/>
      <c r="L431" s="38"/>
      <c r="M431" s="554"/>
      <c r="N431" s="554"/>
      <c r="O431" s="554"/>
      <c r="P431" s="554"/>
      <c r="Q431" s="570"/>
      <c r="R431" s="38"/>
      <c r="S431" s="572"/>
      <c r="T431" s="572"/>
      <c r="U431" s="571"/>
      <c r="V431" s="311" t="s">
        <v>126</v>
      </c>
      <c r="W431" s="462" t="s">
        <v>619</v>
      </c>
      <c r="X431" s="455"/>
      <c r="Y431" s="455"/>
      <c r="Z431" s="456">
        <f t="shared" si="63"/>
        <v>194839.25939991625</v>
      </c>
      <c r="AA431" s="455"/>
      <c r="AB431" s="455"/>
      <c r="AC431" s="456"/>
      <c r="AD431" s="464"/>
      <c r="AE431" s="463"/>
      <c r="AF431" s="456">
        <f t="shared" si="64"/>
        <v>173229.13</v>
      </c>
      <c r="AG431" s="457"/>
      <c r="AH431" s="458">
        <f t="shared" si="61"/>
        <v>-21610.129399916244</v>
      </c>
      <c r="AI431" s="459">
        <f t="shared" si="62"/>
        <v>-0.1109126028628578</v>
      </c>
      <c r="AJ431" s="464"/>
      <c r="AK431" s="455"/>
      <c r="AL431" s="456">
        <f>+SUMIF($C:$C,$V431,Q:Q)</f>
        <v>161687.61999999994</v>
      </c>
      <c r="AM431" s="460"/>
      <c r="AN431" s="458">
        <f t="shared" si="58"/>
        <v>11541.510000000068</v>
      </c>
      <c r="AO431" s="465">
        <f t="shared" si="59"/>
        <v>7.1381531869911086E-2</v>
      </c>
      <c r="AP431" s="94"/>
      <c r="AQ431" s="578">
        <v>250596.99999999997</v>
      </c>
      <c r="AR431" s="511">
        <f t="shared" si="60"/>
        <v>-77367.869999999966</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47"/>
        <v>Csst</v>
      </c>
      <c r="B432" s="3"/>
      <c r="C432" s="38"/>
      <c r="D432" s="38"/>
      <c r="E432" s="38"/>
      <c r="F432" s="38"/>
      <c r="G432" s="38"/>
      <c r="H432" s="38"/>
      <c r="I432" s="38"/>
      <c r="J432" s="38"/>
      <c r="K432" s="38"/>
      <c r="L432" s="38"/>
      <c r="M432" s="554"/>
      <c r="N432" s="554"/>
      <c r="O432" s="554"/>
      <c r="P432" s="554"/>
      <c r="Q432" s="570"/>
      <c r="R432" s="38"/>
      <c r="S432" s="572"/>
      <c r="T432" s="572"/>
      <c r="U432" s="571"/>
      <c r="V432" s="311" t="s">
        <v>127</v>
      </c>
      <c r="W432" s="462"/>
      <c r="X432" s="455"/>
      <c r="Y432" s="455"/>
      <c r="Z432" s="456">
        <f t="shared" si="63"/>
        <v>84951.013240469809</v>
      </c>
      <c r="AA432" s="455"/>
      <c r="AB432" s="455"/>
      <c r="AC432" s="456"/>
      <c r="AD432" s="464"/>
      <c r="AE432" s="463"/>
      <c r="AF432" s="456">
        <f t="shared" si="64"/>
        <v>63691.8</v>
      </c>
      <c r="AG432" s="457"/>
      <c r="AH432" s="458">
        <f t="shared" si="61"/>
        <v>-21259.213240469806</v>
      </c>
      <c r="AI432" s="478">
        <f t="shared" si="62"/>
        <v>-0.25025261535482346</v>
      </c>
      <c r="AJ432" s="464"/>
      <c r="AK432" s="455"/>
      <c r="AL432" s="456">
        <f>+SUMIF($C:$C,$V432,Q:Q)</f>
        <v>68609.89</v>
      </c>
      <c r="AM432" s="460"/>
      <c r="AN432" s="458">
        <f t="shared" si="58"/>
        <v>-4918.0899999999965</v>
      </c>
      <c r="AO432" s="465">
        <f t="shared" si="59"/>
        <v>-7.168193973201234E-2</v>
      </c>
      <c r="AP432" s="94"/>
      <c r="AQ432" s="578">
        <v>185602.45</v>
      </c>
      <c r="AR432" s="511">
        <f t="shared" si="60"/>
        <v>-121910.65000000001</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47"/>
        <v>[...]</v>
      </c>
      <c r="B433" s="3"/>
      <c r="C433" s="38"/>
      <c r="D433" s="38"/>
      <c r="E433" s="38"/>
      <c r="F433" s="38"/>
      <c r="G433" s="38"/>
      <c r="H433" s="38"/>
      <c r="I433" s="38"/>
      <c r="J433" s="38"/>
      <c r="K433" s="38"/>
      <c r="L433" s="38"/>
      <c r="M433" s="38"/>
      <c r="N433" s="38"/>
      <c r="O433" s="38"/>
      <c r="P433" s="554"/>
      <c r="Q433" s="570"/>
      <c r="R433" s="38"/>
      <c r="S433" s="572"/>
      <c r="T433" s="572"/>
      <c r="U433" s="38"/>
      <c r="V433" s="252" t="s">
        <v>59</v>
      </c>
      <c r="W433" s="462"/>
      <c r="X433" s="455"/>
      <c r="Y433" s="463"/>
      <c r="Z433" s="456">
        <f t="shared" si="63"/>
        <v>0</v>
      </c>
      <c r="AA433" s="455"/>
      <c r="AB433" s="463"/>
      <c r="AC433" s="456"/>
      <c r="AD433" s="464"/>
      <c r="AE433" s="463"/>
      <c r="AF433" s="456">
        <f t="shared" si="64"/>
        <v>0</v>
      </c>
      <c r="AG433" s="457"/>
      <c r="AH433" s="458">
        <f t="shared" si="61"/>
        <v>0</v>
      </c>
      <c r="AI433" s="459">
        <f t="shared" si="62"/>
        <v>0</v>
      </c>
      <c r="AJ433" s="464"/>
      <c r="AK433" s="458"/>
      <c r="AL433" s="456"/>
      <c r="AM433" s="460"/>
      <c r="AN433" s="458"/>
      <c r="AO433" s="445"/>
      <c r="AP433" s="94"/>
      <c r="AQ433" s="578">
        <v>0</v>
      </c>
      <c r="AR433" s="511">
        <f t="shared" si="60"/>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47"/>
        <v>TOTAL PERSONNEL</v>
      </c>
      <c r="B434" s="3"/>
      <c r="C434" s="38"/>
      <c r="D434" s="38"/>
      <c r="E434" s="38"/>
      <c r="F434" s="38"/>
      <c r="G434" s="38"/>
      <c r="H434" s="38"/>
      <c r="I434" s="38"/>
      <c r="J434" s="38"/>
      <c r="K434" s="38"/>
      <c r="O434" s="147"/>
      <c r="Q434" s="582"/>
      <c r="R434" s="38"/>
      <c r="S434" s="572"/>
      <c r="T434" s="572"/>
      <c r="U434" s="38"/>
      <c r="V434" s="470" t="s">
        <v>128</v>
      </c>
      <c r="W434" s="471"/>
      <c r="X434" s="472">
        <f>Z434/Z408</f>
        <v>0.42195296323716952</v>
      </c>
      <c r="Y434" s="471"/>
      <c r="Z434" s="473">
        <f>SUM(Z421:Z433)</f>
        <v>2364772.5136471186</v>
      </c>
      <c r="AA434" s="472"/>
      <c r="AB434" s="471"/>
      <c r="AC434" s="473"/>
      <c r="AD434" s="474">
        <f>AF434/AF408</f>
        <v>0.48844543738983276</v>
      </c>
      <c r="AE434" s="479"/>
      <c r="AF434" s="473">
        <f>SUM(AF421:AF433)</f>
        <v>2126134.0399999996</v>
      </c>
      <c r="AG434" s="480"/>
      <c r="AH434" s="476">
        <f t="shared" si="61"/>
        <v>-238638.47364711901</v>
      </c>
      <c r="AI434" s="472">
        <f>AH434/Z434</f>
        <v>-0.10091392396940287</v>
      </c>
      <c r="AJ434" s="474">
        <f>IF($AL$408=0,0,AL434/$AL$408)</f>
        <v>0.45525009135814787</v>
      </c>
      <c r="AK434" s="471"/>
      <c r="AL434" s="473">
        <f>SUM(AL421:AL433)</f>
        <v>2066543.9499999993</v>
      </c>
      <c r="AM434" s="481"/>
      <c r="AN434" s="476">
        <f t="shared" ref="AN434:AN452" si="65">AF434-AL434</f>
        <v>59590.090000000317</v>
      </c>
      <c r="AO434" s="453">
        <f t="shared" ref="AO434:AO462" si="66">IF(AL434=0,0,AN434/AL434)</f>
        <v>2.8835626747740033E-2</v>
      </c>
      <c r="AP434" s="94"/>
      <c r="AQ434" s="580">
        <v>3367938.6900000004</v>
      </c>
      <c r="AR434" s="581">
        <f t="shared" si="60"/>
        <v>-1241804.6500000008</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47"/>
        <v>Publicité 2</v>
      </c>
      <c r="B435" s="3"/>
      <c r="C435" s="38"/>
      <c r="D435" s="38"/>
      <c r="E435" s="38"/>
      <c r="F435" s="38"/>
      <c r="G435" s="38"/>
      <c r="H435" s="38"/>
      <c r="I435" s="38"/>
      <c r="J435" s="38"/>
      <c r="K435" s="38"/>
      <c r="L435" s="38"/>
      <c r="M435" s="147"/>
      <c r="N435" s="568"/>
      <c r="O435" s="583"/>
      <c r="P435" s="554"/>
      <c r="Q435" s="570"/>
      <c r="R435" s="38"/>
      <c r="U435" s="38"/>
      <c r="V435" s="405" t="s">
        <v>129</v>
      </c>
      <c r="W435" s="482" t="s">
        <v>610</v>
      </c>
      <c r="X435" s="483"/>
      <c r="Y435" s="483"/>
      <c r="Z435" s="484">
        <f t="shared" ref="Z435:Z452" si="67">+SUMIF($C:$C,$V435,F:F)</f>
        <v>111340.5</v>
      </c>
      <c r="AA435" s="483"/>
      <c r="AB435" s="483"/>
      <c r="AC435" s="484"/>
      <c r="AD435" s="485"/>
      <c r="AE435" s="486"/>
      <c r="AF435" s="484">
        <f t="shared" ref="AF435:AF448" si="68">+SUMIF($C:$C,$V435,L:L)</f>
        <v>74659.31</v>
      </c>
      <c r="AG435" s="485"/>
      <c r="AH435" s="487">
        <f t="shared" si="61"/>
        <v>-36681.19</v>
      </c>
      <c r="AI435" s="488">
        <f t="shared" ref="AI435:AI452" si="69">IF(Z435=0,0,AH435/Z435)</f>
        <v>-0.32945055932028328</v>
      </c>
      <c r="AJ435" s="485"/>
      <c r="AK435" s="483"/>
      <c r="AL435" s="484">
        <f t="shared" ref="AL435:AL448" si="70">+SUMIF($C:$C,$V435,Q:Q)</f>
        <v>137745.07999999999</v>
      </c>
      <c r="AM435" s="489"/>
      <c r="AN435" s="487">
        <f t="shared" si="65"/>
        <v>-63085.76999999999</v>
      </c>
      <c r="AO435" s="461">
        <f t="shared" si="66"/>
        <v>-0.45798927990749283</v>
      </c>
      <c r="AP435" s="94"/>
      <c r="AQ435" s="584">
        <v>176878.05000000002</v>
      </c>
      <c r="AR435" s="505">
        <f t="shared" si="60"/>
        <v>-102218.74000000002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47"/>
        <v>Service gratuit 2</v>
      </c>
      <c r="B436" s="3"/>
      <c r="C436" s="38"/>
      <c r="D436" s="38"/>
      <c r="E436" s="38"/>
      <c r="F436" s="38"/>
      <c r="G436" s="38"/>
      <c r="H436" s="38"/>
      <c r="I436" s="38"/>
      <c r="J436" s="38"/>
      <c r="K436" s="38"/>
      <c r="L436" s="38"/>
      <c r="M436" s="38"/>
      <c r="O436" s="568"/>
      <c r="P436" s="147"/>
      <c r="Q436" s="570"/>
      <c r="R436" s="38"/>
      <c r="U436" s="38"/>
      <c r="V436" s="311" t="s">
        <v>130</v>
      </c>
      <c r="W436" s="462" t="s">
        <v>620</v>
      </c>
      <c r="X436" s="455"/>
      <c r="Y436" s="455"/>
      <c r="Z436" s="456">
        <f t="shared" si="67"/>
        <v>31817.668139639954</v>
      </c>
      <c r="AA436" s="455"/>
      <c r="AB436" s="455"/>
      <c r="AC436" s="456"/>
      <c r="AD436" s="464"/>
      <c r="AE436" s="463"/>
      <c r="AF436" s="456">
        <f t="shared" si="68"/>
        <v>28221.63</v>
      </c>
      <c r="AG436" s="457"/>
      <c r="AH436" s="458">
        <f t="shared" si="61"/>
        <v>-3596.0381396399534</v>
      </c>
      <c r="AI436" s="459">
        <f t="shared" si="69"/>
        <v>-0.1130201661497575</v>
      </c>
      <c r="AJ436" s="464"/>
      <c r="AK436" s="455"/>
      <c r="AL436" s="456">
        <f t="shared" si="70"/>
        <v>48722.729999999996</v>
      </c>
      <c r="AM436" s="460"/>
      <c r="AN436" s="458">
        <f t="shared" si="65"/>
        <v>-20501.099999999995</v>
      </c>
      <c r="AO436" s="465">
        <f t="shared" si="66"/>
        <v>-0.42077075730362395</v>
      </c>
      <c r="AP436" s="94"/>
      <c r="AQ436" s="578">
        <v>67659.239999999991</v>
      </c>
      <c r="AR436" s="511">
        <f t="shared" si="60"/>
        <v>-39437.609999999986</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47"/>
        <v>Frais véhicules de cie</v>
      </c>
      <c r="B437" s="3"/>
      <c r="C437" s="38"/>
      <c r="D437" s="38"/>
      <c r="E437" s="38"/>
      <c r="F437" s="38"/>
      <c r="G437" s="38"/>
      <c r="H437" s="38"/>
      <c r="I437" s="38"/>
      <c r="J437" s="38"/>
      <c r="K437" s="38"/>
      <c r="L437" s="38"/>
      <c r="M437" s="554"/>
      <c r="N437" s="554"/>
      <c r="O437" s="554"/>
      <c r="P437" s="147"/>
      <c r="Q437" s="570"/>
      <c r="R437" s="38"/>
      <c r="U437" s="38"/>
      <c r="V437" s="312" t="s">
        <v>131</v>
      </c>
      <c r="W437" s="466" t="s">
        <v>621</v>
      </c>
      <c r="X437" s="439"/>
      <c r="Y437" s="439"/>
      <c r="Z437" s="440">
        <f t="shared" si="67"/>
        <v>171964.8526666667</v>
      </c>
      <c r="AA437" s="439"/>
      <c r="AB437" s="439"/>
      <c r="AC437" s="440"/>
      <c r="AD437" s="468"/>
      <c r="AE437" s="467"/>
      <c r="AF437" s="440">
        <f t="shared" si="68"/>
        <v>148968.03</v>
      </c>
      <c r="AG437" s="441"/>
      <c r="AH437" s="442">
        <f t="shared" si="61"/>
        <v>-22996.822666666703</v>
      </c>
      <c r="AI437" s="469">
        <f t="shared" si="69"/>
        <v>-0.13372978437194544</v>
      </c>
      <c r="AJ437" s="468"/>
      <c r="AK437" s="439"/>
      <c r="AL437" s="440">
        <f t="shared" si="70"/>
        <v>165598.27000000002</v>
      </c>
      <c r="AM437" s="444"/>
      <c r="AN437" s="442">
        <f t="shared" si="65"/>
        <v>-16630.24000000002</v>
      </c>
      <c r="AO437" s="445">
        <f t="shared" si="66"/>
        <v>-0.1004252037174061</v>
      </c>
      <c r="AP437" s="94"/>
      <c r="AQ437" s="579">
        <v>276796.59999999998</v>
      </c>
      <c r="AR437" s="576">
        <f t="shared" si="60"/>
        <v>-127828.56999999998</v>
      </c>
      <c r="AS437" s="5" t="s">
        <v>652</v>
      </c>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47"/>
        <v>Informatique</v>
      </c>
      <c r="B438" s="3"/>
      <c r="C438" s="38"/>
      <c r="D438" s="38"/>
      <c r="E438" s="38"/>
      <c r="F438" s="38"/>
      <c r="G438" s="38"/>
      <c r="H438" s="38"/>
      <c r="I438" s="38"/>
      <c r="J438" s="38"/>
      <c r="K438" s="38"/>
      <c r="L438" s="38"/>
      <c r="M438" s="554"/>
      <c r="N438" s="554"/>
      <c r="O438" s="554"/>
      <c r="P438" s="147"/>
      <c r="Q438" s="570"/>
      <c r="R438" s="38"/>
      <c r="U438" s="38"/>
      <c r="V438" s="311" t="s">
        <v>132</v>
      </c>
      <c r="W438" s="462" t="s">
        <v>622</v>
      </c>
      <c r="X438" s="455"/>
      <c r="Y438" s="455"/>
      <c r="Z438" s="456">
        <f t="shared" si="67"/>
        <v>175030</v>
      </c>
      <c r="AA438" s="455"/>
      <c r="AB438" s="455"/>
      <c r="AC438" s="456"/>
      <c r="AD438" s="464"/>
      <c r="AE438" s="463"/>
      <c r="AF438" s="456">
        <f t="shared" si="68"/>
        <v>173297.07</v>
      </c>
      <c r="AG438" s="457"/>
      <c r="AH438" s="458">
        <f t="shared" si="61"/>
        <v>-1732.929999999993</v>
      </c>
      <c r="AI438" s="459">
        <f t="shared" si="69"/>
        <v>-9.9007598697365765E-3</v>
      </c>
      <c r="AJ438" s="464"/>
      <c r="AK438" s="455"/>
      <c r="AL438" s="456">
        <f t="shared" si="70"/>
        <v>167469.57999999999</v>
      </c>
      <c r="AM438" s="460"/>
      <c r="AN438" s="458">
        <f t="shared" si="65"/>
        <v>5827.4900000000198</v>
      </c>
      <c r="AO438" s="465">
        <f t="shared" si="66"/>
        <v>3.4797304680647199E-2</v>
      </c>
      <c r="AP438" s="94"/>
      <c r="AQ438" s="578">
        <v>239193.79</v>
      </c>
      <c r="AR438" s="511">
        <f t="shared" si="60"/>
        <v>-65896.72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47"/>
        <v>Frais de déplacement</v>
      </c>
      <c r="B439" s="3"/>
      <c r="C439" s="38"/>
      <c r="D439" s="38"/>
      <c r="E439" s="38"/>
      <c r="F439" s="38"/>
      <c r="G439" s="38"/>
      <c r="H439" s="38"/>
      <c r="I439" s="38"/>
      <c r="J439" s="38"/>
      <c r="K439" s="38"/>
      <c r="L439" s="38"/>
      <c r="M439" s="554"/>
      <c r="N439" s="554"/>
      <c r="O439" s="554"/>
      <c r="P439" s="147"/>
      <c r="Q439" s="570"/>
      <c r="R439" s="38"/>
      <c r="U439" s="38"/>
      <c r="V439" s="311" t="s">
        <v>133</v>
      </c>
      <c r="W439" s="462" t="s">
        <v>623</v>
      </c>
      <c r="X439" s="455"/>
      <c r="Y439" s="455"/>
      <c r="Z439" s="456">
        <f t="shared" si="67"/>
        <v>33250</v>
      </c>
      <c r="AA439" s="455"/>
      <c r="AB439" s="455"/>
      <c r="AC439" s="456"/>
      <c r="AD439" s="464"/>
      <c r="AE439" s="463"/>
      <c r="AF439" s="456">
        <f t="shared" si="68"/>
        <v>21486.75</v>
      </c>
      <c r="AG439" s="457"/>
      <c r="AH439" s="458">
        <f t="shared" si="61"/>
        <v>-11763.25</v>
      </c>
      <c r="AI439" s="459">
        <f t="shared" si="69"/>
        <v>-0.35378195488721803</v>
      </c>
      <c r="AJ439" s="464"/>
      <c r="AK439" s="455"/>
      <c r="AL439" s="456">
        <f t="shared" si="70"/>
        <v>31567.000000000004</v>
      </c>
      <c r="AM439" s="460"/>
      <c r="AN439" s="458">
        <f t="shared" si="65"/>
        <v>-10080.250000000004</v>
      </c>
      <c r="AO439" s="465">
        <f t="shared" si="66"/>
        <v>-0.31932872936927814</v>
      </c>
      <c r="AP439" s="94"/>
      <c r="AQ439" s="578">
        <v>42486.400000000001</v>
      </c>
      <c r="AR439" s="511">
        <f t="shared" si="60"/>
        <v>-20999.65</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47"/>
        <v>Services extérieurs</v>
      </c>
      <c r="B440" s="3"/>
      <c r="C440" s="38"/>
      <c r="D440" s="38"/>
      <c r="E440" s="38"/>
      <c r="F440" s="38"/>
      <c r="G440" s="38"/>
      <c r="H440" s="38"/>
      <c r="I440" s="38"/>
      <c r="J440" s="38"/>
      <c r="K440" s="38"/>
      <c r="L440" s="38"/>
      <c r="M440" s="38"/>
      <c r="N440" s="38"/>
      <c r="O440" s="554"/>
      <c r="P440" s="147"/>
      <c r="Q440" s="570"/>
      <c r="R440" s="38"/>
      <c r="U440" s="38"/>
      <c r="V440" s="311" t="s">
        <v>134</v>
      </c>
      <c r="W440" s="462" t="s">
        <v>624</v>
      </c>
      <c r="X440" s="455"/>
      <c r="Y440" s="455"/>
      <c r="Z440" s="456">
        <f t="shared" si="67"/>
        <v>264674.03032066853</v>
      </c>
      <c r="AA440" s="455"/>
      <c r="AB440" s="455"/>
      <c r="AC440" s="456"/>
      <c r="AD440" s="464"/>
      <c r="AE440" s="463"/>
      <c r="AF440" s="456">
        <f t="shared" si="68"/>
        <v>223715.41000000003</v>
      </c>
      <c r="AG440" s="457"/>
      <c r="AH440" s="458">
        <f t="shared" si="61"/>
        <v>-40958.620320668502</v>
      </c>
      <c r="AI440" s="459">
        <f t="shared" si="69"/>
        <v>-0.15475118685065045</v>
      </c>
      <c r="AJ440" s="464"/>
      <c r="AK440" s="455"/>
      <c r="AL440" s="456">
        <f t="shared" si="70"/>
        <v>291228.89</v>
      </c>
      <c r="AM440" s="460"/>
      <c r="AN440" s="458">
        <f t="shared" si="65"/>
        <v>-67513.479999999981</v>
      </c>
      <c r="AO440" s="465">
        <f t="shared" si="66"/>
        <v>-0.23182274258573721</v>
      </c>
      <c r="AP440" s="94"/>
      <c r="AQ440" s="578">
        <v>240398.68</v>
      </c>
      <c r="AR440" s="511">
        <f t="shared" si="60"/>
        <v>-16683.26999999996</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489</v>
      </c>
      <c r="B441" s="3"/>
      <c r="C441" s="38"/>
      <c r="D441" s="38"/>
      <c r="E441" s="38"/>
      <c r="F441" s="38"/>
      <c r="G441" s="38"/>
      <c r="H441" s="38"/>
      <c r="I441" s="38"/>
      <c r="J441" s="38"/>
      <c r="K441" s="38"/>
      <c r="M441" s="147"/>
      <c r="N441" s="568"/>
      <c r="O441" s="568"/>
      <c r="P441" s="147"/>
      <c r="Q441" s="38"/>
      <c r="R441" s="38"/>
      <c r="U441" s="38"/>
      <c r="V441" s="405" t="s">
        <v>489</v>
      </c>
      <c r="W441" s="482"/>
      <c r="X441" s="483"/>
      <c r="Y441" s="483"/>
      <c r="Z441" s="484">
        <f t="shared" si="67"/>
        <v>0</v>
      </c>
      <c r="AA441" s="483"/>
      <c r="AB441" s="483"/>
      <c r="AC441" s="484"/>
      <c r="AD441" s="485"/>
      <c r="AE441" s="486"/>
      <c r="AF441" s="484">
        <f t="shared" si="68"/>
        <v>0</v>
      </c>
      <c r="AG441" s="491"/>
      <c r="AH441" s="487">
        <f t="shared" si="61"/>
        <v>0</v>
      </c>
      <c r="AI441" s="488">
        <f t="shared" si="69"/>
        <v>0</v>
      </c>
      <c r="AJ441" s="485"/>
      <c r="AK441" s="483"/>
      <c r="AL441" s="484">
        <f t="shared" si="70"/>
        <v>0</v>
      </c>
      <c r="AM441" s="489"/>
      <c r="AN441" s="487">
        <f t="shared" si="65"/>
        <v>0</v>
      </c>
      <c r="AO441" s="461">
        <f t="shared" si="66"/>
        <v>0</v>
      </c>
      <c r="AP441" s="94"/>
      <c r="AQ441" s="584">
        <v>0</v>
      </c>
      <c r="AR441" s="505">
        <f t="shared" si="60"/>
        <v>0</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71">+U442&amp;V442</f>
        <v>Fournitures autres</v>
      </c>
      <c r="B442" s="3"/>
      <c r="C442" s="38"/>
      <c r="D442" s="38"/>
      <c r="E442" s="38"/>
      <c r="F442" s="38"/>
      <c r="G442" s="38"/>
      <c r="H442" s="38"/>
      <c r="I442" s="38"/>
      <c r="J442" s="38"/>
      <c r="K442" s="38"/>
      <c r="L442" s="38"/>
      <c r="M442" s="38"/>
      <c r="N442" s="38"/>
      <c r="O442" s="38"/>
      <c r="P442" s="585"/>
      <c r="Q442" s="94"/>
      <c r="R442" s="38"/>
      <c r="S442" s="38"/>
      <c r="T442" s="38"/>
      <c r="U442" s="38"/>
      <c r="V442" s="311" t="s">
        <v>135</v>
      </c>
      <c r="W442" s="462" t="s">
        <v>625</v>
      </c>
      <c r="X442" s="455"/>
      <c r="Y442" s="463"/>
      <c r="Z442" s="456">
        <f t="shared" si="67"/>
        <v>36190</v>
      </c>
      <c r="AA442" s="455"/>
      <c r="AB442" s="463"/>
      <c r="AC442" s="456"/>
      <c r="AD442" s="464"/>
      <c r="AE442" s="463"/>
      <c r="AF442" s="456">
        <f t="shared" si="68"/>
        <v>38235.219999999994</v>
      </c>
      <c r="AG442" s="457"/>
      <c r="AH442" s="458">
        <f t="shared" si="61"/>
        <v>2045.2199999999939</v>
      </c>
      <c r="AI442" s="459">
        <f t="shared" si="69"/>
        <v>5.6513401492124728E-2</v>
      </c>
      <c r="AJ442" s="464"/>
      <c r="AK442" s="455"/>
      <c r="AL442" s="456">
        <f t="shared" si="70"/>
        <v>33758.67</v>
      </c>
      <c r="AM442" s="460"/>
      <c r="AN442" s="458">
        <f t="shared" si="65"/>
        <v>4476.5499999999956</v>
      </c>
      <c r="AO442" s="465">
        <f t="shared" si="66"/>
        <v>0.13260445390769232</v>
      </c>
      <c r="AP442" s="94"/>
      <c r="AQ442" s="578">
        <v>30518.469999999998</v>
      </c>
      <c r="AR442" s="511">
        <f t="shared" si="60"/>
        <v>7716.7499999999964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71"/>
        <v>Uniformes</v>
      </c>
      <c r="B443" s="3"/>
      <c r="C443" s="38"/>
      <c r="D443" s="38"/>
      <c r="E443" s="38"/>
      <c r="F443" s="38"/>
      <c r="G443" s="38"/>
      <c r="H443" s="38"/>
      <c r="I443" s="38"/>
      <c r="J443" s="38"/>
      <c r="K443" s="38"/>
      <c r="L443" s="38"/>
      <c r="M443" s="38"/>
      <c r="N443" s="38"/>
      <c r="O443" s="38"/>
      <c r="Q443" s="94"/>
      <c r="S443" s="38"/>
      <c r="T443" s="38"/>
      <c r="U443" s="38"/>
      <c r="V443" s="311" t="s">
        <v>136</v>
      </c>
      <c r="W443" s="462" t="s">
        <v>626</v>
      </c>
      <c r="X443" s="455"/>
      <c r="Y443" s="455"/>
      <c r="Z443" s="456">
        <f t="shared" si="67"/>
        <v>22000</v>
      </c>
      <c r="AA443" s="455"/>
      <c r="AB443" s="455"/>
      <c r="AC443" s="456"/>
      <c r="AD443" s="464"/>
      <c r="AE443" s="463"/>
      <c r="AF443" s="456">
        <f t="shared" si="68"/>
        <v>8296.119999999999</v>
      </c>
      <c r="AG443" s="457"/>
      <c r="AH443" s="458">
        <f t="shared" si="61"/>
        <v>-13703.880000000001</v>
      </c>
      <c r="AI443" s="478">
        <f t="shared" si="69"/>
        <v>-0.62290363636363644</v>
      </c>
      <c r="AJ443" s="464"/>
      <c r="AK443" s="455"/>
      <c r="AL443" s="456">
        <f t="shared" si="70"/>
        <v>6387.6599999999989</v>
      </c>
      <c r="AM443" s="460"/>
      <c r="AN443" s="458">
        <f t="shared" si="65"/>
        <v>1908.46</v>
      </c>
      <c r="AO443" s="465">
        <f t="shared" si="66"/>
        <v>0.29877294658763937</v>
      </c>
      <c r="AP443" s="94"/>
      <c r="AQ443" s="578">
        <v>14808.84</v>
      </c>
      <c r="AR443" s="511">
        <f t="shared" si="60"/>
        <v>-6512.7200000000012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71"/>
        <v>Papeterie</v>
      </c>
      <c r="B444" s="3"/>
      <c r="C444" s="38"/>
      <c r="D444" s="38"/>
      <c r="E444" s="38"/>
      <c r="F444" s="38"/>
      <c r="G444" s="38"/>
      <c r="H444" s="38"/>
      <c r="I444" s="38"/>
      <c r="J444" s="38"/>
      <c r="K444" s="38"/>
      <c r="L444" s="38"/>
      <c r="M444" s="38"/>
      <c r="N444" s="38"/>
      <c r="O444" s="38"/>
      <c r="P444" s="585"/>
      <c r="Q444" s="94"/>
      <c r="R444" s="38"/>
      <c r="S444" s="38"/>
      <c r="T444" s="38"/>
      <c r="U444" s="38"/>
      <c r="V444" s="311" t="s">
        <v>137</v>
      </c>
      <c r="W444" s="462" t="s">
        <v>627</v>
      </c>
      <c r="X444" s="455"/>
      <c r="Y444" s="455"/>
      <c r="Z444" s="456">
        <f t="shared" si="67"/>
        <v>16124.5</v>
      </c>
      <c r="AA444" s="455"/>
      <c r="AB444" s="455"/>
      <c r="AC444" s="456"/>
      <c r="AD444" s="464"/>
      <c r="AE444" s="463"/>
      <c r="AF444" s="456">
        <f t="shared" si="68"/>
        <v>23364.800000000003</v>
      </c>
      <c r="AG444" s="457"/>
      <c r="AH444" s="458">
        <f t="shared" si="61"/>
        <v>7240.3000000000029</v>
      </c>
      <c r="AI444" s="459">
        <f t="shared" si="69"/>
        <v>0.44902477596204554</v>
      </c>
      <c r="AJ444" s="464"/>
      <c r="AK444" s="455"/>
      <c r="AL444" s="456">
        <f t="shared" si="70"/>
        <v>16198.640000000001</v>
      </c>
      <c r="AM444" s="460"/>
      <c r="AN444" s="458">
        <f t="shared" si="65"/>
        <v>7166.1600000000017</v>
      </c>
      <c r="AO444" s="465">
        <f t="shared" si="66"/>
        <v>0.44239269469535719</v>
      </c>
      <c r="AP444" s="94"/>
      <c r="AQ444" s="578">
        <v>30323.510000000002</v>
      </c>
      <c r="AR444" s="511">
        <f t="shared" si="60"/>
        <v>-6958.7099999999991</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71"/>
        <v>Téléphone</v>
      </c>
      <c r="B445" s="3"/>
      <c r="C445" s="38"/>
      <c r="D445" s="38"/>
      <c r="E445" s="38"/>
      <c r="F445" s="38"/>
      <c r="G445" s="38"/>
      <c r="H445" s="38"/>
      <c r="I445" s="38"/>
      <c r="J445" s="38"/>
      <c r="K445" s="38"/>
      <c r="L445" s="38"/>
      <c r="M445" s="38"/>
      <c r="N445" s="38"/>
      <c r="O445" s="38"/>
      <c r="P445" s="38"/>
      <c r="Q445" s="94"/>
      <c r="S445" s="38"/>
      <c r="T445" s="38"/>
      <c r="U445" s="38"/>
      <c r="V445" s="311" t="s">
        <v>138</v>
      </c>
      <c r="W445" s="462" t="s">
        <v>628</v>
      </c>
      <c r="X445" s="455"/>
      <c r="Y445" s="455"/>
      <c r="Z445" s="456">
        <f t="shared" si="67"/>
        <v>6278.125</v>
      </c>
      <c r="AA445" s="455"/>
      <c r="AB445" s="455"/>
      <c r="AC445" s="456"/>
      <c r="AD445" s="464"/>
      <c r="AE445" s="463"/>
      <c r="AF445" s="456">
        <f t="shared" si="68"/>
        <v>5256.3200000000006</v>
      </c>
      <c r="AG445" s="457"/>
      <c r="AH445" s="458">
        <f t="shared" si="61"/>
        <v>-1021.8049999999994</v>
      </c>
      <c r="AI445" s="478">
        <f t="shared" si="69"/>
        <v>-0.16275639621702329</v>
      </c>
      <c r="AJ445" s="464"/>
      <c r="AK445" s="455"/>
      <c r="AL445" s="456">
        <f t="shared" si="70"/>
        <v>5791.9500000000007</v>
      </c>
      <c r="AM445" s="460"/>
      <c r="AN445" s="458">
        <f t="shared" si="65"/>
        <v>-535.63000000000011</v>
      </c>
      <c r="AO445" s="465">
        <f t="shared" si="66"/>
        <v>-9.2478353576947323E-2</v>
      </c>
      <c r="AP445" s="94"/>
      <c r="AQ445" s="578">
        <v>8588.4900000000016</v>
      </c>
      <c r="AR445" s="511">
        <f t="shared" si="60"/>
        <v>-3332.170000000001</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71"/>
        <v>Frais postaux</v>
      </c>
      <c r="B446" s="3"/>
      <c r="C446" s="38"/>
      <c r="D446" s="38"/>
      <c r="E446" s="38"/>
      <c r="F446" s="38"/>
      <c r="G446" s="38"/>
      <c r="H446" s="38"/>
      <c r="I446" s="38"/>
      <c r="J446" s="38"/>
      <c r="K446" s="38"/>
      <c r="L446" s="38"/>
      <c r="M446" s="38"/>
      <c r="N446" s="38"/>
      <c r="O446" s="38"/>
      <c r="P446" s="38"/>
      <c r="Q446" s="94"/>
      <c r="S446" s="38"/>
      <c r="T446" s="38"/>
      <c r="U446" s="38"/>
      <c r="V446" s="311" t="s">
        <v>139</v>
      </c>
      <c r="W446" s="462" t="s">
        <v>629</v>
      </c>
      <c r="X446" s="455"/>
      <c r="Y446" s="455"/>
      <c r="Z446" s="456">
        <f t="shared" si="67"/>
        <v>4985.75</v>
      </c>
      <c r="AA446" s="455"/>
      <c r="AB446" s="455"/>
      <c r="AC446" s="456"/>
      <c r="AD446" s="464"/>
      <c r="AE446" s="463"/>
      <c r="AF446" s="456">
        <f t="shared" si="68"/>
        <v>3042.8200000000006</v>
      </c>
      <c r="AG446" s="457"/>
      <c r="AH446" s="458">
        <f t="shared" si="61"/>
        <v>-1942.9299999999994</v>
      </c>
      <c r="AI446" s="459">
        <f t="shared" si="69"/>
        <v>-0.38969663541092098</v>
      </c>
      <c r="AJ446" s="464"/>
      <c r="AK446" s="455"/>
      <c r="AL446" s="456">
        <f t="shared" si="70"/>
        <v>3158.1999999999989</v>
      </c>
      <c r="AM446" s="460"/>
      <c r="AN446" s="458">
        <f t="shared" si="65"/>
        <v>-115.37999999999829</v>
      </c>
      <c r="AO446" s="465">
        <f t="shared" si="66"/>
        <v>-3.6533468431384435E-2</v>
      </c>
      <c r="AP446" s="94"/>
      <c r="AQ446" s="578">
        <v>3965.16</v>
      </c>
      <c r="AR446" s="511">
        <f t="shared" si="60"/>
        <v>-922.33999999999924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71"/>
        <v>Divers</v>
      </c>
      <c r="B447" s="3"/>
      <c r="C447" s="38"/>
      <c r="D447" s="38"/>
      <c r="E447" s="38"/>
      <c r="F447" s="38"/>
      <c r="G447" s="38"/>
      <c r="H447" s="38"/>
      <c r="I447" s="38"/>
      <c r="J447" s="38"/>
      <c r="K447" s="38"/>
      <c r="L447" s="38"/>
      <c r="M447" s="38"/>
      <c r="N447" s="38"/>
      <c r="O447" s="38"/>
      <c r="P447" s="38"/>
      <c r="Q447" s="94"/>
      <c r="R447" s="38"/>
      <c r="S447" s="38"/>
      <c r="T447" s="38"/>
      <c r="U447" s="38"/>
      <c r="V447" s="311" t="s">
        <v>140</v>
      </c>
      <c r="W447" s="462" t="s">
        <v>630</v>
      </c>
      <c r="X447" s="455"/>
      <c r="Y447" s="463"/>
      <c r="Z447" s="456">
        <f t="shared" si="67"/>
        <v>2625</v>
      </c>
      <c r="AA447" s="455"/>
      <c r="AB447" s="463"/>
      <c r="AC447" s="456"/>
      <c r="AD447" s="464"/>
      <c r="AE447" s="463"/>
      <c r="AF447" s="456">
        <f t="shared" si="68"/>
        <v>4707.05</v>
      </c>
      <c r="AG447" s="457"/>
      <c r="AH447" s="458">
        <f t="shared" si="61"/>
        <v>2082.0500000000002</v>
      </c>
      <c r="AI447" s="478">
        <f t="shared" si="69"/>
        <v>0.79316190476190485</v>
      </c>
      <c r="AJ447" s="464"/>
      <c r="AK447" s="455"/>
      <c r="AL447" s="456">
        <f t="shared" si="70"/>
        <v>1843.8799999999999</v>
      </c>
      <c r="AM447" s="460"/>
      <c r="AN447" s="458">
        <f t="shared" si="65"/>
        <v>2863.17</v>
      </c>
      <c r="AO447" s="465">
        <f t="shared" si="66"/>
        <v>1.5527962774150164</v>
      </c>
      <c r="AP447" s="94"/>
      <c r="AQ447" s="578">
        <v>9676.7800000000007</v>
      </c>
      <c r="AR447" s="511">
        <f t="shared" si="60"/>
        <v>-4969.7300000000005</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71"/>
        <v>Formation</v>
      </c>
      <c r="B448" s="3"/>
      <c r="C448" s="38"/>
      <c r="D448" s="38"/>
      <c r="E448" s="38"/>
      <c r="F448" s="38"/>
      <c r="G448" s="38"/>
      <c r="H448" s="38"/>
      <c r="I448" s="38"/>
      <c r="J448" s="38"/>
      <c r="K448" s="38"/>
      <c r="L448" s="38"/>
      <c r="M448" s="38"/>
      <c r="N448" s="38"/>
      <c r="O448" s="38"/>
      <c r="P448" s="38"/>
      <c r="Q448" s="94"/>
      <c r="R448" s="38"/>
      <c r="S448" s="38"/>
      <c r="T448" s="38"/>
      <c r="U448" s="38"/>
      <c r="V448" s="311" t="s">
        <v>141</v>
      </c>
      <c r="W448" s="462" t="s">
        <v>631</v>
      </c>
      <c r="X448" s="455"/>
      <c r="Y448" s="463"/>
      <c r="Z448" s="456">
        <f t="shared" si="67"/>
        <v>31500</v>
      </c>
      <c r="AA448" s="455"/>
      <c r="AB448" s="463"/>
      <c r="AC448" s="456"/>
      <c r="AD448" s="464"/>
      <c r="AE448" s="463"/>
      <c r="AF448" s="456">
        <f t="shared" si="68"/>
        <v>23976.48</v>
      </c>
      <c r="AG448" s="457"/>
      <c r="AH448" s="914">
        <f t="shared" si="61"/>
        <v>-7523.52</v>
      </c>
      <c r="AI448" s="459">
        <f t="shared" si="69"/>
        <v>-0.23884190476190478</v>
      </c>
      <c r="AJ448" s="464"/>
      <c r="AK448" s="455"/>
      <c r="AL448" s="456">
        <f t="shared" si="70"/>
        <v>27729.88</v>
      </c>
      <c r="AM448" s="460"/>
      <c r="AN448" s="458">
        <f t="shared" si="65"/>
        <v>-3753.4000000000015</v>
      </c>
      <c r="AO448" s="465">
        <f t="shared" si="66"/>
        <v>-0.13535579670737852</v>
      </c>
      <c r="AP448" s="94"/>
      <c r="AQ448" s="578">
        <v>39202.850000000006</v>
      </c>
      <c r="AR448" s="511">
        <f t="shared" si="60"/>
        <v>-15226.370000000006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71"/>
        <v>Frais bancaires</v>
      </c>
      <c r="B449" s="3"/>
      <c r="C449" s="38"/>
      <c r="D449" s="38"/>
      <c r="E449" s="38"/>
      <c r="F449" s="38"/>
      <c r="G449" s="38"/>
      <c r="H449" s="38"/>
      <c r="I449" s="38"/>
      <c r="J449" s="38"/>
      <c r="K449" s="38"/>
      <c r="L449" s="38"/>
      <c r="M449" s="38"/>
      <c r="N449" s="38"/>
      <c r="O449" s="38"/>
      <c r="P449" s="38"/>
      <c r="Q449" s="94"/>
      <c r="R449" s="38"/>
      <c r="S449" s="38"/>
      <c r="T449" s="38"/>
      <c r="U449" s="38"/>
      <c r="V449" s="311" t="s">
        <v>142</v>
      </c>
      <c r="W449" s="462" t="s">
        <v>632</v>
      </c>
      <c r="X449" s="455"/>
      <c r="Y449" s="463"/>
      <c r="Z449" s="456">
        <f t="shared" si="67"/>
        <v>58152.879861480586</v>
      </c>
      <c r="AA449" s="455"/>
      <c r="AB449" s="463"/>
      <c r="AC449" s="456"/>
      <c r="AD449" s="464"/>
      <c r="AE449" s="463"/>
      <c r="AF449" s="440">
        <f>SUMIFS(BV_Data_An_Cour!$P:$P,BV_Data_An_Cour!$V:$V,$V449)</f>
        <v>66792.91</v>
      </c>
      <c r="AG449" s="457"/>
      <c r="AH449" s="861">
        <f t="shared" si="61"/>
        <v>8640.030138519418</v>
      </c>
      <c r="AI449" s="459">
        <f t="shared" si="69"/>
        <v>0.14857441555946771</v>
      </c>
      <c r="AJ449" s="464"/>
      <c r="AK449" s="455"/>
      <c r="AL449" s="456">
        <f t="array" ref="AL449">+SUMPRODUCT(('Réel 2024'!$A$8:$A$502=$A449)*('Réel 2024'!$C$3:$AO$3=Z$2),'Réel 2024'!$C$8:$AO$502)</f>
        <v>56236.89</v>
      </c>
      <c r="AM449" s="460"/>
      <c r="AN449" s="458">
        <f t="shared" si="65"/>
        <v>10556.020000000004</v>
      </c>
      <c r="AO449" s="465">
        <f t="shared" si="66"/>
        <v>0.18770632586545957</v>
      </c>
      <c r="AP449" s="94"/>
      <c r="AQ449" s="579">
        <v>99368.799999999988</v>
      </c>
      <c r="AR449" s="576">
        <f t="shared" si="60"/>
        <v>-32575.889999999985</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71"/>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67"/>
        <v>0</v>
      </c>
      <c r="AA450" s="455"/>
      <c r="AB450" s="463"/>
      <c r="AC450" s="456"/>
      <c r="AD450" s="464"/>
      <c r="AE450" s="463"/>
      <c r="AF450" s="456">
        <f>+SUMIF($C:$C,$V450,L:L)</f>
        <v>0</v>
      </c>
      <c r="AG450" s="457"/>
      <c r="AH450" s="458">
        <f t="shared" si="61"/>
        <v>0</v>
      </c>
      <c r="AI450" s="459">
        <f t="shared" si="69"/>
        <v>0</v>
      </c>
      <c r="AJ450" s="464"/>
      <c r="AK450" s="455"/>
      <c r="AL450" s="456"/>
      <c r="AM450" s="460"/>
      <c r="AN450" s="458">
        <f t="shared" si="65"/>
        <v>0</v>
      </c>
      <c r="AO450" s="465">
        <f t="shared" si="66"/>
        <v>0</v>
      </c>
      <c r="AP450" s="94"/>
      <c r="AQ450" s="578">
        <v>0</v>
      </c>
      <c r="AR450" s="511">
        <f t="shared" si="60"/>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71"/>
        <v>[...]</v>
      </c>
      <c r="B451" s="3"/>
      <c r="C451" s="38"/>
      <c r="D451" s="38"/>
      <c r="E451" s="38"/>
      <c r="F451" s="38"/>
      <c r="G451" s="38"/>
      <c r="H451" s="38"/>
      <c r="I451" s="38"/>
      <c r="J451" s="38"/>
      <c r="K451" s="38"/>
      <c r="L451" s="38"/>
      <c r="M451" s="38"/>
      <c r="N451" s="38"/>
      <c r="O451" s="38"/>
      <c r="P451" s="38"/>
      <c r="Q451" s="94"/>
      <c r="R451" s="38"/>
      <c r="S451" s="38"/>
      <c r="T451" s="38"/>
      <c r="U451" s="38"/>
      <c r="V451" s="311" t="s">
        <v>59</v>
      </c>
      <c r="W451" s="462"/>
      <c r="X451" s="455"/>
      <c r="Y451" s="463"/>
      <c r="Z451" s="456">
        <f t="shared" si="67"/>
        <v>0</v>
      </c>
      <c r="AA451" s="455"/>
      <c r="AB451" s="463"/>
      <c r="AC451" s="456"/>
      <c r="AD451" s="464"/>
      <c r="AE451" s="463"/>
      <c r="AF451" s="456">
        <f>+SUMIF($C:$C,$V451,L:L)</f>
        <v>0</v>
      </c>
      <c r="AG451" s="457"/>
      <c r="AH451" s="458">
        <f t="shared" si="61"/>
        <v>0</v>
      </c>
      <c r="AI451" s="459">
        <f t="shared" si="69"/>
        <v>0</v>
      </c>
      <c r="AJ451" s="464"/>
      <c r="AK451" s="455"/>
      <c r="AL451" s="456"/>
      <c r="AM451" s="460"/>
      <c r="AN451" s="458">
        <f t="shared" si="65"/>
        <v>0</v>
      </c>
      <c r="AO451" s="465">
        <f t="shared" si="66"/>
        <v>0</v>
      </c>
      <c r="AP451" s="94"/>
      <c r="AQ451" s="578">
        <v>0</v>
      </c>
      <c r="AR451" s="511">
        <f t="shared" si="60"/>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71"/>
        <v>[...]</v>
      </c>
      <c r="B452" s="3"/>
      <c r="C452" s="38"/>
      <c r="D452" s="38"/>
      <c r="E452" s="38"/>
      <c r="F452" s="38"/>
      <c r="G452" s="38"/>
      <c r="H452" s="38"/>
      <c r="I452" s="38"/>
      <c r="J452" s="38"/>
      <c r="K452" s="38"/>
      <c r="L452" s="38"/>
      <c r="M452" s="38"/>
      <c r="N452" s="38"/>
      <c r="O452" s="38"/>
      <c r="P452" s="585"/>
      <c r="Q452" s="94"/>
      <c r="R452" s="38"/>
      <c r="S452" s="38"/>
      <c r="T452" s="38"/>
      <c r="U452" s="38"/>
      <c r="V452" s="311" t="s">
        <v>59</v>
      </c>
      <c r="W452" s="462"/>
      <c r="X452" s="455"/>
      <c r="Y452" s="463"/>
      <c r="Z452" s="456">
        <f t="shared" si="67"/>
        <v>0</v>
      </c>
      <c r="AA452" s="455"/>
      <c r="AB452" s="463"/>
      <c r="AC452" s="456"/>
      <c r="AD452" s="464"/>
      <c r="AE452" s="463"/>
      <c r="AF452" s="456">
        <f>+SUMIF($C:$C,$V452,L:L)</f>
        <v>0</v>
      </c>
      <c r="AG452" s="457"/>
      <c r="AH452" s="458">
        <f t="shared" si="61"/>
        <v>0</v>
      </c>
      <c r="AI452" s="459">
        <f t="shared" si="69"/>
        <v>0</v>
      </c>
      <c r="AJ452" s="464"/>
      <c r="AK452" s="455"/>
      <c r="AL452" s="456"/>
      <c r="AM452" s="460"/>
      <c r="AN452" s="458">
        <f t="shared" si="65"/>
        <v>0</v>
      </c>
      <c r="AO452" s="465">
        <f t="shared" si="66"/>
        <v>0</v>
      </c>
      <c r="AP452" s="94"/>
      <c r="AQ452" s="578">
        <v>0</v>
      </c>
      <c r="AR452" s="511">
        <f t="shared" si="60"/>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71"/>
        <v>TOTAL SEMI-FIXES</v>
      </c>
      <c r="B453" s="3"/>
      <c r="C453" s="38"/>
      <c r="D453" s="38"/>
      <c r="E453" s="38"/>
      <c r="F453" s="38"/>
      <c r="G453" s="38"/>
      <c r="H453" s="38"/>
      <c r="I453" s="38"/>
      <c r="J453" s="38"/>
      <c r="K453" s="38"/>
      <c r="L453" s="38"/>
      <c r="M453" s="38"/>
      <c r="N453" s="38"/>
      <c r="O453" s="38"/>
      <c r="P453" s="38"/>
      <c r="Q453" s="94"/>
      <c r="R453" s="38"/>
      <c r="S453" s="38"/>
      <c r="T453" s="38"/>
      <c r="U453" s="38"/>
      <c r="V453" s="470" t="s">
        <v>143</v>
      </c>
      <c r="W453" s="492"/>
      <c r="X453" s="472">
        <f>Z453/+Z408</f>
        <v>0.17235417715622392</v>
      </c>
      <c r="Y453" s="471"/>
      <c r="Z453" s="473">
        <f>+SUM(Z435:Z452)</f>
        <v>965933.30598845566</v>
      </c>
      <c r="AA453" s="472"/>
      <c r="AB453" s="471"/>
      <c r="AC453" s="473"/>
      <c r="AD453" s="474">
        <f>AF453/AF408</f>
        <v>0.19390013575537871</v>
      </c>
      <c r="AE453" s="471"/>
      <c r="AF453" s="473">
        <f>+SUM(AF435:AF452)</f>
        <v>844019.92</v>
      </c>
      <c r="AG453" s="480"/>
      <c r="AH453" s="911">
        <f>+SUM(AH435:AH452)</f>
        <v>-121913.38598845572</v>
      </c>
      <c r="AI453" s="472">
        <f>AH453/Z453</f>
        <v>-0.12621304724936441</v>
      </c>
      <c r="AJ453" s="474">
        <f>IF($AL$408=0,0,AL453/$AL$408)</f>
        <v>0.21884965509133922</v>
      </c>
      <c r="AK453" s="472"/>
      <c r="AL453" s="473">
        <f>+SUM(AL435:AL452)</f>
        <v>993437.32000000007</v>
      </c>
      <c r="AM453" s="481"/>
      <c r="AN453" s="476">
        <f>+SUM(AN435:AN452)</f>
        <v>-149417.39999999997</v>
      </c>
      <c r="AO453" s="494">
        <f t="shared" si="66"/>
        <v>-0.15040445631738494</v>
      </c>
      <c r="AP453" s="94"/>
      <c r="AQ453" s="580">
        <v>1279865.6600000001</v>
      </c>
      <c r="AR453" s="581">
        <f t="shared" si="60"/>
        <v>-435845.74000000011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71"/>
        <v>Loyer</v>
      </c>
      <c r="B454" s="3"/>
      <c r="C454" s="38"/>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 t="array" ref="Z454">+SUMPRODUCT(('Budget original'!$A$8:$A$502=$A454)*('Budget original'!$C$3:$AO$3=Z$2),'Budget original'!$C$8:$AO$502)</f>
        <v>556500</v>
      </c>
      <c r="AA454" s="455"/>
      <c r="AB454" s="463"/>
      <c r="AC454" s="456"/>
      <c r="AD454" s="464"/>
      <c r="AE454" s="463"/>
      <c r="AF454" s="456">
        <f>SUMIFS(BV_Data_An_Cour!$P:$P,BV_Data_An_Cour!$V:$V,$V454)</f>
        <v>523000</v>
      </c>
      <c r="AG454" s="457"/>
      <c r="AH454" s="458">
        <f t="shared" ref="AH454:AH462" si="72">AF454-Z454</f>
        <v>-33500</v>
      </c>
      <c r="AI454" s="459">
        <f t="shared" ref="AI454:AI462" si="73">IF(Z454=0,0,AH454/Z454)</f>
        <v>-6.0197663971248878E-2</v>
      </c>
      <c r="AJ454" s="464"/>
      <c r="AK454" s="455"/>
      <c r="AL454" s="456">
        <f t="array" ref="AL454">+SUMPRODUCT(('Réel 2024'!$A$8:$A$502=$A454)*('Réel 2024'!$C$3:$AO$3=Z$2),'Réel 2024'!$C$8:$AO$502)</f>
        <v>252000</v>
      </c>
      <c r="AM454" s="460"/>
      <c r="AN454" s="458">
        <f t="shared" ref="AN454:AN462" si="74">AF454-AL454</f>
        <v>271000</v>
      </c>
      <c r="AO454" s="465">
        <f t="shared" si="66"/>
        <v>1.0753968253968254</v>
      </c>
      <c r="AP454" s="94"/>
      <c r="AQ454" s="578">
        <v>312000</v>
      </c>
      <c r="AR454" s="511">
        <f t="shared" si="60"/>
        <v>211000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71"/>
        <v>Taxes foncières</v>
      </c>
      <c r="B455" s="3"/>
      <c r="C455" s="38"/>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 t="array" ref="Z455">+SUMPRODUCT(('Budget original'!$A$8:$A$502=$A455)*('Budget original'!$C$3:$AO$3=Z$2),'Budget original'!$C$8:$AO$502)</f>
        <v>112000</v>
      </c>
      <c r="AA455" s="455"/>
      <c r="AB455" s="463"/>
      <c r="AC455" s="456"/>
      <c r="AD455" s="464"/>
      <c r="AE455" s="463"/>
      <c r="AF455" s="456">
        <f>SUMIFS(BV_Data_An_Cour!$P:$P,BV_Data_An_Cour!$V:$V,$V455)</f>
        <v>115500</v>
      </c>
      <c r="AG455" s="457"/>
      <c r="AH455" s="458">
        <f t="shared" si="72"/>
        <v>3500</v>
      </c>
      <c r="AI455" s="459">
        <f t="shared" si="73"/>
        <v>3.125E-2</v>
      </c>
      <c r="AJ455" s="464"/>
      <c r="AK455" s="455"/>
      <c r="AL455" s="456">
        <f t="array" ref="AL455">+SUMPRODUCT(('Réel 2024'!$A$8:$A$502=$A455)*('Réel 2024'!$C$3:$AO$3=Z$2),'Réel 2024'!$C$8:$AO$502)</f>
        <v>37961</v>
      </c>
      <c r="AM455" s="460"/>
      <c r="AN455" s="458">
        <f t="shared" si="74"/>
        <v>77539</v>
      </c>
      <c r="AO455" s="465">
        <f t="shared" si="66"/>
        <v>2.0425963488843815</v>
      </c>
      <c r="AP455" s="94"/>
      <c r="AQ455" s="578">
        <v>59160</v>
      </c>
      <c r="AR455" s="511">
        <f t="shared" si="60"/>
        <v>56340</v>
      </c>
      <c r="AS455" s="38" t="s">
        <v>653</v>
      </c>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71"/>
        <v>Taxes d`affaires</v>
      </c>
      <c r="B456" s="3"/>
      <c r="C456" s="38"/>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 t="array" ref="Z456">+SUMPRODUCT(('Budget original'!$A$8:$A$502=$A456)*('Budget original'!$C$3:$AO$3=Z$2),'Budget original'!$C$8:$AO$502)</f>
        <v>10500</v>
      </c>
      <c r="AA456" s="439"/>
      <c r="AB456" s="467"/>
      <c r="AC456" s="440"/>
      <c r="AD456" s="468"/>
      <c r="AE456" s="467"/>
      <c r="AF456" s="440">
        <f>SUMIFS(BV_Data_An_Cour!$P:$P,BV_Data_An_Cour!$V:$V,$V456)</f>
        <v>10500</v>
      </c>
      <c r="AG456" s="441"/>
      <c r="AH456" s="442">
        <f t="shared" si="72"/>
        <v>0</v>
      </c>
      <c r="AI456" s="469">
        <f t="shared" si="73"/>
        <v>0</v>
      </c>
      <c r="AJ456" s="468"/>
      <c r="AK456" s="439"/>
      <c r="AL456" s="440">
        <f t="array" ref="AL456">+SUMPRODUCT(('Réel 2024'!$A$8:$A$502=$A456)*('Réel 2024'!$C$3:$AO$3=Z$2),'Réel 2024'!$C$8:$AO$502)</f>
        <v>27863</v>
      </c>
      <c r="AM456" s="444"/>
      <c r="AN456" s="442">
        <f t="shared" si="74"/>
        <v>-17363</v>
      </c>
      <c r="AO456" s="445">
        <f t="shared" si="66"/>
        <v>-0.62315615691059834</v>
      </c>
      <c r="AP456" s="94"/>
      <c r="AQ456" s="579">
        <v>39360</v>
      </c>
      <c r="AR456" s="576">
        <f t="shared" si="60"/>
        <v>-28860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71"/>
        <v>Taxe sur le capital</v>
      </c>
      <c r="B457" s="3"/>
      <c r="C457" s="38"/>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 t="array" ref="Z457">+SUMPRODUCT(('Budget original'!$A$8:$A$502=$A457)*('Budget original'!$C$3:$AO$3=Z$2),'Budget original'!$C$8:$AO$502)</f>
        <v>0</v>
      </c>
      <c r="AA457" s="455"/>
      <c r="AB457" s="463"/>
      <c r="AC457" s="456"/>
      <c r="AD457" s="464"/>
      <c r="AE457" s="463"/>
      <c r="AF457" s="456">
        <f>SUMIFS(BV_Data_An_Cour!$P:$P,BV_Data_An_Cour!$V:$V,$V457)</f>
        <v>0</v>
      </c>
      <c r="AG457" s="457"/>
      <c r="AH457" s="458">
        <f t="shared" si="72"/>
        <v>0</v>
      </c>
      <c r="AI457" s="459">
        <f t="shared" si="73"/>
        <v>0</v>
      </c>
      <c r="AJ457" s="464"/>
      <c r="AK457" s="455"/>
      <c r="AL457" s="456">
        <f t="array" ref="AL457">+SUMPRODUCT(('Réel 2024'!$A$8:$A$502=$A457)*('Réel 2024'!$C$3:$AO$3=Z$2),'Réel 2024'!$C$8:$AO$502)</f>
        <v>0</v>
      </c>
      <c r="AM457" s="460"/>
      <c r="AN457" s="458">
        <f t="shared" si="74"/>
        <v>0</v>
      </c>
      <c r="AO457" s="465">
        <f t="shared" si="66"/>
        <v>0</v>
      </c>
      <c r="AP457" s="94"/>
      <c r="AQ457" s="578">
        <v>0</v>
      </c>
      <c r="AR457" s="511">
        <f t="shared" si="60"/>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71"/>
        <v>Assurances</v>
      </c>
      <c r="B458" s="3"/>
      <c r="C458" s="38"/>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 t="array" ref="Z458">+SUMPRODUCT(('Budget original'!$A$8:$A$502=$A458)*('Budget original'!$C$3:$AO$3=Z$2),'Budget original'!$C$8:$AO$502)</f>
        <v>30409.75</v>
      </c>
      <c r="AA458" s="439"/>
      <c r="AB458" s="467"/>
      <c r="AC458" s="440"/>
      <c r="AD458" s="468"/>
      <c r="AE458" s="467"/>
      <c r="AF458" s="440">
        <f>SUMIF(BV_Data_An_Cour!$V:$V,Print_AAD!$V458,BV_Data_An_Cour!$P:$P)</f>
        <v>27904.25</v>
      </c>
      <c r="AG458" s="441"/>
      <c r="AH458" s="442">
        <f t="shared" si="72"/>
        <v>-2505.5</v>
      </c>
      <c r="AI458" s="469">
        <f t="shared" si="73"/>
        <v>-8.2391338304326739E-2</v>
      </c>
      <c r="AJ458" s="468"/>
      <c r="AK458" s="439"/>
      <c r="AL458" s="440">
        <f t="array" ref="AL458">+SUMPRODUCT(('Réel 2024'!$A$8:$A$502=$A458)*('Réel 2024'!$C$3:$AO$3=Z$2),'Réel 2024'!$C$8:$AO$502)</f>
        <v>30409.75</v>
      </c>
      <c r="AM458" s="444"/>
      <c r="AN458" s="442">
        <f t="shared" si="74"/>
        <v>-2505.5</v>
      </c>
      <c r="AO458" s="445">
        <f t="shared" si="66"/>
        <v>-8.2391338304326739E-2</v>
      </c>
      <c r="AP458" s="94"/>
      <c r="AQ458" s="579">
        <v>51252</v>
      </c>
      <c r="AR458" s="576">
        <f t="shared" si="60"/>
        <v>-23347.75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71"/>
        <v>Chauffage, éclairage</v>
      </c>
      <c r="B459" s="3"/>
      <c r="C459" s="38"/>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 t="array" ref="Z459">+SUMPRODUCT(('Budget original'!$A$8:$A$502=$A459)*('Budget original'!$C$3:$AO$3=Z$2),'Budget original'!$C$8:$AO$502)</f>
        <v>52733.333333333314</v>
      </c>
      <c r="AA459" s="495"/>
      <c r="AB459" s="496"/>
      <c r="AC459" s="456"/>
      <c r="AD459" s="464"/>
      <c r="AE459" s="463"/>
      <c r="AF459" s="456">
        <f>SUMIFS(BV_Data_An_Cour!$P:$P,BV_Data_An_Cour!$V:$V,$V459)</f>
        <v>55749.159999999996</v>
      </c>
      <c r="AG459" s="457"/>
      <c r="AH459" s="458">
        <f t="shared" si="72"/>
        <v>3015.8266666666823</v>
      </c>
      <c r="AI459" s="459">
        <f t="shared" si="73"/>
        <v>5.7190139064475662E-2</v>
      </c>
      <c r="AJ459" s="464"/>
      <c r="AK459" s="455"/>
      <c r="AL459" s="456">
        <f t="array" ref="AL459">+SUMPRODUCT(('Réel 2024'!$A$8:$A$502=$A459)*('Réel 2024'!$C$3:$AO$3=Z$2),'Réel 2024'!$C$8:$AO$502)</f>
        <v>47552.61</v>
      </c>
      <c r="AM459" s="460"/>
      <c r="AN459" s="458">
        <f t="shared" si="74"/>
        <v>8196.5499999999956</v>
      </c>
      <c r="AO459" s="465">
        <f t="shared" si="66"/>
        <v>0.1723680361603705</v>
      </c>
      <c r="AP459" s="94"/>
      <c r="AQ459" s="578">
        <v>28763.690000000002</v>
      </c>
      <c r="AR459" s="511">
        <f t="shared" si="60"/>
        <v>26985.469999999994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71"/>
        <v>Honoraires</v>
      </c>
      <c r="B460" s="3"/>
      <c r="C460" s="38"/>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 t="array" ref="Z460">+SUMPRODUCT(('Budget original'!$A$8:$A$502=$A460)*('Budget original'!$C$3:$AO$3=Z$2),'Budget original'!$C$8:$AO$502)</f>
        <v>23525.33</v>
      </c>
      <c r="AA460" s="455"/>
      <c r="AB460" s="463"/>
      <c r="AC460" s="456"/>
      <c r="AD460" s="464"/>
      <c r="AE460" s="463"/>
      <c r="AF460" s="456">
        <f>SUMIFS(BV_Data_An_Cour!$P:$P,BV_Data_An_Cour!$V:$V,$V460)</f>
        <v>68356.959999999992</v>
      </c>
      <c r="AG460" s="457"/>
      <c r="AH460" s="458">
        <f t="shared" si="72"/>
        <v>44831.62999999999</v>
      </c>
      <c r="AI460" s="459">
        <f t="shared" si="73"/>
        <v>1.9056748619466757</v>
      </c>
      <c r="AJ460" s="464"/>
      <c r="AK460" s="455"/>
      <c r="AL460" s="456">
        <f t="array" ref="AL460">+SUMPRODUCT(('Réel 2024'!$A$8:$A$502=$A460)*('Réel 2024'!$C$3:$AO$3=Z$2),'Réel 2024'!$C$8:$AO$502)</f>
        <v>52169.339999999975</v>
      </c>
      <c r="AM460" s="460"/>
      <c r="AN460" s="458">
        <f t="shared" si="74"/>
        <v>16187.620000000017</v>
      </c>
      <c r="AO460" s="465">
        <f t="shared" si="66"/>
        <v>0.31028991357759222</v>
      </c>
      <c r="AP460" s="94"/>
      <c r="AQ460" s="578">
        <v>73723.959999999992</v>
      </c>
      <c r="AR460" s="511">
        <f t="shared" si="60"/>
        <v>-5367</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71"/>
        <v>Réparation équipement</v>
      </c>
      <c r="B461" s="3"/>
      <c r="C461" s="38"/>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 t="array" ref="Z461">+SUMPRODUCT(('Budget original'!$A$8:$A$502=$A461)*('Budget original'!$C$3:$AO$3=Z$2),'Budget original'!$C$8:$AO$502)</f>
        <v>9551.9363853517589</v>
      </c>
      <c r="AA461" s="439"/>
      <c r="AB461" s="467"/>
      <c r="AC461" s="440"/>
      <c r="AD461" s="468"/>
      <c r="AE461" s="467"/>
      <c r="AF461" s="440">
        <f>SUMIFS(BV_Data_An_Cour!$P:$P,BV_Data_An_Cour!$V:$V,$V461)</f>
        <v>426.41</v>
      </c>
      <c r="AG461" s="441"/>
      <c r="AH461" s="442">
        <f t="shared" si="72"/>
        <v>-9125.526385351759</v>
      </c>
      <c r="AI461" s="469">
        <f t="shared" si="73"/>
        <v>-0.95535878979953059</v>
      </c>
      <c r="AJ461" s="468"/>
      <c r="AK461" s="439"/>
      <c r="AL461" s="440">
        <f t="array" ref="AL461">+SUMPRODUCT(('Réel 2024'!$A$8:$A$502=$A461)*('Réel 2024'!$C$3:$AO$3=Z$2),'Réel 2024'!$C$8:$AO$502)</f>
        <v>5633.8899999999994</v>
      </c>
      <c r="AM461" s="444"/>
      <c r="AN461" s="442">
        <f t="shared" si="74"/>
        <v>-5207.4799999999996</v>
      </c>
      <c r="AO461" s="445">
        <f t="shared" si="66"/>
        <v>-0.92431339625019304</v>
      </c>
      <c r="AP461" s="94"/>
      <c r="AQ461" s="579">
        <v>18683.22</v>
      </c>
      <c r="AR461" s="576">
        <f t="shared" si="60"/>
        <v>-18256.810000000001</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71"/>
        <v>Location équipement</v>
      </c>
      <c r="B462" s="3"/>
      <c r="C462" s="38"/>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 t="array" ref="Z462">+SUMPRODUCT(('Budget original'!$A$8:$A$502=$A462)*('Budget original'!$C$3:$AO$3=Z$2),'Budget original'!$C$8:$AO$502)</f>
        <v>8750</v>
      </c>
      <c r="AA462" s="455"/>
      <c r="AB462" s="463"/>
      <c r="AC462" s="456"/>
      <c r="AD462" s="464"/>
      <c r="AE462" s="463"/>
      <c r="AF462" s="456">
        <f>SUMIFS(BV_Data_An_Cour!$P:$P,BV_Data_An_Cour!$V:$V,$V462)</f>
        <v>4549.68</v>
      </c>
      <c r="AG462" s="457"/>
      <c r="AH462" s="458">
        <f t="shared" si="72"/>
        <v>-4200.32</v>
      </c>
      <c r="AI462" s="497">
        <f t="shared" si="73"/>
        <v>-0.48003657142857137</v>
      </c>
      <c r="AJ462" s="455"/>
      <c r="AK462" s="455"/>
      <c r="AL462" s="456">
        <f t="array" ref="AL462">+SUMPRODUCT(('Réel 2024'!$A$8:$A$502=$A462)*('Réel 2024'!$C$3:$AO$3=Z$2),'Réel 2024'!$C$8:$AO$502)</f>
        <v>7585.13</v>
      </c>
      <c r="AM462" s="460"/>
      <c r="AN462" s="458">
        <f t="shared" si="74"/>
        <v>-3035.45</v>
      </c>
      <c r="AO462" s="465">
        <f t="shared" si="66"/>
        <v>-0.40018430798153753</v>
      </c>
      <c r="AP462" s="94"/>
      <c r="AQ462" s="578">
        <v>0</v>
      </c>
      <c r="AR462" s="511">
        <f t="shared" si="60"/>
        <v>4549.68</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71"/>
        <v>Dons</v>
      </c>
      <c r="B463" s="3"/>
      <c r="C463" s="38"/>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f t="array" ref="Z463">+SUMPRODUCT(('Budget original'!$A$8:$A$502=$A463)*('Budget original'!$C$3:$AO$3=Z$2),'Budget original'!$C$8:$AO$502)</f>
        <v>0</v>
      </c>
      <c r="AA463" s="455"/>
      <c r="AB463" s="463"/>
      <c r="AC463" s="456"/>
      <c r="AD463" s="464"/>
      <c r="AE463" s="463"/>
      <c r="AF463" s="456">
        <f>SUMIFS(BV_Data_An_Cour!$P:$P,BV_Data_An_Cour!$V:$V,$V463)</f>
        <v>0</v>
      </c>
      <c r="AG463" s="457"/>
      <c r="AH463" s="458">
        <v>0</v>
      </c>
      <c r="AI463" s="478">
        <v>0</v>
      </c>
      <c r="AJ463" s="455"/>
      <c r="AK463" s="455"/>
      <c r="AL463" s="456">
        <f t="array" ref="AL463">+SUMPRODUCT(('Réel 2024'!$A$8:$A$502=$A463)*('Réel 2024'!$C$3:$AO$3=Z$2),'Réel 2024'!$C$8:$AO$502)</f>
        <v>0</v>
      </c>
      <c r="AM463" s="460"/>
      <c r="AN463" s="458">
        <v>0</v>
      </c>
      <c r="AO463" s="465">
        <v>0</v>
      </c>
      <c r="AP463" s="94"/>
      <c r="AQ463" s="578">
        <v>0</v>
      </c>
      <c r="AR463" s="511">
        <f t="shared" si="60"/>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71"/>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1</v>
      </c>
      <c r="AP464" s="94"/>
      <c r="AQ464" s="578">
        <v>0</v>
      </c>
      <c r="AR464" s="511">
        <f t="shared" si="60"/>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71"/>
        <v>[...]</v>
      </c>
      <c r="B465" s="3"/>
      <c r="C465" s="38"/>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2</v>
      </c>
      <c r="AP465" s="94"/>
      <c r="AQ465" s="578">
        <v>0</v>
      </c>
      <c r="AR465" s="511">
        <f t="shared" si="60"/>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71"/>
        <v>[...]</v>
      </c>
      <c r="B466" s="3"/>
      <c r="C466" s="38"/>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v>0</v>
      </c>
      <c r="AA466" s="455"/>
      <c r="AB466" s="463"/>
      <c r="AC466" s="456"/>
      <c r="AD466" s="464"/>
      <c r="AE466" s="463"/>
      <c r="AF466" s="456">
        <v>0</v>
      </c>
      <c r="AG466" s="457"/>
      <c r="AH466" s="458">
        <f>AF466-Z466</f>
        <v>0</v>
      </c>
      <c r="AI466" s="478">
        <f>IF(Z466=0,0,AH466/Z466)</f>
        <v>0</v>
      </c>
      <c r="AJ466" s="455"/>
      <c r="AK466" s="455"/>
      <c r="AL466" s="456">
        <v>0</v>
      </c>
      <c r="AM466" s="460"/>
      <c r="AN466" s="458">
        <v>0</v>
      </c>
      <c r="AO466" s="465">
        <v>3</v>
      </c>
      <c r="AP466" s="94"/>
      <c r="AQ466" s="578">
        <v>0</v>
      </c>
      <c r="AR466" s="511">
        <f t="shared" si="60"/>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71"/>
        <v>TOTAL DÉPENSES FIXES</v>
      </c>
      <c r="B467" s="3"/>
      <c r="C467" s="38"/>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0.14345467458746228</v>
      </c>
      <c r="Y467" s="471"/>
      <c r="Z467" s="473">
        <f>SUM(Z454:Z466)</f>
        <v>803970.34971868503</v>
      </c>
      <c r="AA467" s="472"/>
      <c r="AB467" s="471"/>
      <c r="AC467" s="473"/>
      <c r="AD467" s="474">
        <f>AF467/AF408</f>
        <v>0.18516255399635248</v>
      </c>
      <c r="AE467" s="471"/>
      <c r="AF467" s="473">
        <f>SUM(AF454:AF466)</f>
        <v>805986.46000000008</v>
      </c>
      <c r="AG467" s="480"/>
      <c r="AH467" s="911">
        <f>SUM(AH454:AH466)</f>
        <v>2016.1102813149137</v>
      </c>
      <c r="AI467" s="472">
        <f>IF(Z467=0,0,AH467/Z467)</f>
        <v>2.5076923322114616E-3</v>
      </c>
      <c r="AJ467" s="474">
        <f>IF($AL$408=0,0,AL467/$AL$408)</f>
        <v>0.10159466166304779</v>
      </c>
      <c r="AK467" s="472"/>
      <c r="AL467" s="473">
        <f>SUM(AL454:AL466)</f>
        <v>461174.72</v>
      </c>
      <c r="AM467" s="481"/>
      <c r="AN467" s="476">
        <f>SUM(AN454:AN466)</f>
        <v>344811.74</v>
      </c>
      <c r="AO467" s="494">
        <f t="shared" ref="AO467:AO484" si="75">IF(AL467=0,0,AN467/AL467)</f>
        <v>0.747681355994535</v>
      </c>
      <c r="AP467" s="94"/>
      <c r="AQ467" s="580">
        <v>582942.87</v>
      </c>
      <c r="AR467" s="581">
        <f t="shared" si="60"/>
        <v>223043.59000000008</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71"/>
        <v/>
      </c>
      <c r="B468" s="3"/>
      <c r="C468" s="38"/>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76">AF468-Z468</f>
        <v>0</v>
      </c>
      <c r="AI468" s="459"/>
      <c r="AJ468" s="464"/>
      <c r="AK468" s="455"/>
      <c r="AL468" s="498"/>
      <c r="AM468" s="499"/>
      <c r="AN468" s="458">
        <f t="shared" ref="AN468:AN484" si="77">AF468-AL468</f>
        <v>0</v>
      </c>
      <c r="AO468" s="500">
        <f t="shared" si="75"/>
        <v>0</v>
      </c>
      <c r="AP468" s="94"/>
      <c r="AQ468" s="586"/>
      <c r="AR468" s="587"/>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71"/>
        <v>TOTAL DES DÉPENSES</v>
      </c>
      <c r="B469" s="3"/>
      <c r="C469" s="38"/>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0.95064807116305139</v>
      </c>
      <c r="Y469" s="471"/>
      <c r="Z469" s="473">
        <f>Z420+Z434+Z453+Z467</f>
        <v>5327765.4731730139</v>
      </c>
      <c r="AA469" s="472"/>
      <c r="AB469" s="471"/>
      <c r="AC469" s="473"/>
      <c r="AD469" s="474">
        <f>AF469/AF408</f>
        <v>1.0876721998179939</v>
      </c>
      <c r="AE469" s="471"/>
      <c r="AF469" s="473">
        <f>AF420+AF434+AF453+AF467</f>
        <v>4734483.55</v>
      </c>
      <c r="AG469" s="480"/>
      <c r="AH469" s="476">
        <f t="shared" si="76"/>
        <v>-593281.92317301407</v>
      </c>
      <c r="AI469" s="472">
        <f>AH469/Z469</f>
        <v>-0.11135661398017169</v>
      </c>
      <c r="AJ469" s="474">
        <f>IF($AL$408=0,0,AL469/$AL$408)</f>
        <v>0.98283509482659992</v>
      </c>
      <c r="AK469" s="472"/>
      <c r="AL469" s="473">
        <f>AL420+AL434+AL453+AL467</f>
        <v>4461442.0899999989</v>
      </c>
      <c r="AM469" s="481"/>
      <c r="AN469" s="476">
        <f t="shared" si="77"/>
        <v>273041.46000000089</v>
      </c>
      <c r="AO469" s="453">
        <f t="shared" si="75"/>
        <v>6.12002698885196E-2</v>
      </c>
      <c r="AP469" s="94"/>
      <c r="AQ469" s="580">
        <v>6902902.9400000004</v>
      </c>
      <c r="AR469" s="581">
        <f t="shared" ref="AR469:AR482" si="78">AF469-AQ469</f>
        <v>-2168419.3900000006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71"/>
        <v>Revenus autres</v>
      </c>
      <c r="B470" s="3"/>
      <c r="C470" s="38"/>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 t="array" ref="Z470">+SUMPRODUCT(('Budget original'!$A$8:$A$502=$A470)*('Budget original'!$C$3:$AO$3=Z$2),'Budget original'!$C$8:$AO$502)</f>
        <v>40000</v>
      </c>
      <c r="AA470" s="501"/>
      <c r="AB470" s="502"/>
      <c r="AC470" s="484"/>
      <c r="AD470" s="503"/>
      <c r="AE470" s="502"/>
      <c r="AF470" s="456">
        <f>-SUMIFS(BV_Data_An_Cour!$P:$P,BV_Data_An_Cour!$V:$V,$V470)</f>
        <v>111365.11</v>
      </c>
      <c r="AG470" s="504"/>
      <c r="AH470" s="458">
        <f t="shared" si="76"/>
        <v>71365.11</v>
      </c>
      <c r="AI470" s="497">
        <f>IF(AH470=0,0,AH470/Z470)</f>
        <v>1.7841277500000001</v>
      </c>
      <c r="AJ470" s="503"/>
      <c r="AK470" s="501"/>
      <c r="AL470" s="505">
        <f t="array" ref="AL470">+SUMPRODUCT(('Réel 2024'!$A$8:$A$502=$A470)*('Réel 2024'!$C$3:$AO$3=Z$2),'Réel 2024'!$C$8:$AO$502)</f>
        <v>102410.55999999998</v>
      </c>
      <c r="AM470" s="506"/>
      <c r="AN470" s="458">
        <f t="shared" si="77"/>
        <v>8954.5500000000175</v>
      </c>
      <c r="AO470" s="465">
        <f t="shared" si="75"/>
        <v>8.7437760324716701E-2</v>
      </c>
      <c r="AP470" s="94"/>
      <c r="AQ470" s="578">
        <v>275258.11</v>
      </c>
      <c r="AR470" s="511">
        <f t="shared" si="78"/>
        <v>-163893</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71"/>
        <v>Holdbacks</v>
      </c>
      <c r="B471" s="3"/>
      <c r="C471" s="38"/>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79">+SUMIF($C:$C,$V471,F:F)</f>
        <v>626179.79233426007</v>
      </c>
      <c r="AA471" s="495"/>
      <c r="AB471" s="496"/>
      <c r="AC471" s="456"/>
      <c r="AD471" s="510"/>
      <c r="AE471" s="496"/>
      <c r="AF471" s="456">
        <f t="shared" ref="AF471:AF481" si="80">+SUMIF($C:$C,$V471,L:L)</f>
        <v>612341.85</v>
      </c>
      <c r="AG471" s="509"/>
      <c r="AH471" s="458">
        <f t="shared" si="76"/>
        <v>-13837.942334260093</v>
      </c>
      <c r="AI471" s="478">
        <f>IF(Z471=0,0,AH471/Z471)</f>
        <v>-2.2098992180305432E-2</v>
      </c>
      <c r="AJ471" s="510"/>
      <c r="AK471" s="495"/>
      <c r="AL471" s="511">
        <f t="shared" ref="AL471:AL477" si="81">+SUMIF($C:$C,$V471,Q:Q)</f>
        <v>503120.4</v>
      </c>
      <c r="AM471" s="507"/>
      <c r="AN471" s="458">
        <f t="shared" si="77"/>
        <v>109221.44999999995</v>
      </c>
      <c r="AO471" s="465">
        <f t="shared" si="75"/>
        <v>0.21708809660669681</v>
      </c>
      <c r="AP471" s="94"/>
      <c r="AQ471" s="578">
        <v>693962.92</v>
      </c>
      <c r="AR471" s="511">
        <f t="shared" si="78"/>
        <v>-81621.070000000065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71"/>
        <v>Programme neuf 1</v>
      </c>
      <c r="B472" s="3"/>
      <c r="C472" s="38"/>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79"/>
        <v>70000</v>
      </c>
      <c r="AA472" s="495"/>
      <c r="AB472" s="496"/>
      <c r="AC472" s="456"/>
      <c r="AD472" s="510"/>
      <c r="AE472" s="496"/>
      <c r="AF472" s="456">
        <f t="shared" si="80"/>
        <v>164910</v>
      </c>
      <c r="AG472" s="509"/>
      <c r="AH472" s="458">
        <f t="shared" si="76"/>
        <v>94910</v>
      </c>
      <c r="AI472" s="478">
        <f t="shared" ref="AI472:AI481" si="82">IF(AH472=0,0,AH472/Z472)</f>
        <v>1.3558571428571429</v>
      </c>
      <c r="AJ472" s="510"/>
      <c r="AK472" s="495"/>
      <c r="AL472" s="511">
        <f t="shared" si="81"/>
        <v>12000</v>
      </c>
      <c r="AM472" s="507"/>
      <c r="AN472" s="458">
        <f t="shared" si="77"/>
        <v>152910</v>
      </c>
      <c r="AO472" s="465">
        <f t="shared" si="75"/>
        <v>12.7425</v>
      </c>
      <c r="AP472" s="94"/>
      <c r="AQ472" s="578">
        <v>43300</v>
      </c>
      <c r="AR472" s="511">
        <f t="shared" si="78"/>
        <v>121610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71"/>
        <v>Programme neuf 2</v>
      </c>
      <c r="B473" s="3"/>
      <c r="C473" s="38"/>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79"/>
        <v>0</v>
      </c>
      <c r="AA473" s="495"/>
      <c r="AB473" s="496"/>
      <c r="AC473" s="456"/>
      <c r="AD473" s="510"/>
      <c r="AE473" s="496"/>
      <c r="AF473" s="456">
        <f t="shared" si="80"/>
        <v>0</v>
      </c>
      <c r="AG473" s="509"/>
      <c r="AH473" s="458">
        <f t="shared" si="76"/>
        <v>0</v>
      </c>
      <c r="AI473" s="478">
        <f t="shared" si="82"/>
        <v>0</v>
      </c>
      <c r="AJ473" s="510"/>
      <c r="AK473" s="495"/>
      <c r="AL473" s="511">
        <f t="shared" si="81"/>
        <v>0</v>
      </c>
      <c r="AM473" s="507"/>
      <c r="AN473" s="458">
        <f t="shared" si="77"/>
        <v>0</v>
      </c>
      <c r="AO473" s="465">
        <f t="shared" si="75"/>
        <v>0</v>
      </c>
      <c r="AP473" s="94"/>
      <c r="AQ473" s="578">
        <v>0</v>
      </c>
      <c r="AR473" s="511">
        <f t="shared" si="78"/>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71"/>
        <v>Programme neuf 3</v>
      </c>
      <c r="B474" s="3"/>
      <c r="C474" s="38"/>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79"/>
        <v>0</v>
      </c>
      <c r="AA474" s="495"/>
      <c r="AB474" s="496"/>
      <c r="AC474" s="456"/>
      <c r="AD474" s="510"/>
      <c r="AE474" s="496"/>
      <c r="AF474" s="456">
        <f t="shared" si="80"/>
        <v>0</v>
      </c>
      <c r="AG474" s="509"/>
      <c r="AH474" s="458">
        <f t="shared" si="76"/>
        <v>0</v>
      </c>
      <c r="AI474" s="478">
        <f t="shared" si="82"/>
        <v>0</v>
      </c>
      <c r="AJ474" s="510"/>
      <c r="AK474" s="495"/>
      <c r="AL474" s="511">
        <f t="shared" si="81"/>
        <v>0</v>
      </c>
      <c r="AM474" s="507"/>
      <c r="AN474" s="458">
        <f t="shared" si="77"/>
        <v>0</v>
      </c>
      <c r="AO474" s="465">
        <f t="shared" si="75"/>
        <v>0</v>
      </c>
      <c r="AP474" s="94"/>
      <c r="AQ474" s="578">
        <v>0</v>
      </c>
      <c r="AR474" s="511">
        <f t="shared" si="78"/>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71"/>
        <v>Programme used 1</v>
      </c>
      <c r="B475" s="3"/>
      <c r="C475" s="38"/>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79"/>
        <v>0</v>
      </c>
      <c r="AA475" s="495"/>
      <c r="AB475" s="496"/>
      <c r="AC475" s="456"/>
      <c r="AD475" s="510"/>
      <c r="AE475" s="496"/>
      <c r="AF475" s="456">
        <f t="shared" si="80"/>
        <v>0</v>
      </c>
      <c r="AG475" s="509"/>
      <c r="AH475" s="458">
        <f t="shared" si="76"/>
        <v>0</v>
      </c>
      <c r="AI475" s="478">
        <f t="shared" si="82"/>
        <v>0</v>
      </c>
      <c r="AJ475" s="510"/>
      <c r="AK475" s="495"/>
      <c r="AL475" s="511">
        <f t="shared" si="81"/>
        <v>0</v>
      </c>
      <c r="AM475" s="507"/>
      <c r="AN475" s="458">
        <f t="shared" si="77"/>
        <v>0</v>
      </c>
      <c r="AO475" s="465">
        <f t="shared" si="75"/>
        <v>0</v>
      </c>
      <c r="AP475" s="94"/>
      <c r="AQ475" s="578">
        <v>0</v>
      </c>
      <c r="AR475" s="511">
        <f t="shared" si="78"/>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71"/>
        <v>Programme used 2</v>
      </c>
      <c r="B476" s="3"/>
      <c r="C476" s="38"/>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79"/>
        <v>0</v>
      </c>
      <c r="AA476" s="495"/>
      <c r="AB476" s="496"/>
      <c r="AC476" s="456"/>
      <c r="AD476" s="510"/>
      <c r="AE476" s="496"/>
      <c r="AF476" s="456">
        <f t="shared" si="80"/>
        <v>0</v>
      </c>
      <c r="AG476" s="509"/>
      <c r="AH476" s="458">
        <f t="shared" si="76"/>
        <v>0</v>
      </c>
      <c r="AI476" s="478">
        <f t="shared" si="82"/>
        <v>0</v>
      </c>
      <c r="AJ476" s="510"/>
      <c r="AK476" s="495"/>
      <c r="AL476" s="511">
        <f t="shared" si="81"/>
        <v>0</v>
      </c>
      <c r="AM476" s="507"/>
      <c r="AN476" s="458">
        <f t="shared" si="77"/>
        <v>0</v>
      </c>
      <c r="AO476" s="465">
        <f t="shared" si="75"/>
        <v>0</v>
      </c>
      <c r="AP476" s="94"/>
      <c r="AQ476" s="578">
        <v>0</v>
      </c>
      <c r="AR476" s="511">
        <f t="shared" si="78"/>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71"/>
        <v>Programme used 3</v>
      </c>
      <c r="B477" s="3"/>
      <c r="C477" s="38"/>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79"/>
        <v>0</v>
      </c>
      <c r="AA477" s="495"/>
      <c r="AB477" s="496"/>
      <c r="AC477" s="456"/>
      <c r="AD477" s="510"/>
      <c r="AE477" s="496"/>
      <c r="AF477" s="456">
        <f t="shared" si="80"/>
        <v>0</v>
      </c>
      <c r="AG477" s="509"/>
      <c r="AH477" s="458">
        <f t="shared" si="76"/>
        <v>0</v>
      </c>
      <c r="AI477" s="478">
        <f t="shared" si="82"/>
        <v>0</v>
      </c>
      <c r="AJ477" s="510"/>
      <c r="AK477" s="495"/>
      <c r="AL477" s="511">
        <f t="shared" si="81"/>
        <v>0</v>
      </c>
      <c r="AM477" s="507"/>
      <c r="AN477" s="458">
        <f t="shared" si="77"/>
        <v>0</v>
      </c>
      <c r="AO477" s="465">
        <f t="shared" si="75"/>
        <v>0</v>
      </c>
      <c r="AP477" s="94"/>
      <c r="AQ477" s="578">
        <v>0</v>
      </c>
      <c r="AR477" s="511">
        <f t="shared" si="78"/>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71"/>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 t="array" ref="Z478">+SUMPRODUCT(('Budget original'!$A$8:$A$502=$A478)*('Budget original'!$C$3:$AO$3=Z$2),'Budget original'!$C$8:$AO$502)</f>
        <v>0</v>
      </c>
      <c r="AA478" s="495"/>
      <c r="AB478" s="496"/>
      <c r="AC478" s="456"/>
      <c r="AD478" s="510"/>
      <c r="AE478" s="496"/>
      <c r="AF478" s="456">
        <f t="shared" si="80"/>
        <v>0</v>
      </c>
      <c r="AG478" s="509"/>
      <c r="AH478" s="458">
        <f t="shared" si="76"/>
        <v>0</v>
      </c>
      <c r="AI478" s="478">
        <f t="shared" si="82"/>
        <v>0</v>
      </c>
      <c r="AJ478" s="510"/>
      <c r="AK478" s="495"/>
      <c r="AL478" s="511"/>
      <c r="AM478" s="507"/>
      <c r="AN478" s="458">
        <f t="shared" si="77"/>
        <v>0</v>
      </c>
      <c r="AO478" s="465">
        <f t="shared" si="75"/>
        <v>0</v>
      </c>
      <c r="AP478" s="94"/>
      <c r="AQ478" s="578">
        <v>0</v>
      </c>
      <c r="AR478" s="511">
        <f t="shared" si="78"/>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71"/>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80"/>
        <v>0</v>
      </c>
      <c r="AG479" s="509"/>
      <c r="AH479" s="458">
        <f t="shared" si="76"/>
        <v>0</v>
      </c>
      <c r="AI479" s="478">
        <f t="shared" si="82"/>
        <v>0</v>
      </c>
      <c r="AJ479" s="510"/>
      <c r="AK479" s="495"/>
      <c r="AL479" s="511"/>
      <c r="AM479" s="507"/>
      <c r="AN479" s="458">
        <f t="shared" si="77"/>
        <v>0</v>
      </c>
      <c r="AO479" s="465">
        <f t="shared" si="75"/>
        <v>0</v>
      </c>
      <c r="AP479" s="94"/>
      <c r="AQ479" s="578">
        <v>0</v>
      </c>
      <c r="AR479" s="511">
        <f t="shared" si="78"/>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71"/>
        <v>[...]</v>
      </c>
      <c r="B480" s="3"/>
      <c r="C480" s="38"/>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+SUMIF($C:$C,$V480,F:F)</f>
        <v>0</v>
      </c>
      <c r="AA480" s="495"/>
      <c r="AB480" s="496"/>
      <c r="AC480" s="456"/>
      <c r="AD480" s="510"/>
      <c r="AE480" s="496"/>
      <c r="AF480" s="456">
        <f t="shared" si="80"/>
        <v>0</v>
      </c>
      <c r="AG480" s="509"/>
      <c r="AH480" s="458">
        <f t="shared" si="76"/>
        <v>0</v>
      </c>
      <c r="AI480" s="478">
        <f t="shared" si="82"/>
        <v>0</v>
      </c>
      <c r="AJ480" s="510"/>
      <c r="AK480" s="495"/>
      <c r="AL480" s="511"/>
      <c r="AM480" s="507"/>
      <c r="AN480" s="458">
        <f t="shared" si="77"/>
        <v>0</v>
      </c>
      <c r="AO480" s="465">
        <f t="shared" si="75"/>
        <v>0</v>
      </c>
      <c r="AP480" s="94"/>
      <c r="AQ480" s="578">
        <v>0</v>
      </c>
      <c r="AR480" s="511">
        <f t="shared" si="78"/>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71"/>
        <v>Frais administration</v>
      </c>
      <c r="B481" s="3"/>
      <c r="C481" s="38"/>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354939</v>
      </c>
      <c r="AA481" s="495"/>
      <c r="AB481" s="496"/>
      <c r="AC481" s="456"/>
      <c r="AD481" s="510"/>
      <c r="AE481" s="496"/>
      <c r="AF481" s="456">
        <f t="shared" si="80"/>
        <v>323475</v>
      </c>
      <c r="AG481" s="509"/>
      <c r="AH481" s="458">
        <f t="shared" si="76"/>
        <v>-31464</v>
      </c>
      <c r="AI481" s="478">
        <f t="shared" si="82"/>
        <v>-8.8646218082543762E-2</v>
      </c>
      <c r="AJ481" s="510"/>
      <c r="AK481" s="495"/>
      <c r="AL481" s="511">
        <f t="array" ref="AL481">+SUMPRODUCT(('Réel 2024'!$A$8:$A$502=$A481)*('Réel 2024'!$C$3:$AO$3=Z$2),'Réel 2024'!$C$8:$AO$502)</f>
        <v>266592</v>
      </c>
      <c r="AM481" s="507"/>
      <c r="AN481" s="458">
        <f t="shared" si="77"/>
        <v>56883</v>
      </c>
      <c r="AO481" s="465">
        <f t="shared" si="75"/>
        <v>0.21337099387828593</v>
      </c>
      <c r="AP481" s="94"/>
      <c r="AQ481" s="578">
        <v>331468.49</v>
      </c>
      <c r="AR481" s="511">
        <f t="shared" si="78"/>
        <v>-7993.4899999999907</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71"/>
        <v>TOTAL AUTRES REVENUS</v>
      </c>
      <c r="B482" s="3"/>
      <c r="C482" s="38"/>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0.19469137306536952</v>
      </c>
      <c r="Y482" s="492"/>
      <c r="Z482" s="473">
        <f>SUM(Z470:Z481)</f>
        <v>1091118.79233426</v>
      </c>
      <c r="AA482" s="472"/>
      <c r="AB482" s="492"/>
      <c r="AC482" s="473"/>
      <c r="AD482" s="472">
        <f>AF482/+AF408</f>
        <v>0.27845882546469169</v>
      </c>
      <c r="AE482" s="492"/>
      <c r="AF482" s="473">
        <f>SUM(AF470:AF481)</f>
        <v>1212091.96</v>
      </c>
      <c r="AG482" s="480"/>
      <c r="AH482" s="476">
        <f t="shared" si="76"/>
        <v>120973.16766574001</v>
      </c>
      <c r="AI482" s="472">
        <f>AH482/Z482</f>
        <v>0.11087075808394688</v>
      </c>
      <c r="AJ482" s="513"/>
      <c r="AK482" s="514"/>
      <c r="AL482" s="473">
        <f>SUM(AL470:AL481)</f>
        <v>884122.96</v>
      </c>
      <c r="AM482" s="515"/>
      <c r="AN482" s="476">
        <f t="shared" si="77"/>
        <v>327969</v>
      </c>
      <c r="AO482" s="494">
        <f t="shared" si="75"/>
        <v>0.37095405824547301</v>
      </c>
      <c r="AP482" s="94"/>
      <c r="AQ482" s="580">
        <v>1343989.52</v>
      </c>
      <c r="AR482" s="581">
        <f t="shared" si="78"/>
        <v>-131897.56000000006</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71"/>
        <v/>
      </c>
      <c r="B483" s="3"/>
      <c r="C483" s="38"/>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77"/>
        <v>0</v>
      </c>
      <c r="AO483" s="528">
        <f t="shared" si="75"/>
        <v>0</v>
      </c>
      <c r="AP483" s="94"/>
      <c r="AQ483" s="527"/>
      <c r="AR483" s="58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71"/>
        <v>BAIIA OPÉRATIONNEL</v>
      </c>
      <c r="B484" s="3"/>
      <c r="C484" s="38"/>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3.4230294269998282E-2</v>
      </c>
      <c r="Z484" s="533">
        <f>Z408-Z469+Z482</f>
        <v>1367704.3243180397</v>
      </c>
      <c r="AA484" s="531"/>
      <c r="AB484" s="532"/>
      <c r="AC484" s="533"/>
      <c r="AD484" s="531" t="s">
        <v>219</v>
      </c>
      <c r="AE484" s="532">
        <f>AF484/AF407</f>
        <v>2.2866890694338723E-2</v>
      </c>
      <c r="AF484" s="534">
        <f>AF408-AF469+AF482</f>
        <v>830467.24999999907</v>
      </c>
      <c r="AG484" s="535"/>
      <c r="AH484" s="535">
        <f>AF484-Z484</f>
        <v>-537237.07431804063</v>
      </c>
      <c r="AI484" s="536">
        <f>AH484/Z484</f>
        <v>-0.3928020587241442</v>
      </c>
      <c r="AJ484" s="537" t="s">
        <v>219</v>
      </c>
      <c r="AK484" s="532">
        <f>IF($AL$407=0,0,AL484/$AL$407)</f>
        <v>2.8139208661723456E-2</v>
      </c>
      <c r="AL484" s="534">
        <f>AL408-AL469+AL482</f>
        <v>962040.63999999687</v>
      </c>
      <c r="AM484" s="538"/>
      <c r="AN484" s="534">
        <f t="shared" si="77"/>
        <v>-131573.3899999978</v>
      </c>
      <c r="AO484" s="539">
        <f t="shared" si="75"/>
        <v>-0.13676489799848604</v>
      </c>
      <c r="AP484" s="94"/>
      <c r="AQ484" s="538">
        <v>2236846.7700000028</v>
      </c>
      <c r="AR484" s="542">
        <f>AF484-AQ484</f>
        <v>-1406379.5200000037</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71"/>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94"/>
      <c r="AQ485" s="589"/>
      <c r="AR485" s="590"/>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71"/>
        <v>Volks</v>
      </c>
      <c r="B486" s="3"/>
      <c r="C486" s="38"/>
      <c r="D486" s="38"/>
      <c r="E486" s="38"/>
      <c r="F486" s="38"/>
      <c r="G486" s="38"/>
      <c r="H486" s="38"/>
      <c r="I486" s="38"/>
      <c r="J486" s="38"/>
      <c r="K486" s="38"/>
      <c r="L486" s="38"/>
      <c r="M486" s="38"/>
      <c r="N486" s="38"/>
      <c r="O486" s="38"/>
      <c r="P486" s="38"/>
      <c r="Q486" s="38"/>
      <c r="R486" s="38"/>
      <c r="S486" s="38"/>
      <c r="T486" s="38"/>
      <c r="U486" s="38"/>
      <c r="V486" s="36" t="str">
        <f>C1</f>
        <v>Volks</v>
      </c>
      <c r="W486" s="36"/>
      <c r="X486" s="36"/>
      <c r="Y486" s="36"/>
      <c r="Z486" s="36"/>
      <c r="AA486" s="36"/>
      <c r="AB486" s="36"/>
      <c r="AC486" s="36"/>
      <c r="AD486" s="36"/>
      <c r="AE486" s="9" t="s">
        <v>220</v>
      </c>
      <c r="AF486" s="36"/>
      <c r="AG486" s="36"/>
      <c r="AH486" s="36"/>
      <c r="AI486" s="36"/>
      <c r="AJ486" s="541"/>
      <c r="AK486" s="231"/>
      <c r="AL486" s="36"/>
      <c r="AM486" s="36"/>
      <c r="AN486" s="36"/>
      <c r="AO486" s="10" t="str">
        <f>$S$1</f>
        <v>Réalisé AAJ, Juillet 2026</v>
      </c>
      <c r="AP486" s="94"/>
      <c r="AQ486" s="591"/>
      <c r="AR486" s="592"/>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71"/>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71"/>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3.8154396213914601E-2</v>
      </c>
      <c r="Z489" s="1004">
        <f>Z490+Z416</f>
        <v>1524495.5910078848</v>
      </c>
      <c r="AA489" s="1002"/>
      <c r="AB489" s="1003"/>
      <c r="AC489" s="533"/>
      <c r="AD489" s="1002" t="s">
        <v>219</v>
      </c>
      <c r="AE489" s="1003">
        <f>AF489/AF407</f>
        <v>2.7993882531516509E-2</v>
      </c>
      <c r="AF489" s="1004">
        <f>AF490+AF416</f>
        <v>1016666.5399999991</v>
      </c>
      <c r="AG489" s="535"/>
      <c r="AH489" s="535">
        <f>AF489-Z489</f>
        <v>-507829.05100788572</v>
      </c>
      <c r="AI489" s="536">
        <f>AH489/Z489</f>
        <v>-0.33311283679879083</v>
      </c>
      <c r="AJ489" s="1002" t="s">
        <v>219</v>
      </c>
      <c r="AK489" s="1003">
        <f>IF($AL$407=0,0,AL489/$AL$407)</f>
        <v>3.1234976432553796E-2</v>
      </c>
      <c r="AL489" s="1004">
        <f>AL490+AL416</f>
        <v>1067880.6599999969</v>
      </c>
      <c r="AM489" s="538"/>
      <c r="AN489" s="1004">
        <f>AF489-AL489</f>
        <v>-51214.119999997783</v>
      </c>
      <c r="AO489" s="1005">
        <f>IF(AL489=0,0,AN489/AL489)</f>
        <v>-4.7958654855682029E-2</v>
      </c>
      <c r="AP489" s="94"/>
      <c r="AQ489" s="589"/>
      <c r="AR489" s="590"/>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71"/>
        <v>BAIIA OPÉRATIONNEL</v>
      </c>
      <c r="B490" s="3"/>
      <c r="C490" s="38"/>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3.4230294269998282E-2</v>
      </c>
      <c r="Z490" s="533">
        <f>Z484</f>
        <v>1367704.3243180397</v>
      </c>
      <c r="AA490" s="531"/>
      <c r="AB490" s="532"/>
      <c r="AC490" s="533"/>
      <c r="AD490" s="531" t="s">
        <v>219</v>
      </c>
      <c r="AE490" s="532">
        <f>AF490/AF407</f>
        <v>2.2866890694338723E-2</v>
      </c>
      <c r="AF490" s="533">
        <f>AF484</f>
        <v>830467.24999999907</v>
      </c>
      <c r="AG490" s="534"/>
      <c r="AH490" s="535">
        <f>AF490-Z490</f>
        <v>-537237.07431804063</v>
      </c>
      <c r="AI490" s="536">
        <f>AH490/Z490</f>
        <v>-0.3928020587241442</v>
      </c>
      <c r="AJ490" s="531" t="s">
        <v>219</v>
      </c>
      <c r="AK490" s="532">
        <f>IF($AL$407=0,0,AL490/$AL$407)</f>
        <v>2.8139208661723456E-2</v>
      </c>
      <c r="AL490" s="542">
        <f>AL484</f>
        <v>962040.63999999687</v>
      </c>
      <c r="AM490" s="543"/>
      <c r="AN490" s="544">
        <f>AF490-AL490</f>
        <v>-131573.3899999978</v>
      </c>
      <c r="AO490" s="545">
        <f>IF(AL490=0,0,AN490/AL490)</f>
        <v>-0.13676489799848604</v>
      </c>
      <c r="AP490" s="94"/>
      <c r="AQ490" s="593">
        <v>2236846.7700000028</v>
      </c>
      <c r="AR490" s="542">
        <f>AF490-AQ490</f>
        <v>-1406379.5200000037</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71"/>
        <v/>
      </c>
      <c r="B491" s="3"/>
      <c r="C491" s="38"/>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94"/>
      <c r="AQ491" s="594"/>
      <c r="AR491" s="549"/>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71"/>
        <v>Amortissement</v>
      </c>
      <c r="B492" s="3"/>
      <c r="C492" s="38"/>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 t="array" ref="Z492">+SUMPRODUCT(('Budget original'!$A$8:$A$502=$A492)*('Budget original'!$C$3:$AO$3=Z$2),'Budget original'!$C$8:$AO$502)</f>
        <v>66616.666666666657</v>
      </c>
      <c r="AA492" s="455"/>
      <c r="AB492" s="463"/>
      <c r="AC492" s="456"/>
      <c r="AD492" s="455"/>
      <c r="AE492" s="463"/>
      <c r="AF492" s="456">
        <f>SUMIFS(BV_Data_An_Cour!$P:$P,BV_Data_An_Cour!$V:$V,$V492)</f>
        <v>66619</v>
      </c>
      <c r="AG492" s="455"/>
      <c r="AH492" s="458">
        <f t="shared" ref="AH492:AH499" si="83">AF492-Z492</f>
        <v>2.3333333333430346</v>
      </c>
      <c r="AI492" s="478">
        <f t="shared" ref="AI492:AI498" si="84">IF(Z492=0,0,AH492/Z492)</f>
        <v>3.5026269702422342E-5</v>
      </c>
      <c r="AJ492" s="455"/>
      <c r="AK492" s="455"/>
      <c r="AL492" s="456">
        <f t="array" ref="AL492">+SUMPRODUCT(('Réel 2024'!$A$8:$A$502=$A492)*('Réel 2024'!$C$3:$AO$3=Z$2),'Réel 2024'!$C$8:$AO$502)</f>
        <v>298536</v>
      </c>
      <c r="AM492" s="460"/>
      <c r="AN492" s="458">
        <f t="shared" ref="AN492:AN499" si="85">AF492-AL492</f>
        <v>-231917</v>
      </c>
      <c r="AO492" s="465">
        <f t="shared" ref="AO492:AO499" si="86">IF(AL492=0,0,AN492/AL492)</f>
        <v>-0.7768476833614707</v>
      </c>
      <c r="AP492" s="94"/>
      <c r="AQ492" s="578">
        <v>51774</v>
      </c>
      <c r="AR492" s="511">
        <f>AF492-AQ492</f>
        <v>14845</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71"/>
        <v>Intérêts sur marge</v>
      </c>
      <c r="B493" s="3"/>
      <c r="C493" s="38"/>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 t="array" ref="Z493">+SUMPRODUCT(('Budget original'!$A$8:$A$502=$A493)*('Budget original'!$C$3:$AO$3=Z$2),'Budget original'!$C$8:$AO$502)</f>
        <v>0</v>
      </c>
      <c r="AA493" s="38"/>
      <c r="AB493" s="38"/>
      <c r="AC493" s="456"/>
      <c r="AD493" s="38"/>
      <c r="AE493" s="41"/>
      <c r="AF493" s="456">
        <f>SUMIFS(BV_Data_An_Cour!$P:$P,BV_Data_An_Cour!$V:$V,$V493)</f>
        <v>0</v>
      </c>
      <c r="AG493" s="38"/>
      <c r="AH493" s="458">
        <f t="shared" si="83"/>
        <v>0</v>
      </c>
      <c r="AI493" s="478">
        <f t="shared" si="84"/>
        <v>0</v>
      </c>
      <c r="AJ493" s="38"/>
      <c r="AK493" s="38"/>
      <c r="AL493" s="456">
        <f t="array" ref="AL493">+SUMPRODUCT(('Réel 2024'!$A$8:$A$502=$A493)*('Réel 2024'!$C$3:$AO$3=Z$2),'Réel 2024'!$C$8:$AO$502)</f>
        <v>0</v>
      </c>
      <c r="AM493" s="550"/>
      <c r="AN493" s="458">
        <f t="shared" si="85"/>
        <v>0</v>
      </c>
      <c r="AO493" s="465">
        <f t="shared" si="86"/>
        <v>0</v>
      </c>
      <c r="AP493" s="94"/>
      <c r="AQ493" s="578">
        <v>0</v>
      </c>
      <c r="AR493" s="511">
        <f>AF493-AQ493</f>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71"/>
        <v>Intérêts sur prêt</v>
      </c>
      <c r="B494" s="3"/>
      <c r="C494" s="38"/>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 t="array" ref="Z494">+SUMPRODUCT(('Budget original'!$A$8:$A$502=$A494)*('Budget original'!$C$3:$AO$3=Z$2),'Budget original'!$C$8:$AO$502)</f>
        <v>0</v>
      </c>
      <c r="AA494" s="38"/>
      <c r="AB494" s="38"/>
      <c r="AC494" s="456"/>
      <c r="AD494" s="38"/>
      <c r="AE494" s="41"/>
      <c r="AF494" s="456">
        <f>SUMIFS(BV_Data_An_Cour!$P:$P,BV_Data_An_Cour!$V:$V,$V494)</f>
        <v>149396.07</v>
      </c>
      <c r="AG494" s="38"/>
      <c r="AH494" s="458">
        <f t="shared" si="83"/>
        <v>149396.07</v>
      </c>
      <c r="AI494" s="478">
        <f t="shared" si="84"/>
        <v>0</v>
      </c>
      <c r="AJ494" s="38"/>
      <c r="AK494" s="38"/>
      <c r="AL494" s="456">
        <f t="array" ref="AL494">+SUMPRODUCT(('Réel 2024'!$A$8:$A$502=$A494)*('Réel 2024'!$C$3:$AO$3=Z$2),'Réel 2024'!$C$8:$AO$502)</f>
        <v>0</v>
      </c>
      <c r="AM494" s="550"/>
      <c r="AN494" s="458">
        <f t="shared" si="85"/>
        <v>149396.07</v>
      </c>
      <c r="AO494" s="465">
        <f t="shared" si="86"/>
        <v>0</v>
      </c>
      <c r="AP494" s="94"/>
      <c r="AQ494" s="578">
        <v>5121.4799999999996</v>
      </c>
      <c r="AR494" s="511">
        <f>AF494-AQ494</f>
        <v>144274.59</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71"/>
        <v>Intérêts sur avance</v>
      </c>
      <c r="B495" s="3"/>
      <c r="C495" s="38"/>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 t="array" ref="Z495">+SUMPRODUCT(('Budget original'!$A$8:$A$502=$A495)*('Budget original'!$C$3:$AO$3=Z$2),'Budget original'!$C$8:$AO$502)</f>
        <v>0</v>
      </c>
      <c r="AA495" s="38"/>
      <c r="AB495" s="38"/>
      <c r="AC495" s="456"/>
      <c r="AD495" s="38"/>
      <c r="AE495" s="41"/>
      <c r="AF495" s="456">
        <f>SUMIFS(BV_Data_An_Cour!$P:$P,BV_Data_An_Cour!$V:$V,$V495)</f>
        <v>0</v>
      </c>
      <c r="AG495" s="38"/>
      <c r="AH495" s="458">
        <f t="shared" si="83"/>
        <v>0</v>
      </c>
      <c r="AI495" s="478">
        <f t="shared" si="84"/>
        <v>0</v>
      </c>
      <c r="AJ495" s="38"/>
      <c r="AK495" s="38"/>
      <c r="AL495" s="456">
        <f t="array" ref="AL495">+SUMPRODUCT(('Réel 2024'!$A$8:$A$502=$A495)*('Réel 2024'!$C$3:$AO$3=Z$2),'Réel 2024'!$C$8:$AO$502)</f>
        <v>0</v>
      </c>
      <c r="AM495" s="550"/>
      <c r="AN495" s="458">
        <f t="shared" si="85"/>
        <v>0</v>
      </c>
      <c r="AO495" s="465">
        <f t="shared" si="86"/>
        <v>0</v>
      </c>
      <c r="AP495" s="94"/>
      <c r="AQ495" s="578">
        <v>0</v>
      </c>
      <c r="AR495" s="511"/>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71"/>
        <v>[...]</v>
      </c>
      <c r="B496" s="3"/>
      <c r="C496" s="38"/>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 t="array" ref="Z496">+SUMPRODUCT(('Budget original'!$A$8:$A$502=$A496)*('Budget original'!$C$3:$AO$3=Z$2),'Budget original'!$C$8:$AO$502)</f>
        <v>0</v>
      </c>
      <c r="AA496" s="38"/>
      <c r="AB496" s="38"/>
      <c r="AC496" s="456"/>
      <c r="AD496" s="38"/>
      <c r="AE496" s="41"/>
      <c r="AF496" s="456">
        <f>SUMIFS(BV_Data_An_Cour!$P:$P,BV_Data_An_Cour!$V:$V,$V496)</f>
        <v>0</v>
      </c>
      <c r="AG496" s="38"/>
      <c r="AH496" s="458">
        <f t="shared" si="83"/>
        <v>0</v>
      </c>
      <c r="AI496" s="478">
        <f t="shared" si="84"/>
        <v>0</v>
      </c>
      <c r="AJ496" s="38"/>
      <c r="AK496" s="38"/>
      <c r="AL496" s="456"/>
      <c r="AM496" s="550"/>
      <c r="AN496" s="458">
        <f t="shared" si="85"/>
        <v>0</v>
      </c>
      <c r="AO496" s="465">
        <f t="shared" si="86"/>
        <v>0</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71"/>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1" t="s">
        <v>3805</v>
      </c>
      <c r="W497" s="41"/>
      <c r="X497" s="41"/>
      <c r="Y497" s="41"/>
      <c r="Z497" s="456">
        <f t="array" ref="Z497">+SUMPRODUCT(('Budget original'!$A$8:$A$502=$A497)*('Budget original'!$C$3:$AO$3=Z$2),'Budget original'!$C$8:$AO$502)</f>
        <v>0</v>
      </c>
      <c r="AA497" s="38"/>
      <c r="AB497" s="38"/>
      <c r="AC497" s="456"/>
      <c r="AD497" s="38"/>
      <c r="AE497" s="41"/>
      <c r="AF497" s="456">
        <f>SUMIFS(BV_Data_An_Cour!$P:$P,BV_Data_An_Cour!$V:$V,$V497)</f>
        <v>-149396.35</v>
      </c>
      <c r="AG497" s="38"/>
      <c r="AH497" s="458">
        <f t="shared" si="83"/>
        <v>-149396.35</v>
      </c>
      <c r="AI497" s="478">
        <f t="shared" si="84"/>
        <v>0</v>
      </c>
      <c r="AJ497" s="38"/>
      <c r="AK497" s="38"/>
      <c r="AL497" s="456">
        <f t="array" ref="AL497">+SUMPRODUCT(('Réel 2024'!$A$8:$A$502=$A497)*('Réel 2024'!$C$3:$AO$3=Z$2),'Réel 2024'!$C$8:$AO$502)</f>
        <v>-7553</v>
      </c>
      <c r="AM497" s="550"/>
      <c r="AN497" s="458">
        <f t="shared" si="85"/>
        <v>-141843.35</v>
      </c>
      <c r="AO497" s="465">
        <f t="shared" si="86"/>
        <v>18.779736528531711</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71"/>
        <v>[...]</v>
      </c>
      <c r="B498" s="3"/>
      <c r="C498" s="38"/>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 t="array" ref="Z498">+INDEX('Budget original'!$A$2:$AO$502,MATCH($A498,'Budget original'!$A$2:$A$502,0),MATCH(F$2,'Budget original'!$A$2:$AO$2,0))</f>
        <v>0</v>
      </c>
      <c r="AA498" s="38"/>
      <c r="AB498" s="38"/>
      <c r="AC498" s="456"/>
      <c r="AD498" s="38"/>
      <c r="AE498" s="41"/>
      <c r="AF498" s="456">
        <f>SUMIFS(BV_Data_An_Cour!$P:$P,BV_Data_An_Cour!$V:$V,$V498)</f>
        <v>0</v>
      </c>
      <c r="AG498" s="38"/>
      <c r="AH498" s="458">
        <f t="shared" si="83"/>
        <v>0</v>
      </c>
      <c r="AI498" s="478">
        <f t="shared" si="84"/>
        <v>0</v>
      </c>
      <c r="AJ498" s="38"/>
      <c r="AK498" s="38"/>
      <c r="AL498" s="456"/>
      <c r="AM498" s="550"/>
      <c r="AN498" s="458">
        <f t="shared" si="85"/>
        <v>0</v>
      </c>
      <c r="AO498" s="465">
        <f t="shared" si="86"/>
        <v>0</v>
      </c>
      <c r="AP498" s="94"/>
      <c r="AQ498" s="578">
        <v>0</v>
      </c>
      <c r="AR498" s="549"/>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71"/>
        <v>Profit Net</v>
      </c>
      <c r="B499" s="3"/>
      <c r="C499" s="38"/>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3.256304202640873E-2</v>
      </c>
      <c r="Z499" s="533">
        <f>Z490-Z492-Z493-Z494-Z498-Z497</f>
        <v>1301087.657651373</v>
      </c>
      <c r="AA499" s="531"/>
      <c r="AB499" s="532"/>
      <c r="AC499" s="533"/>
      <c r="AD499" s="531" t="s">
        <v>219</v>
      </c>
      <c r="AE499" s="532">
        <f>AF499/AF407</f>
        <v>2.1032546247358112E-2</v>
      </c>
      <c r="AF499" s="534">
        <f>AF490-AF492-AF493-AF494-AF498-AF497</f>
        <v>763848.52999999898</v>
      </c>
      <c r="AG499" s="535"/>
      <c r="AH499" s="535">
        <f t="shared" si="83"/>
        <v>-537239.12765137397</v>
      </c>
      <c r="AI499" s="536">
        <f>AH499/Z499</f>
        <v>-0.41291539773819563</v>
      </c>
      <c r="AJ499" s="537" t="s">
        <v>219</v>
      </c>
      <c r="AK499" s="532">
        <f>IF($AL$407=0,0,AL499/$AL$407)</f>
        <v>1.9628101112239577E-2</v>
      </c>
      <c r="AL499" s="534">
        <f>AL490-AL492-AL493-AL494-AL498-AL497</f>
        <v>671057.63999999687</v>
      </c>
      <c r="AM499" s="538"/>
      <c r="AN499" s="534">
        <f t="shared" si="85"/>
        <v>92790.890000002109</v>
      </c>
      <c r="AO499" s="552">
        <f t="shared" si="86"/>
        <v>0.13827558836823994</v>
      </c>
      <c r="AP499" s="94"/>
      <c r="AQ499" s="543">
        <v>2179951.2900000028</v>
      </c>
      <c r="AR499" s="595">
        <f>AF499-AQ499</f>
        <v>-1416102.760000004</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f>Z499</f>
        <v>1301087.657651373</v>
      </c>
      <c r="AA501" s="38"/>
      <c r="AB501" s="38"/>
      <c r="AC501" s="94"/>
      <c r="AD501" s="38"/>
      <c r="AE501" s="859"/>
      <c r="AF501" s="859">
        <v>463374.07999999856</v>
      </c>
      <c r="AG501" s="859"/>
      <c r="AH501" s="859"/>
      <c r="AI501" s="38"/>
      <c r="AJ501" s="38"/>
      <c r="AK501" s="553"/>
      <c r="AL501" s="90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96">
        <f>+Z499-Z501</f>
        <v>0</v>
      </c>
      <c r="AA502" s="38"/>
      <c r="AB502" s="38"/>
      <c r="AC502" s="596"/>
      <c r="AD502" s="38"/>
      <c r="AE502" s="859"/>
      <c r="AF502" s="859"/>
      <c r="AG502" s="859"/>
      <c r="AH502" s="859"/>
      <c r="AI502" s="38"/>
      <c r="AJ502" s="38"/>
      <c r="AK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859"/>
      <c r="AF503" s="859"/>
      <c r="AG503" s="859"/>
      <c r="AH503" s="859"/>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859"/>
      <c r="AF505" s="859"/>
      <c r="AG505" s="859"/>
      <c r="AH505" s="859"/>
      <c r="AI505" s="38"/>
      <c r="AJ505" s="38"/>
      <c r="AK505" s="901"/>
      <c r="AL505" s="902"/>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859"/>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73"/>
      <c r="AG507" s="38"/>
      <c r="AH507" s="38"/>
      <c r="AI507" s="38"/>
      <c r="AJ507" s="38"/>
      <c r="AK507" s="901"/>
      <c r="AL507" s="902"/>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859"/>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973"/>
      <c r="AG509" s="974"/>
      <c r="AH509" s="972"/>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859"/>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7"/>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8"/>
      <c r="E532" s="86"/>
      <c r="F532" s="86"/>
      <c r="G532" s="598"/>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9"/>
      <c r="G541" s="80"/>
      <c r="H541" s="88"/>
      <c r="I541" s="599"/>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9"/>
      <c r="G549" s="80"/>
      <c r="H549" s="88"/>
      <c r="I549" s="599"/>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600"/>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601"/>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602"/>
      <c r="G650" s="83"/>
      <c r="H650" s="83"/>
      <c r="I650" s="602"/>
      <c r="J650" s="86"/>
      <c r="K650" s="86"/>
      <c r="L650" s="92"/>
      <c r="M650" s="86"/>
      <c r="N650" s="86"/>
      <c r="O650" s="86"/>
      <c r="P650" s="86"/>
      <c r="Q650" s="597"/>
      <c r="R650" s="83"/>
      <c r="S650" s="602"/>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51" priority="162" stopIfTrue="1">
      <formula>"esterreur(reference)"</formula>
    </cfRule>
  </conditionalFormatting>
  <conditionalFormatting sqref="F185">
    <cfRule type="expression" dxfId="50" priority="149" stopIfTrue="1">
      <formula>"esterreur(reference)"</formula>
    </cfRule>
  </conditionalFormatting>
  <conditionalFormatting sqref="G186">
    <cfRule type="expression" dxfId="49" priority="347" stopIfTrue="1">
      <formula>"esterreur(reference)"</formula>
    </cfRule>
  </conditionalFormatting>
  <conditionalFormatting sqref="H361 J361:L361">
    <cfRule type="expression" dxfId="48" priority="331" stopIfTrue="1">
      <formula>"esterreur(reference)"</formula>
    </cfRule>
  </conditionalFormatting>
  <conditionalFormatting sqref="H198:L198">
    <cfRule type="expression" dxfId="47" priority="19" stopIfTrue="1">
      <formula>"esterreur(reference)"</formula>
    </cfRule>
  </conditionalFormatting>
  <conditionalFormatting sqref="H362:L365 H366:H377 J366:L377 H401 J401:K401">
    <cfRule type="expression" dxfId="46" priority="326" stopIfTrue="1">
      <formula>"esterreur(reference)"</formula>
    </cfRule>
  </conditionalFormatting>
  <conditionalFormatting sqref="H397:L400">
    <cfRule type="expression" dxfId="45" priority="328" stopIfTrue="1">
      <formula>"esterreur(reference)"</formula>
    </cfRule>
  </conditionalFormatting>
  <conditionalFormatting sqref="I17">
    <cfRule type="expression" dxfId="44" priority="1" stopIfTrue="1">
      <formula>"esterreur(reference)"</formula>
    </cfRule>
  </conditionalFormatting>
  <conditionalFormatting sqref="I378:L378 J379:L395 H379:H396">
    <cfRule type="expression" dxfId="43" priority="329" stopIfTrue="1">
      <formula>"esterreur(reference)"</formula>
    </cfRule>
  </conditionalFormatting>
  <conditionalFormatting sqref="J3 L6:L14 I13:J14 I16:J16 L16 I18:J18 L18:L24 J19 I20:J20 J21:J23 I24:J24 H25:L26 I27:J27 L27 H28:K28 H29:L30 J31:K48 H31:H72 J49:L72 F83:F85 H83:L85 H86:K88 L86:L90 H90:I90 K90 J90:J91 K93:L96 H97:L98 K99:L101 I102:L102 H102:H105 O102:Q154 J103:L105 I106:L109 H107:H135 I110:K110 I111:L112 J113:L122 I123:L123 J124:L135 H136:L136 H137:H153 J137:L153 H154:L154 H157:H158 J157:K158 H165:L165 H166 J166:K166 H167:K168 L167:L170 H170:I170 K170 J170:J197 H172:I172 K172:L174 H174:I175 L175 K176:L183 H177:I178 H180:I181 H183:I184 L184 K184:K185 H186:I188 K186:L197 H190:I191 H193:I197 H199:H230 J199:K230 H233:L233 H234 J234:K234 H235:K236 L235:L238 H238:I238 K238 J238:J241 H240:I241 K240:L242 H244:L244 H253:L254 H255:H285 J255:K285 L268:L285 H286:L286 H289:L289 H290 J290:K290 H291:K291 L291:L293 H293:I293 K293 J293:J294 H295:L295 J296:L304 H305:L307 J308:L309 H310:L312 J313:M313 H314:L314 H315:K316 H317:L318 L319:L330 H319:H349 J319:K349 H350:L350 H353:L353 H354:H356 J354:K356">
    <cfRule type="expression" dxfId="42" priority="4" stopIfTrue="1">
      <formula>"esterreur(reference)"</formula>
    </cfRule>
  </conditionalFormatting>
  <conditionalFormatting sqref="K288">
    <cfRule type="expression" dxfId="41" priority="151" stopIfTrue="1">
      <formula>"esterreur(reference)"</formula>
    </cfRule>
  </conditionalFormatting>
  <conditionalFormatting sqref="K396">
    <cfRule type="expression" dxfId="40" priority="332" stopIfTrue="1">
      <formula>"esterreur(reference)"</formula>
    </cfRule>
  </conditionalFormatting>
  <conditionalFormatting sqref="K5:L5">
    <cfRule type="expression" dxfId="39" priority="130" stopIfTrue="1">
      <formula>"esterreur(reference)"</formula>
    </cfRule>
  </conditionalFormatting>
  <conditionalFormatting sqref="K245:L245">
    <cfRule type="expression" dxfId="38" priority="104" stopIfTrue="1">
      <formula>"esterreur(reference)"</formula>
    </cfRule>
  </conditionalFormatting>
  <conditionalFormatting sqref="K248:L248">
    <cfRule type="expression" dxfId="37" priority="105" stopIfTrue="1">
      <formula>"esterreur(reference)"</formula>
    </cfRule>
  </conditionalFormatting>
  <conditionalFormatting sqref="L42:L48">
    <cfRule type="expression" dxfId="36" priority="33" stopIfTrue="1">
      <formula>"esterreur(reference)"</formula>
    </cfRule>
  </conditionalFormatting>
  <conditionalFormatting sqref="L75:L82">
    <cfRule type="expression" dxfId="35" priority="11" stopIfTrue="1">
      <formula>"esterreur(reference)"</formula>
    </cfRule>
  </conditionalFormatting>
  <conditionalFormatting sqref="L157:L163">
    <cfRule type="expression" dxfId="34" priority="83" stopIfTrue="1">
      <formula>"esterreur(reference)"</formula>
    </cfRule>
  </conditionalFormatting>
  <conditionalFormatting sqref="L199:L210">
    <cfRule type="expression" dxfId="33" priority="60" stopIfTrue="1">
      <formula>"esterreur(reference)"</formula>
    </cfRule>
  </conditionalFormatting>
  <conditionalFormatting sqref="L212:L229">
    <cfRule type="expression" dxfId="32" priority="62" stopIfTrue="1">
      <formula>"esterreur(reference)"</formula>
    </cfRule>
  </conditionalFormatting>
  <conditionalFormatting sqref="L255:L266">
    <cfRule type="expression" dxfId="31" priority="106" stopIfTrue="1">
      <formula>"esterreur(reference)"</formula>
    </cfRule>
  </conditionalFormatting>
  <conditionalFormatting sqref="L332:L349">
    <cfRule type="expression" dxfId="30" priority="26" stopIfTrue="1">
      <formula>"esterreur(reference)"</formula>
    </cfRule>
  </conditionalFormatting>
  <conditionalFormatting sqref="L357:L358 H358:I358 K358 J358:J359 H360:L360">
    <cfRule type="expression" dxfId="29" priority="327" stopIfTrue="1">
      <formula>"esterreur(reference)"</formula>
    </cfRule>
  </conditionalFormatting>
  <conditionalFormatting sqref="M95:M97">
    <cfRule type="expression" dxfId="28" priority="5" stopIfTrue="1">
      <formula>"esterreur(reference)"</formula>
    </cfRule>
  </conditionalFormatting>
  <conditionalFormatting sqref="O198:Q198">
    <cfRule type="expression" dxfId="27" priority="238" stopIfTrue="1">
      <formula>"esterreur(reference)"</formula>
    </cfRule>
  </conditionalFormatting>
  <conditionalFormatting sqref="O244:Q244 O253:Q254 O255:P285 Q268:Q285 O286:Q286 O289:Q289 O290:P290">
    <cfRule type="expression" dxfId="26" priority="266" stopIfTrue="1">
      <formula>"esterreur(reference)"</formula>
    </cfRule>
  </conditionalFormatting>
  <conditionalFormatting sqref="O296:Q318 Q319:Q330 O319:P349 O350:Q350 O353:Q353 O354:P354">
    <cfRule type="expression" dxfId="25" priority="295" stopIfTrue="1">
      <formula>"esterreur(reference)"</formula>
    </cfRule>
  </conditionalFormatting>
  <conditionalFormatting sqref="O360:Q395">
    <cfRule type="expression" dxfId="24" priority="336" stopIfTrue="1">
      <formula>"esterreur(reference)"</formula>
    </cfRule>
  </conditionalFormatting>
  <conditionalFormatting sqref="O397:Q400">
    <cfRule type="expression" dxfId="23" priority="339" stopIfTrue="1">
      <formula>"esterreur(reference)"</formula>
    </cfRule>
  </conditionalFormatting>
  <conditionalFormatting sqref="P5">
    <cfRule type="expression" dxfId="22" priority="164" stopIfTrue="1">
      <formula>"esterreur(reference)"</formula>
    </cfRule>
  </conditionalFormatting>
  <conditionalFormatting sqref="P176">
    <cfRule type="expression" dxfId="21" priority="260" stopIfTrue="1">
      <formula>"esterreur(reference)"</formula>
    </cfRule>
  </conditionalFormatting>
  <conditionalFormatting sqref="P288">
    <cfRule type="expression" dxfId="20" priority="293" stopIfTrue="1">
      <formula>"esterreur(reference)"</formula>
    </cfRule>
  </conditionalFormatting>
  <conditionalFormatting sqref="P396">
    <cfRule type="expression" dxfId="19" priority="341" stopIfTrue="1">
      <formula>"esterreur(reference)"</formula>
    </cfRule>
  </conditionalFormatting>
  <conditionalFormatting sqref="P93:Q96 O97:Q98 O157:P158 O165:Q165 O166:P166">
    <cfRule type="expression" dxfId="18" priority="196" stopIfTrue="1">
      <formula>"esterreur(reference)"</formula>
    </cfRule>
  </conditionalFormatting>
  <conditionalFormatting sqref="P99:Q101">
    <cfRule type="expression" dxfId="17" priority="3" stopIfTrue="1">
      <formula>"esterreur(reference)"</formula>
    </cfRule>
  </conditionalFormatting>
  <conditionalFormatting sqref="P173:Q174 O173:O197 Q175:Q176 P177:Q183 Q184 P184:P185 P186:Q197 O199:P230 O233:Q233 O234:P234">
    <cfRule type="expression" dxfId="16" priority="236" stopIfTrue="1">
      <formula>"esterreur(reference)"</formula>
    </cfRule>
  </conditionalFormatting>
  <conditionalFormatting sqref="P242:Q242">
    <cfRule type="expression" dxfId="15" priority="289" stopIfTrue="1">
      <formula>"esterreur(reference)"</formula>
    </cfRule>
  </conditionalFormatting>
  <conditionalFormatting sqref="P245:Q245">
    <cfRule type="expression" dxfId="14" priority="271" stopIfTrue="1">
      <formula>"esterreur(reference)"</formula>
    </cfRule>
  </conditionalFormatting>
  <conditionalFormatting sqref="P248:Q248">
    <cfRule type="expression" dxfId="13" priority="272" stopIfTrue="1">
      <formula>"esterreur(reference)"</formula>
    </cfRule>
  </conditionalFormatting>
  <conditionalFormatting sqref="Q5:Q14 O13:O14 O16 O18:O24 O25:Q26 O27 Q27 O28:Q72 O83:Q85">
    <cfRule type="expression" dxfId="12" priority="163" stopIfTrue="1">
      <formula>"esterreur(reference)"</formula>
    </cfRule>
  </conditionalFormatting>
  <conditionalFormatting sqref="Q16:Q24">
    <cfRule type="expression" dxfId="11" priority="2" stopIfTrue="1">
      <formula>"esterreur(reference)"</formula>
    </cfRule>
  </conditionalFormatting>
  <conditionalFormatting sqref="Q75:Q82">
    <cfRule type="expression" dxfId="10" priority="189" stopIfTrue="1">
      <formula>"esterreur(reference)"</formula>
    </cfRule>
  </conditionalFormatting>
  <conditionalFormatting sqref="Q157:Q163">
    <cfRule type="expression" dxfId="9" priority="230" stopIfTrue="1">
      <formula>"esterreur(reference)"</formula>
    </cfRule>
  </conditionalFormatting>
  <conditionalFormatting sqref="Q199:Q210">
    <cfRule type="expression" dxfId="8" priority="239" stopIfTrue="1">
      <formula>"esterreur(reference)"</formula>
    </cfRule>
  </conditionalFormatting>
  <conditionalFormatting sqref="Q212:Q229">
    <cfRule type="expression" dxfId="7" priority="240" stopIfTrue="1">
      <formula>"esterreur(reference)"</formula>
    </cfRule>
  </conditionalFormatting>
  <conditionalFormatting sqref="Q255:Q266">
    <cfRule type="expression" dxfId="6" priority="273" stopIfTrue="1">
      <formula>"esterreur(reference)"</formula>
    </cfRule>
  </conditionalFormatting>
  <conditionalFormatting sqref="Q332:Q349">
    <cfRule type="expression" dxfId="5" priority="297" stopIfTrue="1">
      <formula>"esterreur(reference)"</formula>
    </cfRule>
  </conditionalFormatting>
  <conditionalFormatting sqref="R313">
    <cfRule type="expression" dxfId="4" priority="13" stopIfTrue="1">
      <formula>"esterreur(reference)"</formula>
    </cfRule>
  </conditionalFormatting>
  <conditionalFormatting sqref="S187">
    <cfRule type="expression" dxfId="3" priority="150" stopIfTrue="1">
      <formula>"esterreur(reference)"</formula>
    </cfRule>
  </conditionalFormatting>
  <conditionalFormatting sqref="AG410:AI419 AH421:AI432 AG433:AI433 AH434:AI452 AH454:AI461 AH462:AH466 AH468:AI469 AH492:AI498">
    <cfRule type="cellIs" dxfId="2" priority="14" operator="greaterThan">
      <formula>0</formula>
    </cfRule>
  </conditionalFormatting>
  <conditionalFormatting sqref="AH470:AI481">
    <cfRule type="cellIs" dxfId="1" priority="15" operator="lessThan">
      <formula>0</formula>
    </cfRule>
  </conditionalFormatting>
  <conditionalFormatting sqref="AO410:AO419">
    <cfRule type="cellIs" dxfId="0" priority="152"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487"/>
  <sheetViews>
    <sheetView zoomScale="80" zoomScaleNormal="80" workbookViewId="0">
      <selection sqref="A1:K487"/>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86" t="s">
        <v>251</v>
      </c>
      <c r="B1" s="1186" t="s">
        <v>654</v>
      </c>
      <c r="C1" s="1187" t="s">
        <v>658</v>
      </c>
      <c r="D1" s="1187" t="s">
        <v>659</v>
      </c>
      <c r="E1" s="1187" t="s">
        <v>660</v>
      </c>
      <c r="F1" s="1186" t="s">
        <v>655</v>
      </c>
      <c r="G1" s="1186" t="s">
        <v>656</v>
      </c>
      <c r="H1" s="1186" t="s">
        <v>657</v>
      </c>
      <c r="I1" s="1187" t="s">
        <v>3356</v>
      </c>
      <c r="J1" s="1187" t="s">
        <v>3357</v>
      </c>
      <c r="K1" s="1187"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c r="Z1" s="4"/>
    </row>
    <row r="2" spans="1:26" ht="15" customHeight="1">
      <c r="A2" s="1188" t="s">
        <v>665</v>
      </c>
      <c r="B2" s="1188" t="s">
        <v>1383</v>
      </c>
      <c r="C2" s="1189"/>
      <c r="D2" s="1189"/>
      <c r="E2" s="1189"/>
      <c r="F2" s="1188" t="s">
        <v>2</v>
      </c>
      <c r="G2" s="1188" t="s">
        <v>3266</v>
      </c>
      <c r="H2" s="1188" t="s">
        <v>3845</v>
      </c>
      <c r="I2" s="1190">
        <v>-34367.08</v>
      </c>
      <c r="J2" s="1190">
        <v>0</v>
      </c>
      <c r="K2" s="1190">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Q33" si="1">+F2</f>
        <v>1-Mémo</v>
      </c>
      <c r="R2" s="609" t="str">
        <f t="shared" ref="R2:R33" si="2">+G2</f>
        <v>1</v>
      </c>
      <c r="S2" s="610" t="str">
        <f t="shared" ref="S2:S33" si="3">+H2</f>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customHeight="1">
      <c r="A3" s="1188" t="s">
        <v>666</v>
      </c>
      <c r="B3" s="1188" t="s">
        <v>1583</v>
      </c>
      <c r="C3" s="1189"/>
      <c r="D3" s="1189"/>
      <c r="E3" s="1189"/>
      <c r="F3" s="1188" t="s">
        <v>2</v>
      </c>
      <c r="G3" s="1188" t="s">
        <v>3266</v>
      </c>
      <c r="H3" s="1188" t="s">
        <v>3845</v>
      </c>
      <c r="I3" s="1190">
        <v>-13330.73</v>
      </c>
      <c r="J3" s="1190">
        <v>0</v>
      </c>
      <c r="K3" s="1190">
        <v>-13330.73</v>
      </c>
      <c r="L3" s="609" t="str">
        <f t="shared" ref="L3:L66" si="4">TEXT(B3,0)</f>
        <v>20</v>
      </c>
      <c r="M3" s="610" t="str">
        <f t="shared" si="0"/>
        <v>PROFIT/PERTES FEVRIER</v>
      </c>
      <c r="N3" s="611">
        <f>+IF(OR($Q3=Parametres!$G$2,$Q3=Parametres!$G$3),I3,C3)</f>
        <v>-13330.73</v>
      </c>
      <c r="O3" s="611">
        <f>+IF(OR($Q3=Parametres!$G$2,$Q3=Parametres!$G$3),J3,D3)</f>
        <v>0</v>
      </c>
      <c r="P3" s="611">
        <f>+IF(OR($Q3=Parametres!$G$2,$Q3=Parametres!$G$3),K3,E3)</f>
        <v>-13330.73</v>
      </c>
      <c r="Q3" s="610" t="str">
        <f t="shared" si="1"/>
        <v>1-Mémo</v>
      </c>
      <c r="R3" s="609" t="str">
        <f t="shared" si="2"/>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customHeight="1">
      <c r="A4" s="1188" t="s">
        <v>667</v>
      </c>
      <c r="B4" s="1188" t="s">
        <v>693</v>
      </c>
      <c r="C4" s="1189"/>
      <c r="D4" s="1189"/>
      <c r="E4" s="1189"/>
      <c r="F4" s="1188" t="s">
        <v>2</v>
      </c>
      <c r="G4" s="1188" t="s">
        <v>3266</v>
      </c>
      <c r="H4" s="1188" t="s">
        <v>3845</v>
      </c>
      <c r="I4" s="1190">
        <v>245121.41</v>
      </c>
      <c r="J4" s="1190">
        <v>0</v>
      </c>
      <c r="K4" s="1190">
        <v>245121.41</v>
      </c>
      <c r="L4" s="609" t="str">
        <f t="shared" si="4"/>
        <v>30</v>
      </c>
      <c r="M4" s="610" t="str">
        <f t="shared" si="0"/>
        <v>PROFIT/PERTES MARS</v>
      </c>
      <c r="N4" s="611">
        <f>+IF(OR($Q4=Parametres!$G$2,$Q4=Parametres!$G$3),I4,C4)</f>
        <v>245121.41</v>
      </c>
      <c r="O4" s="611">
        <f>+IF(OR($Q4=Parametres!$G$2,$Q4=Parametres!$G$3),J4,D4)</f>
        <v>0</v>
      </c>
      <c r="P4" s="611">
        <f>+IF(OR($Q4=Parametres!$G$2,$Q4=Parametres!$G$3),K4,E4)</f>
        <v>245121.41</v>
      </c>
      <c r="Q4" s="610" t="str">
        <f t="shared" si="1"/>
        <v>1-Mémo</v>
      </c>
      <c r="R4" s="609" t="str">
        <f t="shared" si="2"/>
        <v>1</v>
      </c>
      <c r="S4" s="610" t="str">
        <f t="shared" si="3"/>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customHeight="1">
      <c r="A5" s="1188" t="s">
        <v>668</v>
      </c>
      <c r="B5" s="1188" t="s">
        <v>706</v>
      </c>
      <c r="C5" s="1189"/>
      <c r="D5" s="1189"/>
      <c r="E5" s="1189"/>
      <c r="F5" s="1188" t="s">
        <v>2</v>
      </c>
      <c r="G5" s="1188" t="s">
        <v>3266</v>
      </c>
      <c r="H5" s="1188" t="s">
        <v>3845</v>
      </c>
      <c r="I5" s="1190">
        <v>185439</v>
      </c>
      <c r="J5" s="1190">
        <v>0</v>
      </c>
      <c r="K5" s="1190">
        <v>185439</v>
      </c>
      <c r="L5" s="609" t="str">
        <f t="shared" si="4"/>
        <v>40</v>
      </c>
      <c r="M5" s="610" t="str">
        <f t="shared" si="0"/>
        <v>PROFIT/PERTES AVRIL</v>
      </c>
      <c r="N5" s="611">
        <f>+IF(OR($Q5=Parametres!$G$2,$Q5=Parametres!$G$3),I5,C5)</f>
        <v>185439</v>
      </c>
      <c r="O5" s="611">
        <f>+IF(OR($Q5=Parametres!$G$2,$Q5=Parametres!$G$3),J5,D5)</f>
        <v>0</v>
      </c>
      <c r="P5" s="611">
        <f>+IF(OR($Q5=Parametres!$G$2,$Q5=Parametres!$G$3),K5,E5)</f>
        <v>185439</v>
      </c>
      <c r="Q5" s="610" t="str">
        <f t="shared" si="1"/>
        <v>1-Mémo</v>
      </c>
      <c r="R5" s="609" t="str">
        <f t="shared" si="2"/>
        <v>1</v>
      </c>
      <c r="S5" s="610" t="str">
        <f t="shared" si="3"/>
        <v>_</v>
      </c>
      <c r="T5" s="612" t="str">
        <f>+VLOOKUP($L5,Data_Validation!$A:$D,1,0)</f>
        <v>40</v>
      </c>
      <c r="U5" s="612">
        <f>+VLOOKUP($L5,Data_Validation!$A:$D,3,0)</f>
        <v>0</v>
      </c>
      <c r="V5" s="612">
        <f>+VLOOKUP($L5,Data_Validation!$A:$D,4,0)</f>
        <v>0</v>
      </c>
      <c r="W5" s="612">
        <f>+VLOOKUP($L5,Data_Validation!$A:$E,5,0)</f>
        <v>0</v>
      </c>
      <c r="X5" s="612">
        <f>+VLOOKUP($L5,Data_Validation!$A:$F,6,0)</f>
        <v>0</v>
      </c>
      <c r="Z5" s="4"/>
    </row>
    <row r="6" spans="1:26" ht="15.75" customHeight="1">
      <c r="A6" s="1188" t="s">
        <v>669</v>
      </c>
      <c r="B6" s="1188" t="s">
        <v>730</v>
      </c>
      <c r="C6" s="1189"/>
      <c r="D6" s="1189"/>
      <c r="E6" s="1189"/>
      <c r="F6" s="1188" t="s">
        <v>2</v>
      </c>
      <c r="G6" s="1188" t="s">
        <v>3266</v>
      </c>
      <c r="H6" s="1188" t="s">
        <v>3845</v>
      </c>
      <c r="I6" s="1190">
        <v>203850.44</v>
      </c>
      <c r="J6" s="1190">
        <v>-123339.44</v>
      </c>
      <c r="K6" s="1190">
        <v>80511</v>
      </c>
      <c r="L6" s="609" t="str">
        <f t="shared" si="4"/>
        <v>50</v>
      </c>
      <c r="M6" s="610" t="str">
        <f t="shared" si="0"/>
        <v>PROFIT/PERTES MAI</v>
      </c>
      <c r="N6" s="611">
        <f>+IF(OR($Q6=Parametres!$G$2,$Q6=Parametres!$G$3),I6,C6)</f>
        <v>203850.44</v>
      </c>
      <c r="O6" s="611">
        <f>+IF(OR($Q6=Parametres!$G$2,$Q6=Parametres!$G$3),J6,D6)</f>
        <v>-123339.44</v>
      </c>
      <c r="P6" s="611">
        <f>+IF(OR($Q6=Parametres!$G$2,$Q6=Parametres!$G$3),K6,E6)</f>
        <v>80511</v>
      </c>
      <c r="Q6" s="610" t="str">
        <f t="shared" si="1"/>
        <v>1-Mémo</v>
      </c>
      <c r="R6" s="609" t="str">
        <f t="shared" si="2"/>
        <v>1</v>
      </c>
      <c r="S6" s="610" t="str">
        <f t="shared" si="3"/>
        <v>_</v>
      </c>
      <c r="T6" s="612" t="str">
        <f>+VLOOKUP($L6,Data_Validation!$A:$D,1,0)</f>
        <v>50</v>
      </c>
      <c r="U6" s="612">
        <f>+VLOOKUP($L6,Data_Validation!$A:$D,3,0)</f>
        <v>0</v>
      </c>
      <c r="V6" s="612">
        <f>+VLOOKUP($L6,Data_Validation!$A:$D,4,0)</f>
        <v>0</v>
      </c>
      <c r="W6" s="612">
        <f>+VLOOKUP($L6,Data_Validation!$A:$E,5,0)</f>
        <v>0</v>
      </c>
      <c r="X6" s="612">
        <f>+VLOOKUP($L6,Data_Validation!$A:$F,6,0)</f>
        <v>0</v>
      </c>
      <c r="Z6" s="138"/>
    </row>
    <row r="7" spans="1:26" ht="15" customHeight="1">
      <c r="A7" s="1188" t="s">
        <v>670</v>
      </c>
      <c r="B7" s="1188" t="s">
        <v>2185</v>
      </c>
      <c r="C7" s="1189"/>
      <c r="D7" s="1189"/>
      <c r="E7" s="1189"/>
      <c r="F7" s="1188" t="s">
        <v>2</v>
      </c>
      <c r="G7" s="1188" t="s">
        <v>3266</v>
      </c>
      <c r="H7" s="1188" t="s">
        <v>3845</v>
      </c>
      <c r="I7" s="1190">
        <v>0</v>
      </c>
      <c r="J7" s="1190">
        <v>123339.44</v>
      </c>
      <c r="K7" s="1190">
        <v>123339.44</v>
      </c>
      <c r="L7" s="609" t="str">
        <f t="shared" si="4"/>
        <v>60</v>
      </c>
      <c r="M7" s="610" t="str">
        <f t="shared" si="0"/>
        <v>PROFIT/PERTES JUIN</v>
      </c>
      <c r="N7" s="611">
        <f>+IF(OR($Q7=Parametres!$G$2,$Q7=Parametres!$G$3),I7,C7)</f>
        <v>0</v>
      </c>
      <c r="O7" s="611">
        <f>+IF(OR($Q7=Parametres!$G$2,$Q7=Parametres!$G$3),J7,D7)</f>
        <v>123339.44</v>
      </c>
      <c r="P7" s="611">
        <f>+IF(OR($Q7=Parametres!$G$2,$Q7=Parametres!$G$3),K7,E7)</f>
        <v>123339.44</v>
      </c>
      <c r="Q7" s="610" t="str">
        <f t="shared" si="1"/>
        <v>1-Mémo</v>
      </c>
      <c r="R7" s="609" t="str">
        <f t="shared" si="2"/>
        <v>1</v>
      </c>
      <c r="S7" s="610" t="str">
        <f t="shared" si="3"/>
        <v>_</v>
      </c>
      <c r="T7" s="612" t="str">
        <f>+VLOOKUP($L7,Data_Validation!$A:$D,1,0)</f>
        <v>60</v>
      </c>
      <c r="U7" s="612">
        <f>+VLOOKUP($L7,Data_Validation!$A:$D,3,0)</f>
        <v>0</v>
      </c>
      <c r="V7" s="612">
        <f>+VLOOKUP($L7,Data_Validation!$A:$D,4,0)</f>
        <v>0</v>
      </c>
      <c r="W7" s="612">
        <f>+VLOOKUP($L7,Data_Validation!$A:$E,5,0)</f>
        <v>0</v>
      </c>
      <c r="X7" s="612">
        <f>+VLOOKUP($L7,Data_Validation!$A:$F,6,0)</f>
        <v>0</v>
      </c>
    </row>
    <row r="8" spans="1:26" ht="15" customHeight="1">
      <c r="A8" s="1188" t="s">
        <v>671</v>
      </c>
      <c r="B8" s="1188" t="s">
        <v>2687</v>
      </c>
      <c r="C8" s="1189"/>
      <c r="D8" s="1189"/>
      <c r="E8" s="1189"/>
      <c r="F8" s="1188" t="s">
        <v>2</v>
      </c>
      <c r="G8" s="1188" t="s">
        <v>3266</v>
      </c>
      <c r="H8" s="1188" t="s">
        <v>3845</v>
      </c>
      <c r="I8" s="1190">
        <v>0</v>
      </c>
      <c r="J8" s="1190">
        <v>171273</v>
      </c>
      <c r="K8" s="1190">
        <v>171273</v>
      </c>
      <c r="L8" s="609" t="str">
        <f t="shared" si="4"/>
        <v>70</v>
      </c>
      <c r="M8" s="610" t="str">
        <f t="shared" si="0"/>
        <v>PROFIT/PERTES JUILLET</v>
      </c>
      <c r="N8" s="611">
        <f>+IF(OR($Q8=Parametres!$G$2,$Q8=Parametres!$G$3),I8,C8)</f>
        <v>0</v>
      </c>
      <c r="O8" s="611">
        <f>+IF(OR($Q8=Parametres!$G$2,$Q8=Parametres!$G$3),J8,D8)</f>
        <v>171273</v>
      </c>
      <c r="P8" s="611">
        <f>+IF(OR($Q8=Parametres!$G$2,$Q8=Parametres!$G$3),K8,E8)</f>
        <v>171273</v>
      </c>
      <c r="Q8" s="610" t="str">
        <f t="shared" si="1"/>
        <v>1-Mémo</v>
      </c>
      <c r="R8" s="609" t="str">
        <f t="shared" si="2"/>
        <v>1</v>
      </c>
      <c r="S8" s="610" t="str">
        <f t="shared" si="3"/>
        <v>_</v>
      </c>
      <c r="T8" s="612" t="str">
        <f>+VLOOKUP($L8,Data_Validation!$A:$D,1,0)</f>
        <v>70</v>
      </c>
      <c r="U8" s="612">
        <f>+VLOOKUP($L8,Data_Validation!$A:$D,3,0)</f>
        <v>0</v>
      </c>
      <c r="V8" s="612">
        <f>+VLOOKUP($L8,Data_Validation!$A:$D,4,0)</f>
        <v>0</v>
      </c>
      <c r="W8" s="612">
        <f>+VLOOKUP($L8,Data_Validation!$A:$E,5,0)</f>
        <v>0</v>
      </c>
      <c r="X8" s="612">
        <f>+VLOOKUP($L8,Data_Validation!$A:$F,6,0)</f>
        <v>0</v>
      </c>
    </row>
    <row r="9" spans="1:26" ht="15" customHeight="1">
      <c r="A9" s="1188" t="s">
        <v>677</v>
      </c>
      <c r="B9" s="1188" t="s">
        <v>1619</v>
      </c>
      <c r="C9" s="1189"/>
      <c r="D9" s="1189"/>
      <c r="E9" s="1189"/>
      <c r="F9" s="1188" t="s">
        <v>2</v>
      </c>
      <c r="G9" s="1188" t="s">
        <v>3267</v>
      </c>
      <c r="H9" s="1188" t="s">
        <v>3845</v>
      </c>
      <c r="I9" s="1190">
        <v>2.14</v>
      </c>
      <c r="J9" s="1190">
        <v>0.48</v>
      </c>
      <c r="K9" s="1190">
        <v>2.62</v>
      </c>
      <c r="L9" s="609" t="str">
        <f t="shared" si="4"/>
        <v>229</v>
      </c>
      <c r="M9" s="610" t="str">
        <f t="shared" si="0"/>
        <v>CUMUL. VIS. CARR. VW</v>
      </c>
      <c r="N9" s="611">
        <f>+IF(OR($Q9=Parametres!$G$2,$Q9=Parametres!$G$3),I9,C9)</f>
        <v>2.14</v>
      </c>
      <c r="O9" s="615">
        <f>+IF(OR($Q9=Parametres!$G$2,$Q9=Parametres!$G$3),J9,D9)</f>
        <v>0.48</v>
      </c>
      <c r="P9" s="611">
        <f>+IF(OR($Q9=Parametres!$G$2,$Q9=Parametres!$G$3),K9,E9)</f>
        <v>2.62</v>
      </c>
      <c r="Q9" s="610" t="str">
        <f t="shared" si="1"/>
        <v>1-Mémo</v>
      </c>
      <c r="R9" s="609" t="str">
        <f t="shared" si="2"/>
        <v>23</v>
      </c>
      <c r="S9" s="610" t="str">
        <f t="shared" si="3"/>
        <v>_</v>
      </c>
      <c r="T9" s="612" t="str">
        <f>+VLOOKUP($L9,Data_Validation!$A:$D,1,0)</f>
        <v>229</v>
      </c>
      <c r="U9" s="612">
        <f>+VLOOKUP($L9,Data_Validation!$A:$D,3,0)</f>
        <v>0</v>
      </c>
      <c r="V9" s="612">
        <f>+VLOOKUP($L9,Data_Validation!$A:$D,4,0)</f>
        <v>0</v>
      </c>
      <c r="W9" s="612">
        <f>+VLOOKUP($L9,Data_Validation!$A:$E,5,0)</f>
        <v>0</v>
      </c>
      <c r="X9" s="612">
        <f>+VLOOKUP($L9,Data_Validation!$A:$F,6,0)</f>
        <v>0</v>
      </c>
    </row>
    <row r="10" spans="1:26" ht="15" customHeight="1">
      <c r="A10" s="1188" t="s">
        <v>678</v>
      </c>
      <c r="B10" s="1188" t="s">
        <v>1635</v>
      </c>
      <c r="C10" s="1189"/>
      <c r="D10" s="1189"/>
      <c r="E10" s="1189"/>
      <c r="F10" s="1188" t="s">
        <v>2</v>
      </c>
      <c r="G10" s="1188" t="s">
        <v>3267</v>
      </c>
      <c r="H10" s="1188" t="s">
        <v>3845</v>
      </c>
      <c r="I10" s="1190">
        <v>54.19</v>
      </c>
      <c r="J10" s="1190">
        <v>8.34</v>
      </c>
      <c r="K10" s="1190">
        <v>62.53</v>
      </c>
      <c r="L10" s="609" t="str">
        <f t="shared" si="4"/>
        <v>230</v>
      </c>
      <c r="M10" s="610" t="str">
        <f t="shared" si="0"/>
        <v>CUMUL. VIS. VEH. SERV. VW</v>
      </c>
      <c r="N10" s="611">
        <f>+IF(OR($Q10=Parametres!$G$2,$Q10=Parametres!$G$3),I10,C10)</f>
        <v>54.19</v>
      </c>
      <c r="O10" s="615">
        <f>+IF(OR($Q10=Parametres!$G$2,$Q10=Parametres!$G$3),J10,D10)</f>
        <v>8.34</v>
      </c>
      <c r="P10" s="611">
        <f>+IF(OR($Q10=Parametres!$G$2,$Q10=Parametres!$G$3),K10,E10)</f>
        <v>62.53</v>
      </c>
      <c r="Q10" s="610" t="str">
        <f t="shared" si="1"/>
        <v>1-Mémo</v>
      </c>
      <c r="R10" s="609" t="str">
        <f t="shared" si="2"/>
        <v>23</v>
      </c>
      <c r="S10" s="610" t="str">
        <f t="shared" si="3"/>
        <v>_</v>
      </c>
      <c r="T10" s="612" t="str">
        <f>+VLOOKUP($L10,Data_Validation!$A:$D,1,0)</f>
        <v>230</v>
      </c>
      <c r="U10" s="612">
        <f>+VLOOKUP($L10,Data_Validation!$A:$D,3,0)</f>
        <v>0</v>
      </c>
      <c r="V10" s="612">
        <f>+VLOOKUP($L10,Data_Validation!$A:$D,4,0)</f>
        <v>0</v>
      </c>
      <c r="W10" s="612" t="str">
        <f>+VLOOKUP($L10,Data_Validation!$A:$E,5,0)</f>
        <v>$</v>
      </c>
      <c r="X10" s="612">
        <f>+VLOOKUP($L10,Data_Validation!$A:$F,6,0)</f>
        <v>0</v>
      </c>
    </row>
    <row r="11" spans="1:26" ht="15" customHeight="1">
      <c r="A11" s="1188" t="s">
        <v>679</v>
      </c>
      <c r="B11" s="1188" t="s">
        <v>1643</v>
      </c>
      <c r="C11" s="1189"/>
      <c r="D11" s="1189"/>
      <c r="E11" s="1189"/>
      <c r="F11" s="1188" t="s">
        <v>2</v>
      </c>
      <c r="G11" s="1188" t="s">
        <v>3267</v>
      </c>
      <c r="H11" s="1188" t="s">
        <v>3845</v>
      </c>
      <c r="I11" s="1190">
        <v>122.77</v>
      </c>
      <c r="J11" s="1190">
        <v>17.13</v>
      </c>
      <c r="K11" s="1190">
        <v>139.9</v>
      </c>
      <c r="L11" s="609" t="str">
        <f t="shared" si="4"/>
        <v>234</v>
      </c>
      <c r="M11" s="610" t="str">
        <f t="shared" si="0"/>
        <v>TOTAL HRES PROD. SERVICE</v>
      </c>
      <c r="N11" s="611">
        <f>+IF(OR($Q11=Parametres!$G$2,$Q11=Parametres!$G$3),I11,C11)</f>
        <v>122.77</v>
      </c>
      <c r="O11" s="615">
        <f>+IF(OR($Q11=Parametres!$G$2,$Q11=Parametres!$G$3),J11,D11)</f>
        <v>17.13</v>
      </c>
      <c r="P11" s="611">
        <f>+IF(OR($Q11=Parametres!$G$2,$Q11=Parametres!$G$3),K11,E11)</f>
        <v>139.9</v>
      </c>
      <c r="Q11" s="610" t="str">
        <f t="shared" si="1"/>
        <v>1-Mémo</v>
      </c>
      <c r="R11" s="609" t="str">
        <f t="shared" si="2"/>
        <v>23</v>
      </c>
      <c r="S11" s="610" t="str">
        <f t="shared" si="3"/>
        <v>_</v>
      </c>
      <c r="T11" s="612" t="str">
        <f>+VLOOKUP($L11,Data_Validation!$A:$D,1,0)</f>
        <v>234</v>
      </c>
      <c r="U11" s="612">
        <f>+VLOOKUP($L11,Data_Validation!$A:$D,3,0)</f>
        <v>0</v>
      </c>
      <c r="V11" s="612">
        <f>+VLOOKUP($L11,Data_Validation!$A:$D,4,0)</f>
        <v>0</v>
      </c>
      <c r="W11" s="612">
        <f>+VLOOKUP($L11,Data_Validation!$A:$E,5,0)</f>
        <v>0</v>
      </c>
      <c r="X11" s="612">
        <f>+VLOOKUP($L11,Data_Validation!$A:$F,6,0)</f>
        <v>0</v>
      </c>
    </row>
    <row r="12" spans="1:26" ht="15" customHeight="1">
      <c r="A12" s="1188" t="s">
        <v>680</v>
      </c>
      <c r="B12" s="1188" t="s">
        <v>1655</v>
      </c>
      <c r="C12" s="1189"/>
      <c r="D12" s="1189"/>
      <c r="E12" s="1189"/>
      <c r="F12" s="1188" t="s">
        <v>2</v>
      </c>
      <c r="G12" s="1188" t="s">
        <v>3267</v>
      </c>
      <c r="H12" s="1188" t="s">
        <v>3845</v>
      </c>
      <c r="I12" s="1190">
        <v>124.54</v>
      </c>
      <c r="J12" s="1190">
        <v>17.41</v>
      </c>
      <c r="K12" s="1190">
        <v>141.94999999999999</v>
      </c>
      <c r="L12" s="609" t="str">
        <f t="shared" si="4"/>
        <v>236</v>
      </c>
      <c r="M12" s="610" t="str">
        <f t="shared" si="0"/>
        <v>HEURES VENDU VW - SERVICE</v>
      </c>
      <c r="N12" s="611">
        <f>+IF(OR($Q12=Parametres!$G$2,$Q12=Parametres!$G$3),I12,C12)</f>
        <v>124.54</v>
      </c>
      <c r="O12" s="611">
        <f>+IF(OR($Q12=Parametres!$G$2,$Q12=Parametres!$G$3),J12,D12)</f>
        <v>17.41</v>
      </c>
      <c r="P12" s="611">
        <f>+IF(OR($Q12=Parametres!$G$2,$Q12=Parametres!$G$3),K12,E12)</f>
        <v>141.94999999999999</v>
      </c>
      <c r="Q12" s="610" t="str">
        <f t="shared" si="1"/>
        <v>1-Mémo</v>
      </c>
      <c r="R12" s="609" t="str">
        <f t="shared" si="2"/>
        <v>23</v>
      </c>
      <c r="S12" s="610" t="str">
        <f t="shared" si="3"/>
        <v>_</v>
      </c>
      <c r="T12" s="612" t="str">
        <f>+VLOOKUP($L12,Data_Validation!$A:$D,1,0)</f>
        <v>236</v>
      </c>
      <c r="U12" s="612">
        <f>+VLOOKUP($L12,Data_Validation!$A:$D,3,0)</f>
        <v>0</v>
      </c>
      <c r="V12" s="612">
        <f>+VLOOKUP($L12,Data_Validation!$A:$D,4,0)</f>
        <v>0</v>
      </c>
      <c r="W12" s="612">
        <f>+VLOOKUP($L12,Data_Validation!$A:$E,5,0)</f>
        <v>0</v>
      </c>
      <c r="X12" s="612">
        <f>+VLOOKUP($L12,Data_Validation!$A:$F,6,0)</f>
        <v>0</v>
      </c>
    </row>
    <row r="13" spans="1:26" ht="15" customHeight="1">
      <c r="A13" s="1188" t="s">
        <v>681</v>
      </c>
      <c r="B13" s="1188" t="s">
        <v>1658</v>
      </c>
      <c r="C13" s="1189"/>
      <c r="D13" s="1189"/>
      <c r="E13" s="1189"/>
      <c r="F13" s="1188" t="s">
        <v>2</v>
      </c>
      <c r="G13" s="1188" t="s">
        <v>3267</v>
      </c>
      <c r="H13" s="1188" t="s">
        <v>3845</v>
      </c>
      <c r="I13" s="1190">
        <v>130.47999999999999</v>
      </c>
      <c r="J13" s="1190">
        <v>17.79</v>
      </c>
      <c r="K13" s="1190">
        <v>148.27000000000001</v>
      </c>
      <c r="L13" s="609" t="str">
        <f t="shared" si="4"/>
        <v>238</v>
      </c>
      <c r="M13" s="610" t="str">
        <f t="shared" si="0"/>
        <v>TOT. HEURES DISP. SERVICE</v>
      </c>
      <c r="N13" s="611">
        <f>+IF(OR($Q13=Parametres!$G$2,$Q13=Parametres!$G$3),I13,C13)</f>
        <v>130.47999999999999</v>
      </c>
      <c r="O13" s="611">
        <f>+IF(OR($Q13=Parametres!$G$2,$Q13=Parametres!$G$3),J13,D13)</f>
        <v>17.79</v>
      </c>
      <c r="P13" s="611">
        <f>+IF(OR($Q13=Parametres!$G$2,$Q13=Parametres!$G$3),K13,E13)</f>
        <v>148.27000000000001</v>
      </c>
      <c r="Q13" s="610" t="str">
        <f t="shared" si="1"/>
        <v>1-Mémo</v>
      </c>
      <c r="R13" s="609" t="str">
        <f t="shared" si="2"/>
        <v>23</v>
      </c>
      <c r="S13" s="610" t="str">
        <f t="shared" si="3"/>
        <v>_</v>
      </c>
      <c r="T13" s="612" t="str">
        <f>+VLOOKUP($L13,Data_Validation!$A:$D,1,0)</f>
        <v>238</v>
      </c>
      <c r="U13" s="612">
        <f>+VLOOKUP($L13,Data_Validation!$A:$D,3,0)</f>
        <v>0</v>
      </c>
      <c r="V13" s="612">
        <f>+VLOOKUP($L13,Data_Validation!$A:$D,4,0)</f>
        <v>0</v>
      </c>
      <c r="W13" s="612">
        <f>+VLOOKUP($L13,Data_Validation!$A:$E,5,0)</f>
        <v>0</v>
      </c>
      <c r="X13" s="612">
        <f>+VLOOKUP($L13,Data_Validation!$A:$F,6,0)</f>
        <v>0</v>
      </c>
    </row>
    <row r="14" spans="1:26" ht="15" customHeight="1">
      <c r="A14" s="1188" t="s">
        <v>3602</v>
      </c>
      <c r="B14" s="1188" t="s">
        <v>1663</v>
      </c>
      <c r="C14" s="1189"/>
      <c r="D14" s="1189"/>
      <c r="E14" s="1189"/>
      <c r="F14" s="1188" t="s">
        <v>2</v>
      </c>
      <c r="G14" s="1188" t="s">
        <v>3268</v>
      </c>
      <c r="H14" s="1188" t="s">
        <v>3845</v>
      </c>
      <c r="I14" s="1190">
        <v>169.95</v>
      </c>
      <c r="J14" s="1190">
        <v>0</v>
      </c>
      <c r="K14" s="1190">
        <v>169.95</v>
      </c>
      <c r="L14" s="609" t="str">
        <f t="shared" si="4"/>
        <v>243</v>
      </c>
      <c r="M14" s="610" t="str">
        <f t="shared" si="0"/>
        <v>TAUX MAIN D'OEUVRE - VW - MCI - CLIENT</v>
      </c>
      <c r="N14" s="611">
        <f>+IF(OR($Q14=Parametres!$G$2,$Q14=Parametres!$G$3),I14,C14)</f>
        <v>169.95</v>
      </c>
      <c r="O14" s="611">
        <f>+IF(OR($Q14=Parametres!$G$2,$Q14=Parametres!$G$3),J14,D14)</f>
        <v>0</v>
      </c>
      <c r="P14" s="611">
        <f>+IF(OR($Q14=Parametres!$G$2,$Q14=Parametres!$G$3),K14,E14)</f>
        <v>169.95</v>
      </c>
      <c r="Q14" s="610" t="str">
        <f t="shared" si="1"/>
        <v>1-Mémo</v>
      </c>
      <c r="R14" s="609" t="str">
        <f t="shared" si="2"/>
        <v>24</v>
      </c>
      <c r="S14" s="610" t="str">
        <f t="shared" si="3"/>
        <v>_</v>
      </c>
      <c r="T14" s="612" t="str">
        <f>+VLOOKUP($L14,Data_Validation!$A:$D,1,0)</f>
        <v>243</v>
      </c>
      <c r="U14" s="612">
        <f>+VLOOKUP($L14,Data_Validation!$A:$D,3,0)</f>
        <v>0</v>
      </c>
      <c r="V14" s="612">
        <f>+VLOOKUP($L14,Data_Validation!$A:$D,4,0)</f>
        <v>0</v>
      </c>
      <c r="W14" s="612">
        <f>+VLOOKUP($L14,Data_Validation!$A:$E,5,0)</f>
        <v>0</v>
      </c>
      <c r="X14" s="612">
        <f>+VLOOKUP($L14,Data_Validation!$A:$F,6,0)</f>
        <v>0</v>
      </c>
    </row>
    <row r="15" spans="1:26" ht="15" customHeight="1">
      <c r="A15" s="1188" t="s">
        <v>3603</v>
      </c>
      <c r="B15" s="1188" t="s">
        <v>1666</v>
      </c>
      <c r="C15" s="1189"/>
      <c r="D15" s="1189"/>
      <c r="E15" s="1189"/>
      <c r="F15" s="1188" t="s">
        <v>2</v>
      </c>
      <c r="G15" s="1188" t="s">
        <v>3268</v>
      </c>
      <c r="H15" s="1188" t="s">
        <v>3845</v>
      </c>
      <c r="I15" s="1190">
        <v>142.97</v>
      </c>
      <c r="J15" s="1190">
        <v>0</v>
      </c>
      <c r="K15" s="1190">
        <v>142.97</v>
      </c>
      <c r="L15" s="609" t="str">
        <f t="shared" si="4"/>
        <v>244</v>
      </c>
      <c r="M15" s="610" t="str">
        <f t="shared" si="0"/>
        <v>TAUX MAIN D'OEUVRE - VW - MCI - GARANTIE</v>
      </c>
      <c r="N15" s="611">
        <f>+IF(OR($Q15=Parametres!$G$2,$Q15=Parametres!$G$3),I15,C15)</f>
        <v>142.97</v>
      </c>
      <c r="O15" s="611">
        <f>+IF(OR($Q15=Parametres!$G$2,$Q15=Parametres!$G$3),J15,D15)</f>
        <v>0</v>
      </c>
      <c r="P15" s="611">
        <f>+IF(OR($Q15=Parametres!$G$2,$Q15=Parametres!$G$3),K15,E15)</f>
        <v>142.97</v>
      </c>
      <c r="Q15" s="610" t="str">
        <f t="shared" si="1"/>
        <v>1-Mémo</v>
      </c>
      <c r="R15" s="609" t="str">
        <f t="shared" si="2"/>
        <v>24</v>
      </c>
      <c r="S15" s="610" t="str">
        <f t="shared" si="3"/>
        <v>_</v>
      </c>
      <c r="T15" s="612" t="str">
        <f>+VLOOKUP($L15,Data_Validation!$A:$D,1,0)</f>
        <v>244</v>
      </c>
      <c r="U15" s="612">
        <f>+VLOOKUP($L15,Data_Validation!$A:$D,3,0)</f>
        <v>0</v>
      </c>
      <c r="V15" s="612">
        <f>+VLOOKUP($L15,Data_Validation!$A:$D,4,0)</f>
        <v>0</v>
      </c>
      <c r="W15" s="612">
        <f>+VLOOKUP($L15,Data_Validation!$A:$E,5,0)</f>
        <v>0</v>
      </c>
      <c r="X15" s="612">
        <f>+VLOOKUP($L15,Data_Validation!$A:$F,6,0)</f>
        <v>0</v>
      </c>
    </row>
    <row r="16" spans="1:26" ht="15" customHeight="1">
      <c r="A16" s="1188" t="s">
        <v>3604</v>
      </c>
      <c r="B16" s="1188" t="s">
        <v>1669</v>
      </c>
      <c r="C16" s="1189"/>
      <c r="D16" s="1189"/>
      <c r="E16" s="1189"/>
      <c r="F16" s="1188" t="s">
        <v>2</v>
      </c>
      <c r="G16" s="1188" t="s">
        <v>3268</v>
      </c>
      <c r="H16" s="1188" t="s">
        <v>3845</v>
      </c>
      <c r="I16" s="1190">
        <v>169.95</v>
      </c>
      <c r="J16" s="1190">
        <v>0</v>
      </c>
      <c r="K16" s="1190">
        <v>169.95</v>
      </c>
      <c r="L16" s="609" t="str">
        <f t="shared" si="4"/>
        <v>245</v>
      </c>
      <c r="M16" s="610" t="str">
        <f t="shared" si="0"/>
        <v>TAUX MAIN D'OEUVRE - VW - MCI - INTERNE</v>
      </c>
      <c r="N16" s="611">
        <f>+IF(OR($Q16=Parametres!$G$2,$Q16=Parametres!$G$3),I16,C16)</f>
        <v>169.95</v>
      </c>
      <c r="O16" s="611">
        <f>+IF(OR($Q16=Parametres!$G$2,$Q16=Parametres!$G$3),J16,D16)</f>
        <v>0</v>
      </c>
      <c r="P16" s="611">
        <f>+IF(OR($Q16=Parametres!$G$2,$Q16=Parametres!$G$3),K16,E16)</f>
        <v>169.95</v>
      </c>
      <c r="Q16" s="610" t="str">
        <f t="shared" si="1"/>
        <v>1-Mémo</v>
      </c>
      <c r="R16" s="609" t="str">
        <f t="shared" si="2"/>
        <v>24</v>
      </c>
      <c r="S16" s="610" t="str">
        <f t="shared" si="3"/>
        <v>_</v>
      </c>
      <c r="T16" s="612" t="str">
        <f>+VLOOKUP($L16,Data_Validation!$A:$D,1,0)</f>
        <v>245</v>
      </c>
      <c r="U16" s="612">
        <f>+VLOOKUP($L16,Data_Validation!$A:$D,3,0)</f>
        <v>0</v>
      </c>
      <c r="V16" s="612">
        <f>+VLOOKUP($L16,Data_Validation!$A:$D,4,0)</f>
        <v>0</v>
      </c>
      <c r="W16" s="612">
        <f>+VLOOKUP($L16,Data_Validation!$A:$E,5,0)</f>
        <v>0</v>
      </c>
      <c r="X16" s="612">
        <f>+VLOOKUP($L16,Data_Validation!$A:$F,6,0)</f>
        <v>0</v>
      </c>
    </row>
    <row r="17" spans="1:24" ht="15" customHeight="1">
      <c r="A17" s="1188" t="s">
        <v>3605</v>
      </c>
      <c r="B17" s="1188" t="s">
        <v>1672</v>
      </c>
      <c r="C17" s="1189"/>
      <c r="D17" s="1189"/>
      <c r="E17" s="1189"/>
      <c r="F17" s="1188" t="s">
        <v>2</v>
      </c>
      <c r="G17" s="1188" t="s">
        <v>3268</v>
      </c>
      <c r="H17" s="1188" t="s">
        <v>3845</v>
      </c>
      <c r="I17" s="1190">
        <v>75</v>
      </c>
      <c r="J17" s="1190">
        <v>0</v>
      </c>
      <c r="K17" s="1190">
        <v>75</v>
      </c>
      <c r="L17" s="609" t="str">
        <f t="shared" si="4"/>
        <v>246</v>
      </c>
      <c r="M17" s="610" t="str">
        <f t="shared" si="0"/>
        <v>TAUX MAIN D'OEUVRE - VW - MCI - CARROSSERIE</v>
      </c>
      <c r="N17" s="611">
        <f>+IF(OR($Q17=Parametres!$G$2,$Q17=Parametres!$G$3),I17,C17)</f>
        <v>75</v>
      </c>
      <c r="O17" s="611">
        <f>+IF(OR($Q17=Parametres!$G$2,$Q17=Parametres!$G$3),J17,D17)</f>
        <v>0</v>
      </c>
      <c r="P17" s="611">
        <f>+IF(OR($Q17=Parametres!$G$2,$Q17=Parametres!$G$3),K17,E17)</f>
        <v>75</v>
      </c>
      <c r="Q17" s="610" t="str">
        <f t="shared" si="1"/>
        <v>1-Mémo</v>
      </c>
      <c r="R17" s="609" t="str">
        <f t="shared" si="2"/>
        <v>24</v>
      </c>
      <c r="S17" s="610" t="str">
        <f t="shared" si="3"/>
        <v>_</v>
      </c>
      <c r="T17" s="612" t="str">
        <f>+VLOOKUP($L17,Data_Validation!$A:$D,1,0)</f>
        <v>246</v>
      </c>
      <c r="U17" s="612">
        <f>+VLOOKUP($L17,Data_Validation!$A:$D,3,0)</f>
        <v>0</v>
      </c>
      <c r="V17" s="612">
        <f>+VLOOKUP($L17,Data_Validation!$A:$D,4,0)</f>
        <v>0</v>
      </c>
      <c r="W17" s="612">
        <f>+VLOOKUP($L17,Data_Validation!$A:$E,5,0)</f>
        <v>0</v>
      </c>
      <c r="X17" s="612">
        <f>+VLOOKUP($L17,Data_Validation!$A:$F,6,0)</f>
        <v>0</v>
      </c>
    </row>
    <row r="18" spans="1:24" ht="15" customHeight="1">
      <c r="A18" s="1188" t="s">
        <v>686</v>
      </c>
      <c r="B18" s="1188" t="s">
        <v>687</v>
      </c>
      <c r="C18" s="1189"/>
      <c r="D18" s="1189"/>
      <c r="E18" s="1189"/>
      <c r="F18" s="1188" t="s">
        <v>2</v>
      </c>
      <c r="G18" s="1188" t="s">
        <v>687</v>
      </c>
      <c r="H18" s="1188" t="s">
        <v>3845</v>
      </c>
      <c r="I18" s="1190">
        <v>0.14000000000000001</v>
      </c>
      <c r="J18" s="1190">
        <v>0</v>
      </c>
      <c r="K18" s="1190">
        <v>0.14000000000000001</v>
      </c>
      <c r="L18" s="609" t="str">
        <f t="shared" si="4"/>
        <v>255</v>
      </c>
      <c r="M18" s="610" t="str">
        <f t="shared" si="0"/>
        <v>BAIES TRAVAIL PRODUCTIVES - SERVICE VW</v>
      </c>
      <c r="N18" s="611">
        <f>+IF(OR($Q18=Parametres!$G$2,$Q18=Parametres!$G$3),I18,C18)</f>
        <v>0.14000000000000001</v>
      </c>
      <c r="O18" s="611">
        <f>+IF(OR($Q18=Parametres!$G$2,$Q18=Parametres!$G$3),J18,D18)</f>
        <v>0</v>
      </c>
      <c r="P18" s="611">
        <f>+IF(OR($Q18=Parametres!$G$2,$Q18=Parametres!$G$3),K18,E18)</f>
        <v>0.14000000000000001</v>
      </c>
      <c r="Q18" s="610" t="str">
        <f t="shared" si="1"/>
        <v>1-Mémo</v>
      </c>
      <c r="R18" s="609" t="str">
        <f t="shared" si="2"/>
        <v>255</v>
      </c>
      <c r="S18" s="610" t="str">
        <f t="shared" si="3"/>
        <v>_</v>
      </c>
      <c r="T18" s="612" t="str">
        <f>+VLOOKUP($L18,Data_Validation!$A:$D,1,0)</f>
        <v>255</v>
      </c>
      <c r="U18" s="612">
        <f>+VLOOKUP($L18,Data_Validation!$A:$D,3,0)</f>
        <v>0</v>
      </c>
      <c r="V18" s="612">
        <f>+VLOOKUP($L18,Data_Validation!$A:$D,4,0)</f>
        <v>0</v>
      </c>
      <c r="W18" s="612">
        <f>+VLOOKUP($L18,Data_Validation!$A:$E,5,0)</f>
        <v>0</v>
      </c>
      <c r="X18" s="612">
        <f>+VLOOKUP($L18,Data_Validation!$A:$F,6,0)</f>
        <v>0</v>
      </c>
    </row>
    <row r="19" spans="1:24" ht="15" customHeight="1">
      <c r="A19" s="1188" t="s">
        <v>3606</v>
      </c>
      <c r="B19" s="1188" t="s">
        <v>689</v>
      </c>
      <c r="C19" s="1189"/>
      <c r="D19" s="1189"/>
      <c r="E19" s="1189"/>
      <c r="F19" s="1188" t="s">
        <v>2</v>
      </c>
      <c r="G19" s="1188" t="s">
        <v>689</v>
      </c>
      <c r="H19" s="1188" t="s">
        <v>3845</v>
      </c>
      <c r="I19" s="1190">
        <v>5742.95</v>
      </c>
      <c r="J19" s="1190">
        <v>873.85</v>
      </c>
      <c r="K19" s="1190">
        <v>6616.8</v>
      </c>
      <c r="L19" s="609" t="str">
        <f t="shared" si="4"/>
        <v>257</v>
      </c>
      <c r="M19" s="610" t="str">
        <f t="shared" si="0"/>
        <v>HEURES VENDUES - SVC - VW - MCI - CLIENT</v>
      </c>
      <c r="N19" s="611">
        <f>+IF(OR($Q19=Parametres!$G$2,$Q19=Parametres!$G$3),I19,C19)</f>
        <v>5742.95</v>
      </c>
      <c r="O19" s="615">
        <f>+IF(OR($Q19=Parametres!$G$2,$Q19=Parametres!$G$3),J19,D19)</f>
        <v>873.85</v>
      </c>
      <c r="P19" s="611">
        <f>+IF(OR($Q19=Parametres!$G$2,$Q19=Parametres!$G$3),K19,E19)</f>
        <v>6616.8</v>
      </c>
      <c r="Q19" s="610" t="str">
        <f t="shared" si="1"/>
        <v>1-Mémo</v>
      </c>
      <c r="R19" s="609" t="str">
        <f t="shared" si="2"/>
        <v>257</v>
      </c>
      <c r="S19" s="610" t="str">
        <f t="shared" si="3"/>
        <v>_</v>
      </c>
      <c r="T19" s="612" t="str">
        <f>+VLOOKUP($L19,Data_Validation!$A:$D,1,0)</f>
        <v>257</v>
      </c>
      <c r="U19" s="612">
        <f>+VLOOKUP($L19,Data_Validation!$A:$D,3,0)</f>
        <v>0</v>
      </c>
      <c r="V19" s="612">
        <f>+VLOOKUP($L19,Data_Validation!$A:$D,4,0)</f>
        <v>0</v>
      </c>
      <c r="W19" s="612">
        <f>+VLOOKUP($L19,Data_Validation!$A:$E,5,0)</f>
        <v>0</v>
      </c>
      <c r="X19" s="612">
        <f>+VLOOKUP($L19,Data_Validation!$A:$F,6,0)</f>
        <v>0</v>
      </c>
    </row>
    <row r="20" spans="1:24" ht="15" customHeight="1">
      <c r="A20" s="1188" t="s">
        <v>3607</v>
      </c>
      <c r="B20" s="1188" t="s">
        <v>1695</v>
      </c>
      <c r="C20" s="1189"/>
      <c r="D20" s="1189"/>
      <c r="E20" s="1189"/>
      <c r="F20" s="1188" t="s">
        <v>2</v>
      </c>
      <c r="G20" s="1188" t="s">
        <v>689</v>
      </c>
      <c r="H20" s="1188" t="s">
        <v>3845</v>
      </c>
      <c r="I20" s="1190">
        <v>2965.5</v>
      </c>
      <c r="J20" s="1190">
        <v>517.1</v>
      </c>
      <c r="K20" s="1190">
        <v>3482.6</v>
      </c>
      <c r="L20" s="609" t="str">
        <f t="shared" si="4"/>
        <v>258</v>
      </c>
      <c r="M20" s="610" t="str">
        <f t="shared" si="0"/>
        <v>HEURES VENDUES - SVC - VW - MCI - GARANTIE</v>
      </c>
      <c r="N20" s="611">
        <f>+IF(OR($Q20=Parametres!$G$2,$Q20=Parametres!$G$3),I20,C20)</f>
        <v>2965.5</v>
      </c>
      <c r="O20" s="611">
        <f>+IF(OR($Q20=Parametres!$G$2,$Q20=Parametres!$G$3),J20,D20)</f>
        <v>517.1</v>
      </c>
      <c r="P20" s="611">
        <f>+IF(OR($Q20=Parametres!$G$2,$Q20=Parametres!$G$3),K20,E20)</f>
        <v>3482.6</v>
      </c>
      <c r="Q20" s="610" t="str">
        <f t="shared" si="1"/>
        <v>1-Mémo</v>
      </c>
      <c r="R20" s="609" t="str">
        <f t="shared" si="2"/>
        <v>257</v>
      </c>
      <c r="S20" s="610" t="str">
        <f t="shared" si="3"/>
        <v>_</v>
      </c>
      <c r="T20" s="612" t="str">
        <f>+VLOOKUP($L20,Data_Validation!$A:$D,1,0)</f>
        <v>258</v>
      </c>
      <c r="U20" s="612">
        <f>+VLOOKUP($L20,Data_Validation!$A:$D,3,0)</f>
        <v>0</v>
      </c>
      <c r="V20" s="612">
        <f>+VLOOKUP($L20,Data_Validation!$A:$D,4,0)</f>
        <v>0</v>
      </c>
      <c r="W20" s="612">
        <f>+VLOOKUP($L20,Data_Validation!$A:$E,5,0)</f>
        <v>0</v>
      </c>
      <c r="X20" s="612">
        <f>+VLOOKUP($L20,Data_Validation!$A:$F,6,0)</f>
        <v>0</v>
      </c>
    </row>
    <row r="21" spans="1:24" ht="15" customHeight="1">
      <c r="A21" s="1188" t="s">
        <v>3608</v>
      </c>
      <c r="B21" s="1188" t="s">
        <v>1698</v>
      </c>
      <c r="C21" s="1189"/>
      <c r="D21" s="1189"/>
      <c r="E21" s="1189"/>
      <c r="F21" s="1188" t="s">
        <v>2</v>
      </c>
      <c r="G21" s="1188" t="s">
        <v>689</v>
      </c>
      <c r="H21" s="1188" t="s">
        <v>3845</v>
      </c>
      <c r="I21" s="1190">
        <v>3744.94</v>
      </c>
      <c r="J21" s="1190">
        <v>350.3</v>
      </c>
      <c r="K21" s="1190">
        <v>4095.24</v>
      </c>
      <c r="L21" s="609" t="str">
        <f t="shared" si="4"/>
        <v>259</v>
      </c>
      <c r="M21" s="610" t="str">
        <f t="shared" si="0"/>
        <v>HEURES VENDUES - SVC - VW - MCI - INTERNE</v>
      </c>
      <c r="N21" s="611">
        <f>+IF(OR($Q21=Parametres!$G$2,$Q21=Parametres!$G$3),I21,C21)</f>
        <v>3744.94</v>
      </c>
      <c r="O21" s="611">
        <f>+IF(OR($Q21=Parametres!$G$2,$Q21=Parametres!$G$3),J21,D21)</f>
        <v>350.3</v>
      </c>
      <c r="P21" s="611">
        <f>+IF(OR($Q21=Parametres!$G$2,$Q21=Parametres!$G$3),K21,E21)</f>
        <v>4095.24</v>
      </c>
      <c r="Q21" s="610" t="str">
        <f t="shared" si="1"/>
        <v>1-Mémo</v>
      </c>
      <c r="R21" s="609" t="str">
        <f t="shared" si="2"/>
        <v>257</v>
      </c>
      <c r="S21" s="610" t="str">
        <f t="shared" si="3"/>
        <v>_</v>
      </c>
      <c r="T21" s="612" t="str">
        <f>+VLOOKUP($L21,Data_Validation!$A:$D,1,0)</f>
        <v>259</v>
      </c>
      <c r="U21" s="612">
        <f>+VLOOKUP($L21,Data_Validation!$A:$D,3,0)</f>
        <v>0</v>
      </c>
      <c r="V21" s="612">
        <f>+VLOOKUP($L21,Data_Validation!$A:$D,4,0)</f>
        <v>0</v>
      </c>
      <c r="W21" s="612">
        <f>+VLOOKUP($L21,Data_Validation!$A:$E,5,0)</f>
        <v>0</v>
      </c>
      <c r="X21" s="612">
        <f>+VLOOKUP($L21,Data_Validation!$A:$F,6,0)</f>
        <v>0</v>
      </c>
    </row>
    <row r="22" spans="1:24" ht="15" customHeight="1">
      <c r="A22" s="1188" t="s">
        <v>3851</v>
      </c>
      <c r="B22" s="1188" t="s">
        <v>3852</v>
      </c>
      <c r="C22" s="1189"/>
      <c r="D22" s="1189"/>
      <c r="E22" s="1189"/>
      <c r="F22" s="1188" t="s">
        <v>2</v>
      </c>
      <c r="G22" s="1188" t="s">
        <v>3853</v>
      </c>
      <c r="H22" s="1188" t="s">
        <v>3845</v>
      </c>
      <c r="I22" s="1190">
        <v>169.95</v>
      </c>
      <c r="J22" s="1190">
        <v>0</v>
      </c>
      <c r="K22" s="1190">
        <v>169.95</v>
      </c>
      <c r="L22" s="609" t="str">
        <f t="shared" si="4"/>
        <v>266</v>
      </c>
      <c r="M22" s="610" t="str">
        <f t="shared" si="0"/>
        <v>TAUX MAIN D'OEUVRE - CLIENT - VW - VEB</v>
      </c>
      <c r="N22" s="611">
        <f>+IF(OR($Q22=Parametres!$G$2,$Q22=Parametres!$G$3),I22,C22)</f>
        <v>169.95</v>
      </c>
      <c r="O22" s="611">
        <f>+IF(OR($Q22=Parametres!$G$2,$Q22=Parametres!$G$3),J22,D22)</f>
        <v>0</v>
      </c>
      <c r="P22" s="611">
        <f>+IF(OR($Q22=Parametres!$G$2,$Q22=Parametres!$G$3),K22,E22)</f>
        <v>169.95</v>
      </c>
      <c r="Q22" s="610" t="str">
        <f t="shared" si="1"/>
        <v>1-Mémo</v>
      </c>
      <c r="R22" s="609" t="str">
        <f t="shared" si="2"/>
        <v>26</v>
      </c>
      <c r="S22" s="610" t="str">
        <f t="shared" si="3"/>
        <v>_</v>
      </c>
      <c r="T22" s="612" t="e">
        <f>+VLOOKUP($L22,Data_Validation!$A:$D,1,0)</f>
        <v>#N/A</v>
      </c>
      <c r="U22" s="612" t="e">
        <f>+VLOOKUP($L22,Data_Validation!$A:$D,3,0)</f>
        <v>#N/A</v>
      </c>
      <c r="V22" s="612" t="e">
        <f>+VLOOKUP($L22,Data_Validation!$A:$D,4,0)</f>
        <v>#N/A</v>
      </c>
      <c r="W22" s="612" t="e">
        <f>+VLOOKUP($L22,Data_Validation!$A:$E,5,0)</f>
        <v>#N/A</v>
      </c>
      <c r="X22" s="612" t="e">
        <f>+VLOOKUP($L22,Data_Validation!$A:$F,6,0)</f>
        <v>#N/A</v>
      </c>
    </row>
    <row r="23" spans="1:24" ht="15" customHeight="1">
      <c r="A23" s="1188" t="s">
        <v>3854</v>
      </c>
      <c r="B23" s="1188" t="s">
        <v>3855</v>
      </c>
      <c r="C23" s="1189"/>
      <c r="D23" s="1189"/>
      <c r="E23" s="1189"/>
      <c r="F23" s="1188" t="s">
        <v>2</v>
      </c>
      <c r="G23" s="1188" t="s">
        <v>3853</v>
      </c>
      <c r="H23" s="1188" t="s">
        <v>3845</v>
      </c>
      <c r="I23" s="1190">
        <v>142.97</v>
      </c>
      <c r="J23" s="1190">
        <v>0</v>
      </c>
      <c r="K23" s="1190">
        <v>142.97</v>
      </c>
      <c r="L23" s="609" t="str">
        <f t="shared" si="4"/>
        <v>267</v>
      </c>
      <c r="M23" s="610" t="str">
        <f t="shared" si="0"/>
        <v>TAUX MAIN D'OEUVRE - GARANTIE - VW - VEB</v>
      </c>
      <c r="N23" s="611">
        <f>+IF(OR($Q23=Parametres!$G$2,$Q23=Parametres!$G$3),I23,C23)</f>
        <v>142.97</v>
      </c>
      <c r="O23" s="611">
        <f>+IF(OR($Q23=Parametres!$G$2,$Q23=Parametres!$G$3),J23,D23)</f>
        <v>0</v>
      </c>
      <c r="P23" s="611">
        <f>+IF(OR($Q23=Parametres!$G$2,$Q23=Parametres!$G$3),K23,E23)</f>
        <v>142.97</v>
      </c>
      <c r="Q23" s="610" t="str">
        <f t="shared" si="1"/>
        <v>1-Mémo</v>
      </c>
      <c r="R23" s="609" t="str">
        <f t="shared" si="2"/>
        <v>26</v>
      </c>
      <c r="S23" s="610" t="str">
        <f t="shared" si="3"/>
        <v>_</v>
      </c>
      <c r="T23" s="612" t="e">
        <f>+VLOOKUP($L23,Data_Validation!$A:$D,1,0)</f>
        <v>#N/A</v>
      </c>
      <c r="U23" s="612" t="e">
        <f>+VLOOKUP($L23,Data_Validation!$A:$D,3,0)</f>
        <v>#N/A</v>
      </c>
      <c r="V23" s="612" t="e">
        <f>+VLOOKUP($L23,Data_Validation!$A:$D,4,0)</f>
        <v>#N/A</v>
      </c>
      <c r="W23" s="612" t="e">
        <f>+VLOOKUP($L23,Data_Validation!$A:$E,5,0)</f>
        <v>#N/A</v>
      </c>
      <c r="X23" s="612" t="e">
        <f>+VLOOKUP($L23,Data_Validation!$A:$F,6,0)</f>
        <v>#N/A</v>
      </c>
    </row>
    <row r="24" spans="1:24" ht="15" customHeight="1">
      <c r="A24" s="1188" t="s">
        <v>3856</v>
      </c>
      <c r="B24" s="1188" t="s">
        <v>3857</v>
      </c>
      <c r="C24" s="1189"/>
      <c r="D24" s="1189"/>
      <c r="E24" s="1189"/>
      <c r="F24" s="1188" t="s">
        <v>2</v>
      </c>
      <c r="G24" s="1188" t="s">
        <v>3853</v>
      </c>
      <c r="H24" s="1188" t="s">
        <v>3845</v>
      </c>
      <c r="I24" s="1190">
        <v>169.95</v>
      </c>
      <c r="J24" s="1190">
        <v>0</v>
      </c>
      <c r="K24" s="1190">
        <v>169.95</v>
      </c>
      <c r="L24" s="609" t="str">
        <f t="shared" si="4"/>
        <v>268</v>
      </c>
      <c r="M24" s="610" t="str">
        <f t="shared" si="0"/>
        <v>TAUX MAIN D'OEUVRE - INTERNE - VW - VEB</v>
      </c>
      <c r="N24" s="611">
        <f>+IF(OR($Q24=Parametres!$G$2,$Q24=Parametres!$G$3),I24,C24)</f>
        <v>169.95</v>
      </c>
      <c r="O24" s="611">
        <f>+IF(OR($Q24=Parametres!$G$2,$Q24=Parametres!$G$3),J24,D24)</f>
        <v>0</v>
      </c>
      <c r="P24" s="611">
        <f>+IF(OR($Q24=Parametres!$G$2,$Q24=Parametres!$G$3),K24,E24)</f>
        <v>169.95</v>
      </c>
      <c r="Q24" s="610" t="str">
        <f t="shared" si="1"/>
        <v>1-Mémo</v>
      </c>
      <c r="R24" s="609" t="str">
        <f t="shared" si="2"/>
        <v>26</v>
      </c>
      <c r="S24" s="610" t="str">
        <f t="shared" si="3"/>
        <v>_</v>
      </c>
      <c r="T24" s="612" t="e">
        <f>+VLOOKUP($L24,Data_Validation!$A:$D,1,0)</f>
        <v>#N/A</v>
      </c>
      <c r="U24" s="612" t="e">
        <f>+VLOOKUP($L24,Data_Validation!$A:$D,3,0)</f>
        <v>#N/A</v>
      </c>
      <c r="V24" s="612" t="e">
        <f>+VLOOKUP($L24,Data_Validation!$A:$D,4,0)</f>
        <v>#N/A</v>
      </c>
      <c r="W24" s="612" t="e">
        <f>+VLOOKUP($L24,Data_Validation!$A:$E,5,0)</f>
        <v>#N/A</v>
      </c>
      <c r="X24" s="612" t="e">
        <f>+VLOOKUP($L24,Data_Validation!$A:$F,6,0)</f>
        <v>#N/A</v>
      </c>
    </row>
    <row r="25" spans="1:24" ht="15" customHeight="1">
      <c r="A25" s="1188" t="s">
        <v>3858</v>
      </c>
      <c r="B25" s="1188" t="s">
        <v>3859</v>
      </c>
      <c r="C25" s="1189"/>
      <c r="D25" s="1189"/>
      <c r="E25" s="1189"/>
      <c r="F25" s="1188" t="s">
        <v>2</v>
      </c>
      <c r="G25" s="1188" t="s">
        <v>3853</v>
      </c>
      <c r="H25" s="1188" t="s">
        <v>3845</v>
      </c>
      <c r="I25" s="1190">
        <v>75</v>
      </c>
      <c r="J25" s="1190">
        <v>0</v>
      </c>
      <c r="K25" s="1190">
        <v>75</v>
      </c>
      <c r="L25" s="609" t="str">
        <f t="shared" si="4"/>
        <v>269</v>
      </c>
      <c r="M25" s="610" t="str">
        <f t="shared" si="0"/>
        <v>TAUX MAIN D'OEUVRE - BODY - VW - VEB</v>
      </c>
      <c r="N25" s="611">
        <f>+IF(OR($Q25=Parametres!$G$2,$Q25=Parametres!$G$3),I25,C25)</f>
        <v>75</v>
      </c>
      <c r="O25" s="611">
        <f>+IF(OR($Q25=Parametres!$G$2,$Q25=Parametres!$G$3),J25,D25)</f>
        <v>0</v>
      </c>
      <c r="P25" s="611">
        <f>+IF(OR($Q25=Parametres!$G$2,$Q25=Parametres!$G$3),K25,E25)</f>
        <v>75</v>
      </c>
      <c r="Q25" s="610" t="str">
        <f t="shared" si="1"/>
        <v>1-Mémo</v>
      </c>
      <c r="R25" s="609" t="str">
        <f t="shared" si="2"/>
        <v>26</v>
      </c>
      <c r="S25" s="610" t="str">
        <f t="shared" si="3"/>
        <v>_</v>
      </c>
      <c r="T25" s="612" t="e">
        <f>+VLOOKUP($L25,Data_Validation!$A:$D,1,0)</f>
        <v>#N/A</v>
      </c>
      <c r="U25" s="612" t="e">
        <f>+VLOOKUP($L25,Data_Validation!$A:$D,3,0)</f>
        <v>#N/A</v>
      </c>
      <c r="V25" s="612" t="e">
        <f>+VLOOKUP($L25,Data_Validation!$A:$D,4,0)</f>
        <v>#N/A</v>
      </c>
      <c r="W25" s="612" t="e">
        <f>+VLOOKUP($L25,Data_Validation!$A:$E,5,0)</f>
        <v>#N/A</v>
      </c>
      <c r="X25" s="612" t="e">
        <f>+VLOOKUP($L25,Data_Validation!$A:$F,6,0)</f>
        <v>#N/A</v>
      </c>
    </row>
    <row r="26" spans="1:24" ht="15.75" customHeight="1">
      <c r="A26" s="1188" t="s">
        <v>692</v>
      </c>
      <c r="B26" s="1188" t="s">
        <v>1708</v>
      </c>
      <c r="C26" s="1189"/>
      <c r="D26" s="1189"/>
      <c r="E26" s="1189"/>
      <c r="F26" s="1188" t="s">
        <v>2</v>
      </c>
      <c r="G26" s="1188" t="s">
        <v>693</v>
      </c>
      <c r="H26" s="1188" t="s">
        <v>3845</v>
      </c>
      <c r="I26" s="1190">
        <v>65080.12</v>
      </c>
      <c r="J26" s="1190">
        <v>0</v>
      </c>
      <c r="K26" s="1190">
        <v>65080.12</v>
      </c>
      <c r="L26" s="609" t="str">
        <f t="shared" si="4"/>
        <v>300</v>
      </c>
      <c r="M26" s="610" t="str">
        <f t="shared" si="0"/>
        <v>REC VEH PASSE DU 30-60</v>
      </c>
      <c r="N26" s="611">
        <f>+IF(OR($Q26=Parametres!$G$2,$Q26=Parametres!$G$3),I26,C26)</f>
        <v>65080.12</v>
      </c>
      <c r="O26" s="611">
        <f>+IF(OR($Q26=Parametres!$G$2,$Q26=Parametres!$G$3),J26,D26)</f>
        <v>0</v>
      </c>
      <c r="P26" s="611">
        <f>+IF(OR($Q26=Parametres!$G$2,$Q26=Parametres!$G$3),K26,E26)</f>
        <v>65080.12</v>
      </c>
      <c r="Q26" s="610" t="str">
        <f t="shared" si="1"/>
        <v>1-Mémo</v>
      </c>
      <c r="R26" s="609" t="str">
        <f t="shared" si="2"/>
        <v>30</v>
      </c>
      <c r="S26" s="610" t="str">
        <f t="shared" si="3"/>
        <v>_</v>
      </c>
      <c r="T26" s="612" t="str">
        <f>+VLOOKUP($L26,Data_Validation!$A:$D,1,0)</f>
        <v>300</v>
      </c>
      <c r="U26" s="612">
        <f>+VLOOKUP($L26,Data_Validation!$A:$D,3,0)</f>
        <v>0</v>
      </c>
      <c r="V26" s="612">
        <f>+VLOOKUP($L26,Data_Validation!$A:$D,4,0)</f>
        <v>0</v>
      </c>
      <c r="W26" s="612">
        <f>+VLOOKUP($L26,Data_Validation!$A:$E,5,0)</f>
        <v>0</v>
      </c>
      <c r="X26" s="612">
        <f>+VLOOKUP($L26,Data_Validation!$A:$F,6,0)</f>
        <v>0</v>
      </c>
    </row>
    <row r="27" spans="1:24" ht="15" customHeight="1">
      <c r="A27" s="1188" t="s">
        <v>694</v>
      </c>
      <c r="B27" s="1188" t="s">
        <v>1719</v>
      </c>
      <c r="C27" s="1189"/>
      <c r="D27" s="1189"/>
      <c r="E27" s="1189"/>
      <c r="F27" s="1188" t="s">
        <v>2</v>
      </c>
      <c r="G27" s="1188" t="s">
        <v>693</v>
      </c>
      <c r="H27" s="1188" t="s">
        <v>3845</v>
      </c>
      <c r="I27" s="1190">
        <v>292737.67</v>
      </c>
      <c r="J27" s="1190">
        <v>61081.1</v>
      </c>
      <c r="K27" s="1190">
        <v>353818.77</v>
      </c>
      <c r="L27" s="609" t="str">
        <f t="shared" si="4"/>
        <v>301</v>
      </c>
      <c r="M27" s="610" t="str">
        <f t="shared" si="0"/>
        <v>CLIENT S P ET A PASSE DU 30-60</v>
      </c>
      <c r="N27" s="611">
        <f>+IF(OR($Q27=Parametres!$G$2,$Q27=Parametres!$G$3),I27,C27)</f>
        <v>292737.67</v>
      </c>
      <c r="O27" s="611">
        <f>+IF(OR($Q27=Parametres!$G$2,$Q27=Parametres!$G$3),J27,D27)</f>
        <v>61081.1</v>
      </c>
      <c r="P27" s="611">
        <f>+IF(OR($Q27=Parametres!$G$2,$Q27=Parametres!$G$3),K27,E27)</f>
        <v>353818.77</v>
      </c>
      <c r="Q27" s="610" t="str">
        <f t="shared" si="1"/>
        <v>1-Mémo</v>
      </c>
      <c r="R27" s="609" t="str">
        <f t="shared" si="2"/>
        <v>30</v>
      </c>
      <c r="S27" s="610" t="str">
        <f t="shared" si="3"/>
        <v>_</v>
      </c>
      <c r="T27" s="612" t="str">
        <f>+VLOOKUP($L27,Data_Validation!$A:$D,1,0)</f>
        <v>301</v>
      </c>
      <c r="U27" s="612">
        <f>+VLOOKUP($L27,Data_Validation!$A:$D,3,0)</f>
        <v>0</v>
      </c>
      <c r="V27" s="612">
        <f>+VLOOKUP($L27,Data_Validation!$A:$D,4,0)</f>
        <v>0</v>
      </c>
      <c r="W27" s="612">
        <f>+VLOOKUP($L27,Data_Validation!$A:$E,5,0)</f>
        <v>0</v>
      </c>
      <c r="X27" s="612">
        <f>+VLOOKUP($L27,Data_Validation!$A:$F,6,0)</f>
        <v>0</v>
      </c>
    </row>
    <row r="28" spans="1:24" ht="15" customHeight="1">
      <c r="A28" s="1188" t="s">
        <v>695</v>
      </c>
      <c r="B28" s="1188" t="s">
        <v>1722</v>
      </c>
      <c r="C28" s="1189"/>
      <c r="D28" s="1189"/>
      <c r="E28" s="1189"/>
      <c r="F28" s="1188" t="s">
        <v>2</v>
      </c>
      <c r="G28" s="1188" t="s">
        <v>693</v>
      </c>
      <c r="H28" s="1188" t="s">
        <v>3845</v>
      </c>
      <c r="I28" s="1190">
        <v>33949.629999999997</v>
      </c>
      <c r="J28" s="1190">
        <v>3509.02</v>
      </c>
      <c r="K28" s="1190">
        <v>37458.65</v>
      </c>
      <c r="L28" s="609" t="str">
        <f t="shared" si="4"/>
        <v>302</v>
      </c>
      <c r="M28" s="610" t="str">
        <f t="shared" si="0"/>
        <v>RECLAM GARANTIE VW PASSE DU 30-60</v>
      </c>
      <c r="N28" s="611">
        <f>+IF(OR($Q28=Parametres!$G$2,$Q28=Parametres!$G$3),I28,C28)</f>
        <v>33949.629999999997</v>
      </c>
      <c r="O28" s="611">
        <f>+IF(OR($Q28=Parametres!$G$2,$Q28=Parametres!$G$3),J28,D28)</f>
        <v>3509.02</v>
      </c>
      <c r="P28" s="611">
        <f>+IF(OR($Q28=Parametres!$G$2,$Q28=Parametres!$G$3),K28,E28)</f>
        <v>37458.65</v>
      </c>
      <c r="Q28" s="610" t="str">
        <f t="shared" si="1"/>
        <v>1-Mémo</v>
      </c>
      <c r="R28" s="609" t="str">
        <f t="shared" si="2"/>
        <v>30</v>
      </c>
      <c r="S28" s="610" t="str">
        <f t="shared" si="3"/>
        <v>_</v>
      </c>
      <c r="T28" s="612" t="str">
        <f>+VLOOKUP($L28,Data_Validation!$A:$D,1,0)</f>
        <v>302</v>
      </c>
      <c r="U28" s="612">
        <f>+VLOOKUP($L28,Data_Validation!$A:$D,3,0)</f>
        <v>0</v>
      </c>
      <c r="V28" s="612">
        <f>+VLOOKUP($L28,Data_Validation!$A:$D,4,0)</f>
        <v>0</v>
      </c>
      <c r="W28" s="612">
        <f>+VLOOKUP($L28,Data_Validation!$A:$E,5,0)</f>
        <v>0</v>
      </c>
      <c r="X28" s="612">
        <f>+VLOOKUP($L28,Data_Validation!$A:$F,6,0)</f>
        <v>0</v>
      </c>
    </row>
    <row r="29" spans="1:24" ht="15" customHeight="1">
      <c r="A29" s="1188" t="s">
        <v>696</v>
      </c>
      <c r="B29" s="1188" t="s">
        <v>1725</v>
      </c>
      <c r="C29" s="1189"/>
      <c r="D29" s="1189"/>
      <c r="E29" s="1189"/>
      <c r="F29" s="1188" t="s">
        <v>2</v>
      </c>
      <c r="G29" s="1188" t="s">
        <v>693</v>
      </c>
      <c r="H29" s="1188" t="s">
        <v>3845</v>
      </c>
      <c r="I29" s="1190">
        <v>316516</v>
      </c>
      <c r="J29" s="1190">
        <v>0</v>
      </c>
      <c r="K29" s="1190">
        <v>316516</v>
      </c>
      <c r="L29" s="609" t="str">
        <f t="shared" si="4"/>
        <v>307</v>
      </c>
      <c r="M29" s="610" t="str">
        <f t="shared" si="0"/>
        <v>AUTRE REC MANUFACTURIER VW PASSE DU 30-60</v>
      </c>
      <c r="N29" s="611">
        <f>+IF(OR($Q29=Parametres!$G$2,$Q29=Parametres!$G$3),I29,C29)</f>
        <v>316516</v>
      </c>
      <c r="O29" s="611">
        <f>+IF(OR($Q29=Parametres!$G$2,$Q29=Parametres!$G$3),J29,D29)</f>
        <v>0</v>
      </c>
      <c r="P29" s="611">
        <f>+IF(OR($Q29=Parametres!$G$2,$Q29=Parametres!$G$3),K29,E29)</f>
        <v>316516</v>
      </c>
      <c r="Q29" s="610" t="str">
        <f t="shared" si="1"/>
        <v>1-Mémo</v>
      </c>
      <c r="R29" s="609" t="str">
        <f t="shared" si="2"/>
        <v>30</v>
      </c>
      <c r="S29" s="610" t="str">
        <f t="shared" si="3"/>
        <v>_</v>
      </c>
      <c r="T29" s="612" t="str">
        <f>+VLOOKUP($L29,Data_Validation!$A:$D,1,0)</f>
        <v>307</v>
      </c>
      <c r="U29" s="612">
        <f>+VLOOKUP($L29,Data_Validation!$A:$D,3,0)</f>
        <v>0</v>
      </c>
      <c r="V29" s="612">
        <f>+VLOOKUP($L29,Data_Validation!$A:$D,4,0)</f>
        <v>0</v>
      </c>
      <c r="W29" s="612">
        <f>+VLOOKUP($L29,Data_Validation!$A:$E,5,0)</f>
        <v>0</v>
      </c>
      <c r="X29" s="612">
        <f>+VLOOKUP($L29,Data_Validation!$A:$F,6,0)</f>
        <v>0</v>
      </c>
    </row>
    <row r="30" spans="1:24" ht="15" customHeight="1">
      <c r="A30" s="1188" t="s">
        <v>697</v>
      </c>
      <c r="B30" s="1188" t="s">
        <v>1728</v>
      </c>
      <c r="C30" s="1189"/>
      <c r="D30" s="1189"/>
      <c r="E30" s="1189"/>
      <c r="F30" s="1188" t="s">
        <v>2</v>
      </c>
      <c r="G30" s="1188" t="s">
        <v>3269</v>
      </c>
      <c r="H30" s="1188" t="s">
        <v>3845</v>
      </c>
      <c r="I30" s="1190">
        <v>94213</v>
      </c>
      <c r="J30" s="1190">
        <v>0</v>
      </c>
      <c r="K30" s="1190">
        <v>94213</v>
      </c>
      <c r="L30" s="609" t="str">
        <f t="shared" si="4"/>
        <v>311</v>
      </c>
      <c r="M30" s="610" t="str">
        <f t="shared" si="0"/>
        <v>CLIENT VEH PLUS DE 60</v>
      </c>
      <c r="N30" s="611">
        <f>+IF(OR($Q30=Parametres!$G$2,$Q30=Parametres!$G$3),I30,C30)</f>
        <v>94213</v>
      </c>
      <c r="O30" s="615">
        <f>+IF(OR($Q30=Parametres!$G$2,$Q30=Parametres!$G$3),J30,D30)</f>
        <v>0</v>
      </c>
      <c r="P30" s="611">
        <f>+IF(OR($Q30=Parametres!$G$2,$Q30=Parametres!$G$3),K30,E30)</f>
        <v>94213</v>
      </c>
      <c r="Q30" s="610" t="str">
        <f t="shared" si="1"/>
        <v>1-Mémo</v>
      </c>
      <c r="R30" s="609" t="str">
        <f t="shared" si="2"/>
        <v>31</v>
      </c>
      <c r="S30" s="610" t="str">
        <f t="shared" si="3"/>
        <v>_</v>
      </c>
      <c r="T30" s="612" t="str">
        <f>+VLOOKUP($L30,Data_Validation!$A:$D,1,0)</f>
        <v>311</v>
      </c>
      <c r="U30" s="612">
        <f>+VLOOKUP($L30,Data_Validation!$A:$D,3,0)</f>
        <v>0</v>
      </c>
      <c r="V30" s="612">
        <f>+VLOOKUP($L30,Data_Validation!$A:$D,4,0)</f>
        <v>0</v>
      </c>
      <c r="W30" s="612">
        <f>+VLOOKUP($L30,Data_Validation!$A:$E,5,0)</f>
        <v>0</v>
      </c>
      <c r="X30" s="612">
        <f>+VLOOKUP($L30,Data_Validation!$A:$F,6,0)</f>
        <v>0</v>
      </c>
    </row>
    <row r="31" spans="1:24" ht="15" customHeight="1">
      <c r="A31" s="1188" t="s">
        <v>698</v>
      </c>
      <c r="B31" s="1188" t="s">
        <v>1731</v>
      </c>
      <c r="C31" s="1189"/>
      <c r="D31" s="1189"/>
      <c r="E31" s="1189"/>
      <c r="F31" s="1188" t="s">
        <v>2</v>
      </c>
      <c r="G31" s="1188" t="s">
        <v>3269</v>
      </c>
      <c r="H31" s="1188" t="s">
        <v>3845</v>
      </c>
      <c r="I31" s="1190">
        <v>80132.09</v>
      </c>
      <c r="J31" s="1190">
        <v>30073.96</v>
      </c>
      <c r="K31" s="1190">
        <v>110206.05</v>
      </c>
      <c r="L31" s="609" t="str">
        <f t="shared" si="4"/>
        <v>312</v>
      </c>
      <c r="M31" s="610" t="str">
        <f t="shared" si="0"/>
        <v>CLIENT S P ET A PLUS DE 60</v>
      </c>
      <c r="N31" s="611">
        <f>+IF(OR($Q31=Parametres!$G$2,$Q31=Parametres!$G$3),I31,C31)</f>
        <v>80132.09</v>
      </c>
      <c r="O31" s="611">
        <f>+IF(OR($Q31=Parametres!$G$2,$Q31=Parametres!$G$3),J31,D31)</f>
        <v>30073.96</v>
      </c>
      <c r="P31" s="611">
        <f>+IF(OR($Q31=Parametres!$G$2,$Q31=Parametres!$G$3),K31,E31)</f>
        <v>110206.05</v>
      </c>
      <c r="Q31" s="610" t="str">
        <f t="shared" si="1"/>
        <v>1-Mémo</v>
      </c>
      <c r="R31" s="609" t="str">
        <f t="shared" si="2"/>
        <v>31</v>
      </c>
      <c r="S31" s="610" t="str">
        <f t="shared" si="3"/>
        <v>_</v>
      </c>
      <c r="T31" s="612" t="str">
        <f>+VLOOKUP($L31,Data_Validation!$A:$D,1,0)</f>
        <v>312</v>
      </c>
      <c r="U31" s="612">
        <f>+VLOOKUP($L31,Data_Validation!$A:$D,3,0)</f>
        <v>0</v>
      </c>
      <c r="V31" s="612">
        <f>+VLOOKUP($L31,Data_Validation!$A:$D,4,0)</f>
        <v>0</v>
      </c>
      <c r="W31" s="612">
        <f>+VLOOKUP($L31,Data_Validation!$A:$E,5,0)</f>
        <v>0</v>
      </c>
      <c r="X31" s="612">
        <f>+VLOOKUP($L31,Data_Validation!$A:$F,6,0)</f>
        <v>0</v>
      </c>
    </row>
    <row r="32" spans="1:24" ht="15" customHeight="1">
      <c r="A32" s="1188" t="s">
        <v>699</v>
      </c>
      <c r="B32" s="1188" t="s">
        <v>1734</v>
      </c>
      <c r="C32" s="1189"/>
      <c r="D32" s="1189"/>
      <c r="E32" s="1189"/>
      <c r="F32" s="1188" t="s">
        <v>2</v>
      </c>
      <c r="G32" s="1188" t="s">
        <v>3269</v>
      </c>
      <c r="H32" s="1188" t="s">
        <v>3845</v>
      </c>
      <c r="I32" s="1190">
        <v>84816.73</v>
      </c>
      <c r="J32" s="1190">
        <v>34.479999999999997</v>
      </c>
      <c r="K32" s="1190">
        <v>84851.21</v>
      </c>
      <c r="L32" s="609" t="str">
        <f t="shared" si="4"/>
        <v>313</v>
      </c>
      <c r="M32" s="610" t="str">
        <f t="shared" si="0"/>
        <v>RECLAMATIONS DE GARATIE VW PLUS DE 60</v>
      </c>
      <c r="N32" s="611">
        <f>+IF(OR($Q32=Parametres!$G$2,$Q32=Parametres!$G$3),I32,C32)</f>
        <v>84816.73</v>
      </c>
      <c r="O32" s="615">
        <f>+IF(OR($Q32=Parametres!$G$2,$Q32=Parametres!$G$3),J32,D32)</f>
        <v>34.479999999999997</v>
      </c>
      <c r="P32" s="611">
        <f>+IF(OR($Q32=Parametres!$G$2,$Q32=Parametres!$G$3),K32,E32)</f>
        <v>84851.21</v>
      </c>
      <c r="Q32" s="610" t="str">
        <f t="shared" si="1"/>
        <v>1-Mémo</v>
      </c>
      <c r="R32" s="609" t="str">
        <f t="shared" si="2"/>
        <v>31</v>
      </c>
      <c r="S32" s="610" t="str">
        <f t="shared" si="3"/>
        <v>_</v>
      </c>
      <c r="T32" s="612" t="str">
        <f>+VLOOKUP($L32,Data_Validation!$A:$D,1,0)</f>
        <v>313</v>
      </c>
      <c r="U32" s="612">
        <f>+VLOOKUP($L32,Data_Validation!$A:$D,3,0)</f>
        <v>0</v>
      </c>
      <c r="V32" s="612">
        <f>+VLOOKUP($L32,Data_Validation!$A:$D,4,0)</f>
        <v>0</v>
      </c>
      <c r="W32" s="612">
        <f>+VLOOKUP($L32,Data_Validation!$A:$E,5,0)</f>
        <v>0</v>
      </c>
      <c r="X32" s="612">
        <f>+VLOOKUP($L32,Data_Validation!$A:$F,6,0)</f>
        <v>0</v>
      </c>
    </row>
    <row r="33" spans="1:24" ht="15" customHeight="1">
      <c r="A33" s="1188" t="s">
        <v>700</v>
      </c>
      <c r="B33" s="1188" t="s">
        <v>1737</v>
      </c>
      <c r="C33" s="1189"/>
      <c r="D33" s="1189"/>
      <c r="E33" s="1189"/>
      <c r="F33" s="1188" t="s">
        <v>2</v>
      </c>
      <c r="G33" s="1188" t="s">
        <v>3269</v>
      </c>
      <c r="H33" s="1188" t="s">
        <v>3845</v>
      </c>
      <c r="I33" s="1190">
        <v>159684</v>
      </c>
      <c r="J33" s="1190">
        <v>54290</v>
      </c>
      <c r="K33" s="1190">
        <v>213974</v>
      </c>
      <c r="L33" s="609" t="str">
        <f t="shared" si="4"/>
        <v>316</v>
      </c>
      <c r="M33" s="610" t="str">
        <f t="shared" si="0"/>
        <v>AUTRE REC MANUFACTURIER VW PLUS DE 60</v>
      </c>
      <c r="N33" s="611">
        <f>+IF(OR($Q33=Parametres!$G$2,$Q33=Parametres!$G$3),I33,C33)</f>
        <v>159684</v>
      </c>
      <c r="O33" s="611">
        <f>+IF(OR($Q33=Parametres!$G$2,$Q33=Parametres!$G$3),J33,D33)</f>
        <v>54290</v>
      </c>
      <c r="P33" s="611">
        <f>+IF(OR($Q33=Parametres!$G$2,$Q33=Parametres!$G$3),K33,E33)</f>
        <v>213974</v>
      </c>
      <c r="Q33" s="610" t="str">
        <f t="shared" si="1"/>
        <v>1-Mémo</v>
      </c>
      <c r="R33" s="609" t="str">
        <f t="shared" si="2"/>
        <v>31</v>
      </c>
      <c r="S33" s="610" t="str">
        <f t="shared" si="3"/>
        <v>_</v>
      </c>
      <c r="T33" s="612" t="str">
        <f>+VLOOKUP($L33,Data_Validation!$A:$D,1,0)</f>
        <v>316</v>
      </c>
      <c r="U33" s="612">
        <f>+VLOOKUP($L33,Data_Validation!$A:$D,3,0)</f>
        <v>0</v>
      </c>
      <c r="V33" s="612">
        <f>+VLOOKUP($L33,Data_Validation!$A:$D,4,0)</f>
        <v>0</v>
      </c>
      <c r="W33" s="612">
        <f>+VLOOKUP($L33,Data_Validation!$A:$E,5,0)</f>
        <v>0</v>
      </c>
      <c r="X33" s="612">
        <f>+VLOOKUP($L33,Data_Validation!$A:$F,6,0)</f>
        <v>0</v>
      </c>
    </row>
    <row r="34" spans="1:24" ht="15.75" customHeight="1">
      <c r="A34" s="1188" t="s">
        <v>701</v>
      </c>
      <c r="B34" s="1188" t="s">
        <v>1743</v>
      </c>
      <c r="C34" s="1189"/>
      <c r="D34" s="1189"/>
      <c r="E34" s="1189"/>
      <c r="F34" s="1188" t="s">
        <v>2</v>
      </c>
      <c r="G34" s="1188" t="s">
        <v>3270</v>
      </c>
      <c r="H34" s="1188" t="s">
        <v>3845</v>
      </c>
      <c r="I34" s="1190">
        <v>0.3</v>
      </c>
      <c r="J34" s="1190">
        <v>7.0000000000000007E-2</v>
      </c>
      <c r="K34" s="1190">
        <v>0.37</v>
      </c>
      <c r="L34" s="609" t="str">
        <f t="shared" si="4"/>
        <v>350</v>
      </c>
      <c r="M34" s="610" t="str">
        <f t="shared" si="0"/>
        <v>UNITES USAGES +30JRS</v>
      </c>
      <c r="N34" s="611">
        <f>+IF(OR($Q34=Parametres!$G$2,$Q34=Parametres!$G$3),I34,C34)</f>
        <v>0.3</v>
      </c>
      <c r="O34" s="611">
        <f>+IF(OR($Q34=Parametres!$G$2,$Q34=Parametres!$G$3),J34,D34)</f>
        <v>7.0000000000000007E-2</v>
      </c>
      <c r="P34" s="611">
        <f>+IF(OR($Q34=Parametres!$G$2,$Q34=Parametres!$G$3),K34,E34)</f>
        <v>0.37</v>
      </c>
      <c r="Q34" s="610" t="str">
        <f t="shared" ref="Q34:Q65" si="5">+F34</f>
        <v>1-Mémo</v>
      </c>
      <c r="R34" s="609" t="str">
        <f t="shared" ref="R34:R65" si="6">+G34</f>
        <v>35</v>
      </c>
      <c r="S34" s="610" t="str">
        <f t="shared" ref="S34:S65" si="7">+H34</f>
        <v>_</v>
      </c>
      <c r="T34" s="612" t="str">
        <f>+VLOOKUP($L34,Data_Validation!$A:$D,1,0)</f>
        <v>350</v>
      </c>
      <c r="U34" s="612">
        <f>+VLOOKUP($L34,Data_Validation!$A:$D,3,0)</f>
        <v>0</v>
      </c>
      <c r="V34" s="612">
        <f>+VLOOKUP($L34,Data_Validation!$A:$D,4,0)</f>
        <v>0</v>
      </c>
      <c r="W34" s="612">
        <f>+VLOOKUP($L34,Data_Validation!$A:$E,5,0)</f>
        <v>0</v>
      </c>
      <c r="X34" s="612">
        <f>+VLOOKUP($L34,Data_Validation!$A:$F,6,0)</f>
        <v>0</v>
      </c>
    </row>
    <row r="35" spans="1:24" ht="15" customHeight="1">
      <c r="A35" s="1188" t="s">
        <v>702</v>
      </c>
      <c r="B35" s="1188" t="s">
        <v>1746</v>
      </c>
      <c r="C35" s="1189"/>
      <c r="D35" s="1189"/>
      <c r="E35" s="1189"/>
      <c r="F35" s="1188" t="s">
        <v>2</v>
      </c>
      <c r="G35" s="1188" t="s">
        <v>3271</v>
      </c>
      <c r="H35" s="1188" t="s">
        <v>3845</v>
      </c>
      <c r="I35" s="1190">
        <v>628753.85</v>
      </c>
      <c r="J35" s="1190">
        <v>122930.15</v>
      </c>
      <c r="K35" s="1190">
        <v>751684</v>
      </c>
      <c r="L35" s="609" t="str">
        <f t="shared" si="4"/>
        <v>360</v>
      </c>
      <c r="M35" s="610" t="str">
        <f t="shared" si="0"/>
        <v>OCCASION VW + 60 JRS</v>
      </c>
      <c r="N35" s="611">
        <f>+IF(OR($Q35=Parametres!$G$2,$Q35=Parametres!$G$3),I35,C35)</f>
        <v>628753.85</v>
      </c>
      <c r="O35" s="611">
        <f>+IF(OR($Q35=Parametres!$G$2,$Q35=Parametres!$G$3),J35,D35)</f>
        <v>122930.15</v>
      </c>
      <c r="P35" s="611">
        <f>+IF(OR($Q35=Parametres!$G$2,$Q35=Parametres!$G$3),K35,E35)</f>
        <v>751684</v>
      </c>
      <c r="Q35" s="610" t="str">
        <f t="shared" si="5"/>
        <v>1-Mémo</v>
      </c>
      <c r="R35" s="609" t="str">
        <f t="shared" si="6"/>
        <v>36</v>
      </c>
      <c r="S35" s="610" t="str">
        <f t="shared" si="7"/>
        <v>_</v>
      </c>
      <c r="T35" s="612" t="str">
        <f>+VLOOKUP($L35,Data_Validation!$A:$D,1,0)</f>
        <v>360</v>
      </c>
      <c r="U35" s="612">
        <f>+VLOOKUP($L35,Data_Validation!$A:$D,3,0)</f>
        <v>0</v>
      </c>
      <c r="V35" s="612">
        <f>+VLOOKUP($L35,Data_Validation!$A:$D,4,0)</f>
        <v>0</v>
      </c>
      <c r="W35" s="612">
        <f>+VLOOKUP($L35,Data_Validation!$A:$E,5,0)</f>
        <v>0</v>
      </c>
      <c r="X35" s="612">
        <f>+VLOOKUP($L35,Data_Validation!$A:$F,6,0)</f>
        <v>0</v>
      </c>
    </row>
    <row r="36" spans="1:24" ht="15" customHeight="1">
      <c r="A36" s="1188" t="s">
        <v>703</v>
      </c>
      <c r="B36" s="1188" t="s">
        <v>1749</v>
      </c>
      <c r="C36" s="1189"/>
      <c r="D36" s="1189"/>
      <c r="E36" s="1189"/>
      <c r="F36" s="1188" t="s">
        <v>2</v>
      </c>
      <c r="G36" s="1188" t="s">
        <v>3272</v>
      </c>
      <c r="H36" s="1188" t="s">
        <v>3845</v>
      </c>
      <c r="I36" s="1190">
        <v>1714416</v>
      </c>
      <c r="J36" s="1190">
        <v>0</v>
      </c>
      <c r="K36" s="1190">
        <v>1714416</v>
      </c>
      <c r="L36" s="609" t="str">
        <f t="shared" si="4"/>
        <v>370</v>
      </c>
      <c r="M36" s="610" t="str">
        <f t="shared" si="0"/>
        <v>AVOIR DU PROP. MIM. REQUIS</v>
      </c>
      <c r="N36" s="611">
        <f>+IF(OR($Q36=Parametres!$G$2,$Q36=Parametres!$G$3),I36,C36)</f>
        <v>1714416</v>
      </c>
      <c r="O36" s="611">
        <f>+IF(OR($Q36=Parametres!$G$2,$Q36=Parametres!$G$3),J36,D36)</f>
        <v>0</v>
      </c>
      <c r="P36" s="611">
        <f>+IF(OR($Q36=Parametres!$G$2,$Q36=Parametres!$G$3),K36,E36)</f>
        <v>1714416</v>
      </c>
      <c r="Q36" s="610" t="str">
        <f t="shared" si="5"/>
        <v>1-Mémo</v>
      </c>
      <c r="R36" s="609" t="str">
        <f t="shared" si="6"/>
        <v>37</v>
      </c>
      <c r="S36" s="610" t="str">
        <f t="shared" si="7"/>
        <v>_</v>
      </c>
      <c r="T36" s="612" t="str">
        <f>+VLOOKUP($L36,Data_Validation!$A:$D,1,0)</f>
        <v>370</v>
      </c>
      <c r="U36" s="612">
        <f>+VLOOKUP($L36,Data_Validation!$A:$D,3,0)</f>
        <v>0</v>
      </c>
      <c r="V36" s="612">
        <f>+VLOOKUP($L36,Data_Validation!$A:$D,4,0)</f>
        <v>0</v>
      </c>
      <c r="W36" s="612">
        <f>+VLOOKUP($L36,Data_Validation!$A:$E,5,0)</f>
        <v>0</v>
      </c>
      <c r="X36" s="612">
        <f>+VLOOKUP($L36,Data_Validation!$A:$F,6,0)</f>
        <v>0</v>
      </c>
    </row>
    <row r="37" spans="1:24" ht="15" customHeight="1">
      <c r="A37" s="1188" t="s">
        <v>704</v>
      </c>
      <c r="B37" s="1188" t="s">
        <v>1752</v>
      </c>
      <c r="C37" s="1189"/>
      <c r="D37" s="1189"/>
      <c r="E37" s="1189"/>
      <c r="F37" s="1188" t="s">
        <v>2</v>
      </c>
      <c r="G37" s="1188" t="s">
        <v>3272</v>
      </c>
      <c r="H37" s="1188" t="s">
        <v>3845</v>
      </c>
      <c r="I37" s="1190">
        <v>2639078</v>
      </c>
      <c r="J37" s="1190">
        <v>0</v>
      </c>
      <c r="K37" s="1190">
        <v>2639078</v>
      </c>
      <c r="L37" s="609" t="str">
        <f t="shared" si="4"/>
        <v>372</v>
      </c>
      <c r="M37" s="610" t="str">
        <f t="shared" si="0"/>
        <v>FONDS DE ROULEMENT/MIN. REQUIS</v>
      </c>
      <c r="N37" s="611">
        <f>+IF(OR($Q37=Parametres!$G$2,$Q37=Parametres!$G$3),I37,C37)</f>
        <v>2639078</v>
      </c>
      <c r="O37" s="611">
        <f>+IF(OR($Q37=Parametres!$G$2,$Q37=Parametres!$G$3),J37,D37)</f>
        <v>0</v>
      </c>
      <c r="P37" s="611">
        <f>+IF(OR($Q37=Parametres!$G$2,$Q37=Parametres!$G$3),K37,E37)</f>
        <v>2639078</v>
      </c>
      <c r="Q37" s="610" t="str">
        <f t="shared" si="5"/>
        <v>1-Mémo</v>
      </c>
      <c r="R37" s="609" t="str">
        <f t="shared" si="6"/>
        <v>37</v>
      </c>
      <c r="S37" s="610" t="str">
        <f t="shared" si="7"/>
        <v>_</v>
      </c>
      <c r="T37" s="612" t="str">
        <f>+VLOOKUP($L37,Data_Validation!$A:$D,1,0)</f>
        <v>372</v>
      </c>
      <c r="U37" s="612">
        <f>+VLOOKUP($L37,Data_Validation!$A:$D,3,0)</f>
        <v>0</v>
      </c>
      <c r="V37" s="612">
        <f>+VLOOKUP($L37,Data_Validation!$A:$D,4,0)</f>
        <v>0</v>
      </c>
      <c r="W37" s="612">
        <f>+VLOOKUP($L37,Data_Validation!$A:$E,5,0)</f>
        <v>0</v>
      </c>
      <c r="X37" s="612">
        <f>+VLOOKUP($L37,Data_Validation!$A:$F,6,0)</f>
        <v>0</v>
      </c>
    </row>
    <row r="38" spans="1:24" ht="15" customHeight="1">
      <c r="A38" s="1188" t="s">
        <v>705</v>
      </c>
      <c r="B38" s="1188" t="s">
        <v>1757</v>
      </c>
      <c r="C38" s="1189"/>
      <c r="D38" s="1189"/>
      <c r="E38" s="1189"/>
      <c r="F38" s="1188" t="s">
        <v>2</v>
      </c>
      <c r="G38" s="1188" t="s">
        <v>706</v>
      </c>
      <c r="H38" s="1188" t="s">
        <v>3845</v>
      </c>
      <c r="I38" s="1190">
        <v>0.45</v>
      </c>
      <c r="J38" s="1190">
        <v>0</v>
      </c>
      <c r="K38" s="1190">
        <v>0.45</v>
      </c>
      <c r="L38" s="609" t="str">
        <f t="shared" si="4"/>
        <v>401</v>
      </c>
      <c r="M38" s="610" t="str">
        <f t="shared" si="0"/>
        <v>UNITES NEUVES VENDUES JANVIER</v>
      </c>
      <c r="N38" s="611">
        <f>+IF(OR($Q38=Parametres!$G$2,$Q38=Parametres!$G$3),I38,C38)</f>
        <v>0.45</v>
      </c>
      <c r="O38" s="611">
        <f>+IF(OR($Q38=Parametres!$G$2,$Q38=Parametres!$G$3),J38,D38)</f>
        <v>0</v>
      </c>
      <c r="P38" s="611">
        <f>+IF(OR($Q38=Parametres!$G$2,$Q38=Parametres!$G$3),K38,E38)</f>
        <v>0.45</v>
      </c>
      <c r="Q38" s="610" t="str">
        <f t="shared" si="5"/>
        <v>1-Mémo</v>
      </c>
      <c r="R38" s="609" t="str">
        <f t="shared" si="6"/>
        <v>40</v>
      </c>
      <c r="S38" s="610" t="str">
        <f t="shared" si="7"/>
        <v>_</v>
      </c>
      <c r="T38" s="612" t="str">
        <f>+VLOOKUP($L38,Data_Validation!$A:$D,1,0)</f>
        <v>401</v>
      </c>
      <c r="U38" s="612">
        <f>+VLOOKUP($L38,Data_Validation!$A:$D,3,0)</f>
        <v>0</v>
      </c>
      <c r="V38" s="612">
        <f>+VLOOKUP($L38,Data_Validation!$A:$D,4,0)</f>
        <v>0</v>
      </c>
      <c r="W38" s="612">
        <f>+VLOOKUP($L38,Data_Validation!$A:$E,5,0)</f>
        <v>0</v>
      </c>
      <c r="X38" s="612">
        <f>+VLOOKUP($L38,Data_Validation!$A:$F,6,0)</f>
        <v>0</v>
      </c>
    </row>
    <row r="39" spans="1:24" ht="15" customHeight="1">
      <c r="A39" s="1188" t="s">
        <v>707</v>
      </c>
      <c r="B39" s="1188" t="s">
        <v>1760</v>
      </c>
      <c r="C39" s="1189"/>
      <c r="D39" s="1189"/>
      <c r="E39" s="1189"/>
      <c r="F39" s="1188" t="s">
        <v>2</v>
      </c>
      <c r="G39" s="1188" t="s">
        <v>706</v>
      </c>
      <c r="H39" s="1188" t="s">
        <v>3845</v>
      </c>
      <c r="I39" s="1190">
        <v>0.51</v>
      </c>
      <c r="J39" s="1190">
        <v>0</v>
      </c>
      <c r="K39" s="1190">
        <v>0.51</v>
      </c>
      <c r="L39" s="609" t="str">
        <f t="shared" si="4"/>
        <v>402</v>
      </c>
      <c r="M39" s="610" t="str">
        <f t="shared" si="0"/>
        <v>UNITES NEUVES VENDUES FEVRIER</v>
      </c>
      <c r="N39" s="611">
        <f>+IF(OR($Q39=Parametres!$G$2,$Q39=Parametres!$G$3),I39,C39)</f>
        <v>0.51</v>
      </c>
      <c r="O39" s="615">
        <f>+IF(OR($Q39=Parametres!$G$2,$Q39=Parametres!$G$3),J39,D39)</f>
        <v>0</v>
      </c>
      <c r="P39" s="611">
        <f>+IF(OR($Q39=Parametres!$G$2,$Q39=Parametres!$G$3),K39,E39)</f>
        <v>0.51</v>
      </c>
      <c r="Q39" s="610" t="str">
        <f t="shared" si="5"/>
        <v>1-Mémo</v>
      </c>
      <c r="R39" s="609" t="str">
        <f t="shared" si="6"/>
        <v>40</v>
      </c>
      <c r="S39" s="610" t="str">
        <f t="shared" si="7"/>
        <v>_</v>
      </c>
      <c r="T39" s="612" t="str">
        <f>+VLOOKUP($L39,Data_Validation!$A:$D,1,0)</f>
        <v>402</v>
      </c>
      <c r="U39" s="612">
        <f>+VLOOKUP($L39,Data_Validation!$A:$D,3,0)</f>
        <v>0</v>
      </c>
      <c r="V39" s="612">
        <f>+VLOOKUP($L39,Data_Validation!$A:$D,4,0)</f>
        <v>0</v>
      </c>
      <c r="W39" s="612">
        <f>+VLOOKUP($L39,Data_Validation!$A:$E,5,0)</f>
        <v>0</v>
      </c>
      <c r="X39" s="612">
        <f>+VLOOKUP($L39,Data_Validation!$A:$F,6,0)</f>
        <v>0</v>
      </c>
    </row>
    <row r="40" spans="1:24" ht="15.75" customHeight="1">
      <c r="A40" s="1188" t="s">
        <v>708</v>
      </c>
      <c r="B40" s="1188" t="s">
        <v>1763</v>
      </c>
      <c r="C40" s="1189"/>
      <c r="D40" s="1189"/>
      <c r="E40" s="1189"/>
      <c r="F40" s="1188" t="s">
        <v>2</v>
      </c>
      <c r="G40" s="1188" t="s">
        <v>706</v>
      </c>
      <c r="H40" s="1188" t="s">
        <v>3845</v>
      </c>
      <c r="I40" s="1190">
        <v>0.8</v>
      </c>
      <c r="J40" s="1190">
        <v>0</v>
      </c>
      <c r="K40" s="1190">
        <v>0.8</v>
      </c>
      <c r="L40" s="609" t="str">
        <f t="shared" si="4"/>
        <v>403</v>
      </c>
      <c r="M40" s="610" t="str">
        <f t="shared" si="0"/>
        <v>UNITES NEUVES VENDUES MARS</v>
      </c>
      <c r="N40" s="611">
        <f>+IF(OR($Q40=Parametres!$G$2,$Q40=Parametres!$G$3),I40,C40)</f>
        <v>0.8</v>
      </c>
      <c r="O40" s="611">
        <f>+IF(OR($Q40=Parametres!$G$2,$Q40=Parametres!$G$3),J40,D40)</f>
        <v>0</v>
      </c>
      <c r="P40" s="611">
        <f>+IF(OR($Q40=Parametres!$G$2,$Q40=Parametres!$G$3),K40,E40)</f>
        <v>0.8</v>
      </c>
      <c r="Q40" s="610" t="str">
        <f t="shared" si="5"/>
        <v>1-Mémo</v>
      </c>
      <c r="R40" s="609" t="str">
        <f t="shared" si="6"/>
        <v>40</v>
      </c>
      <c r="S40" s="610" t="str">
        <f t="shared" si="7"/>
        <v>_</v>
      </c>
      <c r="T40" s="612" t="str">
        <f>+VLOOKUP($L40,Data_Validation!$A:$D,1,0)</f>
        <v>403</v>
      </c>
      <c r="U40" s="612">
        <f>+VLOOKUP($L40,Data_Validation!$A:$D,3,0)</f>
        <v>0</v>
      </c>
      <c r="V40" s="612">
        <f>+VLOOKUP($L40,Data_Validation!$A:$D,4,0)</f>
        <v>0</v>
      </c>
      <c r="W40" s="612">
        <f>+VLOOKUP($L40,Data_Validation!$A:$E,5,0)</f>
        <v>0</v>
      </c>
      <c r="X40" s="612">
        <f>+VLOOKUP($L40,Data_Validation!$A:$F,6,0)</f>
        <v>0</v>
      </c>
    </row>
    <row r="41" spans="1:24" ht="15" customHeight="1">
      <c r="A41" s="1188" t="s">
        <v>709</v>
      </c>
      <c r="B41" s="1188" t="s">
        <v>1766</v>
      </c>
      <c r="C41" s="1189"/>
      <c r="D41" s="1189"/>
      <c r="E41" s="1189"/>
      <c r="F41" s="1188" t="s">
        <v>2</v>
      </c>
      <c r="G41" s="1188" t="s">
        <v>706</v>
      </c>
      <c r="H41" s="1188" t="s">
        <v>3845</v>
      </c>
      <c r="I41" s="1190">
        <v>0.92</v>
      </c>
      <c r="J41" s="1190">
        <v>0</v>
      </c>
      <c r="K41" s="1190">
        <v>0.92</v>
      </c>
      <c r="L41" s="609" t="str">
        <f t="shared" si="4"/>
        <v>404</v>
      </c>
      <c r="M41" s="610" t="str">
        <f t="shared" si="0"/>
        <v>UNITES NEUVES VENDUES AVRIL</v>
      </c>
      <c r="N41" s="611">
        <f>+IF(OR($Q41=Parametres!$G$2,$Q41=Parametres!$G$3),I41,C41)</f>
        <v>0.92</v>
      </c>
      <c r="O41" s="615">
        <f>+IF(OR($Q41=Parametres!$G$2,$Q41=Parametres!$G$3),J41,D41)</f>
        <v>0</v>
      </c>
      <c r="P41" s="611">
        <f>+IF(OR($Q41=Parametres!$G$2,$Q41=Parametres!$G$3),K41,E41)</f>
        <v>0.92</v>
      </c>
      <c r="Q41" s="610" t="str">
        <f t="shared" si="5"/>
        <v>1-Mémo</v>
      </c>
      <c r="R41" s="609" t="str">
        <f t="shared" si="6"/>
        <v>40</v>
      </c>
      <c r="S41" s="610" t="str">
        <f t="shared" si="7"/>
        <v>_</v>
      </c>
      <c r="T41" s="612" t="str">
        <f>+VLOOKUP($L41,Data_Validation!$A:$D,1,0)</f>
        <v>404</v>
      </c>
      <c r="U41" s="612">
        <f>+VLOOKUP($L41,Data_Validation!$A:$D,3,0)</f>
        <v>0</v>
      </c>
      <c r="V41" s="612">
        <f>+VLOOKUP($L41,Data_Validation!$A:$D,4,0)</f>
        <v>0</v>
      </c>
      <c r="W41" s="612">
        <f>+VLOOKUP($L41,Data_Validation!$A:$E,5,0)</f>
        <v>0</v>
      </c>
      <c r="X41" s="612">
        <f>+VLOOKUP($L41,Data_Validation!$A:$F,6,0)</f>
        <v>0</v>
      </c>
    </row>
    <row r="42" spans="1:24" ht="15" customHeight="1">
      <c r="A42" s="1188" t="s">
        <v>710</v>
      </c>
      <c r="B42" s="1188" t="s">
        <v>1769</v>
      </c>
      <c r="C42" s="1189"/>
      <c r="D42" s="1189"/>
      <c r="E42" s="1189"/>
      <c r="F42" s="1188" t="s">
        <v>2</v>
      </c>
      <c r="G42" s="1188" t="s">
        <v>706</v>
      </c>
      <c r="H42" s="1188" t="s">
        <v>3845</v>
      </c>
      <c r="I42" s="1190">
        <v>1.03</v>
      </c>
      <c r="J42" s="1190">
        <v>-0.44</v>
      </c>
      <c r="K42" s="1190">
        <v>0.59</v>
      </c>
      <c r="L42" s="609" t="str">
        <f t="shared" si="4"/>
        <v>405</v>
      </c>
      <c r="M42" s="610" t="str">
        <f t="shared" si="0"/>
        <v>UNITES NEUVES VENDUES MAI</v>
      </c>
      <c r="N42" s="611">
        <f>+IF(OR($Q42=Parametres!$G$2,$Q42=Parametres!$G$3),I42,C42)</f>
        <v>1.03</v>
      </c>
      <c r="O42" s="611">
        <f>+IF(OR($Q42=Parametres!$G$2,$Q42=Parametres!$G$3),J42,D42)</f>
        <v>-0.44</v>
      </c>
      <c r="P42" s="611">
        <f>+IF(OR($Q42=Parametres!$G$2,$Q42=Parametres!$G$3),K42,E42)</f>
        <v>0.59</v>
      </c>
      <c r="Q42" s="610" t="str">
        <f t="shared" si="5"/>
        <v>1-Mémo</v>
      </c>
      <c r="R42" s="609" t="str">
        <f t="shared" si="6"/>
        <v>40</v>
      </c>
      <c r="S42" s="610" t="str">
        <f t="shared" si="7"/>
        <v>_</v>
      </c>
      <c r="T42" s="612" t="str">
        <f>+VLOOKUP($L42,Data_Validation!$A:$D,1,0)</f>
        <v>405</v>
      </c>
      <c r="U42" s="612">
        <f>+VLOOKUP($L42,Data_Validation!$A:$D,3,0)</f>
        <v>0</v>
      </c>
      <c r="V42" s="612">
        <f>+VLOOKUP($L42,Data_Validation!$A:$D,4,0)</f>
        <v>0</v>
      </c>
      <c r="W42" s="612">
        <f>+VLOOKUP($L42,Data_Validation!$A:$E,5,0)</f>
        <v>0</v>
      </c>
      <c r="X42" s="612">
        <f>+VLOOKUP($L42,Data_Validation!$A:$F,6,0)</f>
        <v>0</v>
      </c>
    </row>
    <row r="43" spans="1:24" ht="15" customHeight="1">
      <c r="A43" s="1188" t="s">
        <v>711</v>
      </c>
      <c r="B43" s="1188" t="s">
        <v>1772</v>
      </c>
      <c r="C43" s="1189"/>
      <c r="D43" s="1189"/>
      <c r="E43" s="1189"/>
      <c r="F43" s="1188" t="s">
        <v>2</v>
      </c>
      <c r="G43" s="1188" t="s">
        <v>706</v>
      </c>
      <c r="H43" s="1188" t="s">
        <v>3845</v>
      </c>
      <c r="I43" s="1190">
        <v>0</v>
      </c>
      <c r="J43" s="1190">
        <v>0.44</v>
      </c>
      <c r="K43" s="1190">
        <v>0.44</v>
      </c>
      <c r="L43" s="609" t="str">
        <f t="shared" si="4"/>
        <v>406</v>
      </c>
      <c r="M43" s="610" t="str">
        <f t="shared" si="0"/>
        <v>UNITES NEUVES VENDUES JUIN</v>
      </c>
      <c r="N43" s="611">
        <f>+IF(OR($Q43=Parametres!$G$2,$Q43=Parametres!$G$3),I43,C43)</f>
        <v>0</v>
      </c>
      <c r="O43" s="611">
        <f>+IF(OR($Q43=Parametres!$G$2,$Q43=Parametres!$G$3),J43,D43)</f>
        <v>0.44</v>
      </c>
      <c r="P43" s="611">
        <f>+IF(OR($Q43=Parametres!$G$2,$Q43=Parametres!$G$3),K43,E43)</f>
        <v>0.44</v>
      </c>
      <c r="Q43" s="610" t="str">
        <f t="shared" si="5"/>
        <v>1-Mémo</v>
      </c>
      <c r="R43" s="609" t="str">
        <f t="shared" si="6"/>
        <v>40</v>
      </c>
      <c r="S43" s="610" t="str">
        <f t="shared" si="7"/>
        <v>_</v>
      </c>
      <c r="T43" s="612" t="str">
        <f>+VLOOKUP($L43,Data_Validation!$A:$D,1,0)</f>
        <v>406</v>
      </c>
      <c r="U43" s="612">
        <f>+VLOOKUP($L43,Data_Validation!$A:$D,3,0)</f>
        <v>0</v>
      </c>
      <c r="V43" s="612">
        <f>+VLOOKUP($L43,Data_Validation!$A:$D,4,0)</f>
        <v>0</v>
      </c>
      <c r="W43" s="612">
        <f>+VLOOKUP($L43,Data_Validation!$A:$E,5,0)</f>
        <v>0</v>
      </c>
      <c r="X43" s="612">
        <f>+VLOOKUP($L43,Data_Validation!$A:$F,6,0)</f>
        <v>0</v>
      </c>
    </row>
    <row r="44" spans="1:24" ht="15.75" customHeight="1">
      <c r="A44" s="1188" t="s">
        <v>712</v>
      </c>
      <c r="B44" s="1188" t="s">
        <v>1775</v>
      </c>
      <c r="C44" s="1189"/>
      <c r="D44" s="1189"/>
      <c r="E44" s="1189"/>
      <c r="F44" s="1188" t="s">
        <v>2</v>
      </c>
      <c r="G44" s="1188" t="s">
        <v>706</v>
      </c>
      <c r="H44" s="1188" t="s">
        <v>3845</v>
      </c>
      <c r="I44" s="1190">
        <v>0</v>
      </c>
      <c r="J44" s="1190">
        <v>0.64</v>
      </c>
      <c r="K44" s="1190">
        <v>0.64</v>
      </c>
      <c r="L44" s="609" t="str">
        <f t="shared" si="4"/>
        <v>407</v>
      </c>
      <c r="M44" s="610" t="str">
        <f t="shared" si="0"/>
        <v>UNITES NEUVES VENDUES JUILLET</v>
      </c>
      <c r="N44" s="611">
        <f>+IF(OR($Q44=Parametres!$G$2,$Q44=Parametres!$G$3),I44,C44)</f>
        <v>0</v>
      </c>
      <c r="O44" s="611">
        <f>+IF(OR($Q44=Parametres!$G$2,$Q44=Parametres!$G$3),J44,D44)</f>
        <v>0.64</v>
      </c>
      <c r="P44" s="611">
        <f>+IF(OR($Q44=Parametres!$G$2,$Q44=Parametres!$G$3),K44,E44)</f>
        <v>0.64</v>
      </c>
      <c r="Q44" s="610" t="str">
        <f t="shared" si="5"/>
        <v>1-Mémo</v>
      </c>
      <c r="R44" s="609" t="str">
        <f t="shared" si="6"/>
        <v>40</v>
      </c>
      <c r="S44" s="610" t="str">
        <f t="shared" si="7"/>
        <v>_</v>
      </c>
      <c r="T44" s="612" t="str">
        <f>+VLOOKUP($L44,Data_Validation!$A:$D,1,0)</f>
        <v>407</v>
      </c>
      <c r="U44" s="612">
        <f>+VLOOKUP($L44,Data_Validation!$A:$D,3,0)</f>
        <v>0</v>
      </c>
      <c r="V44" s="612">
        <f>+VLOOKUP($L44,Data_Validation!$A:$D,4,0)</f>
        <v>0</v>
      </c>
      <c r="W44" s="612">
        <f>+VLOOKUP($L44,Data_Validation!$A:$E,5,0)</f>
        <v>0</v>
      </c>
      <c r="X44" s="612">
        <f>+VLOOKUP($L44,Data_Validation!$A:$F,6,0)</f>
        <v>0</v>
      </c>
    </row>
    <row r="45" spans="1:24" ht="15" customHeight="1">
      <c r="A45" s="1188" t="s">
        <v>718</v>
      </c>
      <c r="B45" s="1188" t="s">
        <v>1850</v>
      </c>
      <c r="C45" s="1189"/>
      <c r="D45" s="1189"/>
      <c r="E45" s="1189"/>
      <c r="F45" s="1188" t="s">
        <v>2</v>
      </c>
      <c r="G45" s="1188" t="s">
        <v>3273</v>
      </c>
      <c r="H45" s="1188" t="s">
        <v>3845</v>
      </c>
      <c r="I45" s="1190">
        <v>0.35</v>
      </c>
      <c r="J45" s="1190">
        <v>0</v>
      </c>
      <c r="K45" s="1190">
        <v>0.35</v>
      </c>
      <c r="L45" s="609" t="str">
        <f t="shared" si="4"/>
        <v>421</v>
      </c>
      <c r="M45" s="610" t="str">
        <f t="shared" si="0"/>
        <v>UNITES USAGES DET./ JANV.</v>
      </c>
      <c r="N45" s="611">
        <f>+IF(OR($Q45=Parametres!$G$2,$Q45=Parametres!$G$3),I45,C45)</f>
        <v>0.35</v>
      </c>
      <c r="O45" s="986">
        <f>+IF(OR($Q45=Parametres!$G$2,$Q45=Parametres!$G$3),J45,D45)</f>
        <v>0</v>
      </c>
      <c r="P45" s="611">
        <f>+IF(OR($Q45=Parametres!$G$2,$Q45=Parametres!$G$3),K45,E45)</f>
        <v>0.35</v>
      </c>
      <c r="Q45" s="610" t="str">
        <f t="shared" si="5"/>
        <v>1-Mémo</v>
      </c>
      <c r="R45" s="609" t="str">
        <f t="shared" si="6"/>
        <v>42</v>
      </c>
      <c r="S45" s="610" t="str">
        <f t="shared" si="7"/>
        <v>_</v>
      </c>
      <c r="T45" s="612" t="str">
        <f>+VLOOKUP($L45,Data_Validation!$A:$D,1,0)</f>
        <v>421</v>
      </c>
      <c r="U45" s="612">
        <f>+VLOOKUP($L45,Data_Validation!$A:$D,3,0)</f>
        <v>0</v>
      </c>
      <c r="V45" s="612">
        <f>+VLOOKUP($L45,Data_Validation!$A:$D,4,0)</f>
        <v>0</v>
      </c>
      <c r="W45" s="612">
        <f>+VLOOKUP($L45,Data_Validation!$A:$E,5,0)</f>
        <v>0</v>
      </c>
      <c r="X45" s="612">
        <f>+VLOOKUP($L45,Data_Validation!$A:$F,6,0)</f>
        <v>0</v>
      </c>
    </row>
    <row r="46" spans="1:24" ht="15" customHeight="1">
      <c r="A46" s="1188" t="s">
        <v>719</v>
      </c>
      <c r="B46" s="1188" t="s">
        <v>1857</v>
      </c>
      <c r="C46" s="1189"/>
      <c r="D46" s="1189"/>
      <c r="E46" s="1189"/>
      <c r="F46" s="1188" t="s">
        <v>2</v>
      </c>
      <c r="G46" s="1188" t="s">
        <v>3273</v>
      </c>
      <c r="H46" s="1188" t="s">
        <v>3845</v>
      </c>
      <c r="I46" s="1190">
        <v>0.18</v>
      </c>
      <c r="J46" s="1190">
        <v>0</v>
      </c>
      <c r="K46" s="1190">
        <v>0.18</v>
      </c>
      <c r="L46" s="609" t="str">
        <f t="shared" si="4"/>
        <v>422</v>
      </c>
      <c r="M46" s="610" t="str">
        <f t="shared" si="0"/>
        <v>UNITES USAGES DET./ FEVR.</v>
      </c>
      <c r="N46" s="611">
        <f>+IF(OR($Q46=Parametres!$G$2,$Q46=Parametres!$G$3),I46,C46)</f>
        <v>0.18</v>
      </c>
      <c r="O46" s="986">
        <f>+IF(OR($Q46=Parametres!$G$2,$Q46=Parametres!$G$3),J46,D46)</f>
        <v>0</v>
      </c>
      <c r="P46" s="611">
        <f>+IF(OR($Q46=Parametres!$G$2,$Q46=Parametres!$G$3),K46,E46)</f>
        <v>0.18</v>
      </c>
      <c r="Q46" s="610" t="str">
        <f t="shared" si="5"/>
        <v>1-Mémo</v>
      </c>
      <c r="R46" s="609" t="str">
        <f t="shared" si="6"/>
        <v>42</v>
      </c>
      <c r="S46" s="610" t="str">
        <f t="shared" si="7"/>
        <v>_</v>
      </c>
      <c r="T46" s="612" t="str">
        <f>+VLOOKUP($L46,Data_Validation!$A:$D,1,0)</f>
        <v>422</v>
      </c>
      <c r="U46" s="612">
        <f>+VLOOKUP($L46,Data_Validation!$A:$D,3,0)</f>
        <v>0</v>
      </c>
      <c r="V46" s="612">
        <f>+VLOOKUP($L46,Data_Validation!$A:$D,4,0)</f>
        <v>0</v>
      </c>
      <c r="W46" s="612">
        <f>+VLOOKUP($L46,Data_Validation!$A:$E,5,0)</f>
        <v>0</v>
      </c>
      <c r="X46" s="612">
        <f>+VLOOKUP($L46,Data_Validation!$A:$F,6,0)</f>
        <v>0</v>
      </c>
    </row>
    <row r="47" spans="1:24" ht="15" customHeight="1">
      <c r="A47" s="1188" t="s">
        <v>720</v>
      </c>
      <c r="B47" s="1188" t="s">
        <v>1860</v>
      </c>
      <c r="C47" s="1189"/>
      <c r="D47" s="1189"/>
      <c r="E47" s="1189"/>
      <c r="F47" s="1188" t="s">
        <v>2</v>
      </c>
      <c r="G47" s="1188" t="s">
        <v>3273</v>
      </c>
      <c r="H47" s="1188" t="s">
        <v>3845</v>
      </c>
      <c r="I47" s="1190">
        <v>0.18</v>
      </c>
      <c r="J47" s="1190">
        <v>0</v>
      </c>
      <c r="K47" s="1190">
        <v>0.18</v>
      </c>
      <c r="L47" s="609" t="str">
        <f t="shared" si="4"/>
        <v>423</v>
      </c>
      <c r="M47" s="610" t="str">
        <f t="shared" si="0"/>
        <v>UNITES USAGES DET./ MARS</v>
      </c>
      <c r="N47" s="611">
        <f>+IF(OR($Q47=Parametres!$G$2,$Q47=Parametres!$G$3),I47,C47)</f>
        <v>0.18</v>
      </c>
      <c r="O47" s="611">
        <f>+IF(OR($Q47=Parametres!$G$2,$Q47=Parametres!$G$3),J47,D47)</f>
        <v>0</v>
      </c>
      <c r="P47" s="611">
        <f>+IF(OR($Q47=Parametres!$G$2,$Q47=Parametres!$G$3),K47,E47)</f>
        <v>0.18</v>
      </c>
      <c r="Q47" s="610" t="str">
        <f t="shared" si="5"/>
        <v>1-Mémo</v>
      </c>
      <c r="R47" s="609" t="str">
        <f t="shared" si="6"/>
        <v>42</v>
      </c>
      <c r="S47" s="610" t="str">
        <f t="shared" si="7"/>
        <v>_</v>
      </c>
      <c r="T47" s="612" t="str">
        <f>+VLOOKUP($L47,Data_Validation!$A:$D,1,0)</f>
        <v>423</v>
      </c>
      <c r="U47" s="612">
        <f>+VLOOKUP($L47,Data_Validation!$A:$D,3,0)</f>
        <v>0</v>
      </c>
      <c r="V47" s="612">
        <f>+VLOOKUP($L47,Data_Validation!$A:$D,4,0)</f>
        <v>0</v>
      </c>
      <c r="W47" s="612">
        <f>+VLOOKUP($L47,Data_Validation!$A:$E,5,0)</f>
        <v>0</v>
      </c>
      <c r="X47" s="612">
        <f>+VLOOKUP($L47,Data_Validation!$A:$F,6,0)</f>
        <v>0</v>
      </c>
    </row>
    <row r="48" spans="1:24" ht="15.75" customHeight="1">
      <c r="A48" s="1188" t="s">
        <v>721</v>
      </c>
      <c r="B48" s="1188" t="s">
        <v>1863</v>
      </c>
      <c r="C48" s="1189"/>
      <c r="D48" s="1189"/>
      <c r="E48" s="1189"/>
      <c r="F48" s="1188" t="s">
        <v>2</v>
      </c>
      <c r="G48" s="1188" t="s">
        <v>3273</v>
      </c>
      <c r="H48" s="1188" t="s">
        <v>3845</v>
      </c>
      <c r="I48" s="1190">
        <v>0.2</v>
      </c>
      <c r="J48" s="1190">
        <v>0</v>
      </c>
      <c r="K48" s="1190">
        <v>0.2</v>
      </c>
      <c r="L48" s="609" t="str">
        <f t="shared" si="4"/>
        <v>424</v>
      </c>
      <c r="M48" s="610" t="str">
        <f t="shared" si="0"/>
        <v>UNITES USAGES DET./ AVRIL</v>
      </c>
      <c r="N48" s="611">
        <f>+IF(OR($Q48=Parametres!$G$2,$Q48=Parametres!$G$3),I48,C48)</f>
        <v>0.2</v>
      </c>
      <c r="O48" s="611">
        <f>+IF(OR($Q48=Parametres!$G$2,$Q48=Parametres!$G$3),J48,D48)</f>
        <v>0</v>
      </c>
      <c r="P48" s="611">
        <f>+IF(OR($Q48=Parametres!$G$2,$Q48=Parametres!$G$3),K48,E48)</f>
        <v>0.2</v>
      </c>
      <c r="Q48" s="610" t="str">
        <f t="shared" si="5"/>
        <v>1-Mémo</v>
      </c>
      <c r="R48" s="609" t="str">
        <f t="shared" si="6"/>
        <v>42</v>
      </c>
      <c r="S48" s="610" t="str">
        <f t="shared" si="7"/>
        <v>_</v>
      </c>
      <c r="T48" s="612" t="str">
        <f>+VLOOKUP($L48,Data_Validation!$A:$D,1,0)</f>
        <v>424</v>
      </c>
      <c r="U48" s="612">
        <f>+VLOOKUP($L48,Data_Validation!$A:$D,3,0)</f>
        <v>0</v>
      </c>
      <c r="V48" s="612">
        <f>+VLOOKUP($L48,Data_Validation!$A:$D,4,0)</f>
        <v>0</v>
      </c>
      <c r="W48" s="612">
        <f>+VLOOKUP($L48,Data_Validation!$A:$E,5,0)</f>
        <v>0</v>
      </c>
      <c r="X48" s="612">
        <f>+VLOOKUP($L48,Data_Validation!$A:$F,6,0)</f>
        <v>0</v>
      </c>
    </row>
    <row r="49" spans="1:24" ht="15" customHeight="1">
      <c r="A49" s="1188" t="s">
        <v>722</v>
      </c>
      <c r="B49" s="1188" t="s">
        <v>1866</v>
      </c>
      <c r="C49" s="1189"/>
      <c r="D49" s="1189"/>
      <c r="E49" s="1189"/>
      <c r="F49" s="1188" t="s">
        <v>2</v>
      </c>
      <c r="G49" s="1188" t="s">
        <v>3273</v>
      </c>
      <c r="H49" s="1188" t="s">
        <v>3845</v>
      </c>
      <c r="I49" s="1190">
        <v>0.56000000000000005</v>
      </c>
      <c r="J49" s="1190">
        <v>0</v>
      </c>
      <c r="K49" s="1190">
        <v>0.56000000000000005</v>
      </c>
      <c r="L49" s="609" t="str">
        <f t="shared" si="4"/>
        <v>425</v>
      </c>
      <c r="M49" s="610" t="str">
        <f t="shared" si="0"/>
        <v>UNITES USAGES DET./ MAI</v>
      </c>
      <c r="N49" s="611">
        <f>+IF(OR($Q49=Parametres!$G$2,$Q49=Parametres!$G$3),I49,C49)</f>
        <v>0.56000000000000005</v>
      </c>
      <c r="O49" s="615">
        <f>+IF(OR($Q49=Parametres!$G$2,$Q49=Parametres!$G$3),J49,D49)</f>
        <v>0</v>
      </c>
      <c r="P49" s="611">
        <f>+IF(OR($Q49=Parametres!$G$2,$Q49=Parametres!$G$3),K49,E49)</f>
        <v>0.56000000000000005</v>
      </c>
      <c r="Q49" s="610" t="str">
        <f t="shared" si="5"/>
        <v>1-Mémo</v>
      </c>
      <c r="R49" s="609" t="str">
        <f t="shared" si="6"/>
        <v>42</v>
      </c>
      <c r="S49" s="610" t="str">
        <f t="shared" si="7"/>
        <v>_</v>
      </c>
      <c r="T49" s="612" t="str">
        <f>+VLOOKUP($L49,Data_Validation!$A:$D,1,0)</f>
        <v>425</v>
      </c>
      <c r="U49" s="612">
        <f>+VLOOKUP($L49,Data_Validation!$A:$D,3,0)</f>
        <v>0</v>
      </c>
      <c r="V49" s="612">
        <f>+VLOOKUP($L49,Data_Validation!$A:$D,4,0)</f>
        <v>0</v>
      </c>
      <c r="W49" s="612">
        <f>+VLOOKUP($L49,Data_Validation!$A:$E,5,0)</f>
        <v>0</v>
      </c>
      <c r="X49" s="612">
        <f>+VLOOKUP($L49,Data_Validation!$A:$F,6,0)</f>
        <v>0</v>
      </c>
    </row>
    <row r="50" spans="1:24" ht="15" customHeight="1">
      <c r="A50" s="1188" t="s">
        <v>723</v>
      </c>
      <c r="B50" s="1188" t="s">
        <v>1869</v>
      </c>
      <c r="C50" s="1189"/>
      <c r="D50" s="1189"/>
      <c r="E50" s="1189"/>
      <c r="F50" s="1188" t="s">
        <v>2</v>
      </c>
      <c r="G50" s="1188" t="s">
        <v>3273</v>
      </c>
      <c r="H50" s="1188" t="s">
        <v>3845</v>
      </c>
      <c r="I50" s="1190">
        <v>0</v>
      </c>
      <c r="J50" s="1190">
        <v>0.25</v>
      </c>
      <c r="K50" s="1190">
        <v>0.25</v>
      </c>
      <c r="L50" s="609" t="str">
        <f t="shared" si="4"/>
        <v>426</v>
      </c>
      <c r="M50" s="610" t="str">
        <f t="shared" si="0"/>
        <v>UNITES USAGES DET./ JUIN</v>
      </c>
      <c r="N50" s="611">
        <f>+IF(OR($Q50=Parametres!$G$2,$Q50=Parametres!$G$3),I50,C50)</f>
        <v>0</v>
      </c>
      <c r="O50" s="611">
        <f>+IF(OR($Q50=Parametres!$G$2,$Q50=Parametres!$G$3),J50,D50)</f>
        <v>0.25</v>
      </c>
      <c r="P50" s="611">
        <f>+IF(OR($Q50=Parametres!$G$2,$Q50=Parametres!$G$3),K50,E50)</f>
        <v>0.25</v>
      </c>
      <c r="Q50" s="610" t="str">
        <f t="shared" si="5"/>
        <v>1-Mémo</v>
      </c>
      <c r="R50" s="609" t="str">
        <f t="shared" si="6"/>
        <v>42</v>
      </c>
      <c r="S50" s="610" t="str">
        <f t="shared" si="7"/>
        <v>_</v>
      </c>
      <c r="T50" s="612" t="str">
        <f>+VLOOKUP($L50,Data_Validation!$A:$D,1,0)</f>
        <v>426</v>
      </c>
      <c r="U50" s="612">
        <f>+VLOOKUP($L50,Data_Validation!$A:$D,3,0)</f>
        <v>0</v>
      </c>
      <c r="V50" s="612">
        <f>+VLOOKUP($L50,Data_Validation!$A:$D,4,0)</f>
        <v>0</v>
      </c>
      <c r="W50" s="612">
        <f>+VLOOKUP($L50,Data_Validation!$A:$E,5,0)</f>
        <v>0</v>
      </c>
      <c r="X50" s="612">
        <f>+VLOOKUP($L50,Data_Validation!$A:$F,6,0)</f>
        <v>0</v>
      </c>
    </row>
    <row r="51" spans="1:24" ht="15" customHeight="1">
      <c r="A51" s="1188" t="s">
        <v>724</v>
      </c>
      <c r="B51" s="1188" t="s">
        <v>1872</v>
      </c>
      <c r="C51" s="1189"/>
      <c r="D51" s="1189"/>
      <c r="E51" s="1189"/>
      <c r="F51" s="1188" t="s">
        <v>2</v>
      </c>
      <c r="G51" s="1188" t="s">
        <v>3273</v>
      </c>
      <c r="H51" s="1188" t="s">
        <v>3845</v>
      </c>
      <c r="I51" s="1190">
        <v>0</v>
      </c>
      <c r="J51" s="1190">
        <v>0.08</v>
      </c>
      <c r="K51" s="1190">
        <v>0.08</v>
      </c>
      <c r="L51" s="609" t="str">
        <f t="shared" si="4"/>
        <v>427</v>
      </c>
      <c r="M51" s="610" t="str">
        <f t="shared" si="0"/>
        <v>UNITES USAGES DET./ JUILLET</v>
      </c>
      <c r="N51" s="611">
        <f>+IF(OR($Q51=Parametres!$G$2,$Q51=Parametres!$G$3),I51,C51)</f>
        <v>0</v>
      </c>
      <c r="O51" s="611">
        <f>+IF(OR($Q51=Parametres!$G$2,$Q51=Parametres!$G$3),J51,D51)</f>
        <v>0.08</v>
      </c>
      <c r="P51" s="611">
        <f>+IF(OR($Q51=Parametres!$G$2,$Q51=Parametres!$G$3),K51,E51)</f>
        <v>0.08</v>
      </c>
      <c r="Q51" s="610" t="str">
        <f t="shared" si="5"/>
        <v>1-Mémo</v>
      </c>
      <c r="R51" s="609" t="str">
        <f t="shared" si="6"/>
        <v>42</v>
      </c>
      <c r="S51" s="610" t="str">
        <f t="shared" si="7"/>
        <v>_</v>
      </c>
      <c r="T51" s="612" t="str">
        <f>+VLOOKUP($L51,Data_Validation!$A:$D,1,0)</f>
        <v>427</v>
      </c>
      <c r="U51" s="612">
        <f>+VLOOKUP($L51,Data_Validation!$A:$D,3,0)</f>
        <v>0</v>
      </c>
      <c r="V51" s="612">
        <f>+VLOOKUP($L51,Data_Validation!$A:$D,4,0)</f>
        <v>0</v>
      </c>
      <c r="W51" s="612">
        <f>+VLOOKUP($L51,Data_Validation!$A:$E,5,0)</f>
        <v>0</v>
      </c>
      <c r="X51" s="612">
        <f>+VLOOKUP($L51,Data_Validation!$A:$F,6,0)</f>
        <v>0</v>
      </c>
    </row>
    <row r="52" spans="1:24" ht="15.75" customHeight="1">
      <c r="A52" s="1188" t="s">
        <v>729</v>
      </c>
      <c r="B52" s="1188" t="s">
        <v>2000</v>
      </c>
      <c r="C52" s="1189"/>
      <c r="D52" s="1189"/>
      <c r="E52" s="1189"/>
      <c r="F52" s="1188" t="s">
        <v>2</v>
      </c>
      <c r="G52" s="1188" t="s">
        <v>730</v>
      </c>
      <c r="H52" s="1188" t="s">
        <v>3845</v>
      </c>
      <c r="I52" s="1190">
        <v>1</v>
      </c>
      <c r="J52" s="1190">
        <v>0</v>
      </c>
      <c r="K52" s="1190">
        <v>1</v>
      </c>
      <c r="L52" s="609" t="str">
        <f t="shared" si="4"/>
        <v>500</v>
      </c>
      <c r="M52" s="610" t="str">
        <f t="shared" si="0"/>
        <v>PROPRIETAIRES</v>
      </c>
      <c r="N52" s="611">
        <f>+IF(OR($Q52=Parametres!$G$2,$Q52=Parametres!$G$3),I52,C52)</f>
        <v>1</v>
      </c>
      <c r="O52" s="611">
        <f>+IF(OR($Q52=Parametres!$G$2,$Q52=Parametres!$G$3),J52,D52)</f>
        <v>0</v>
      </c>
      <c r="P52" s="611">
        <f>+IF(OR($Q52=Parametres!$G$2,$Q52=Parametres!$G$3),K52,E52)</f>
        <v>1</v>
      </c>
      <c r="Q52" s="610" t="str">
        <f t="shared" si="5"/>
        <v>1-Mémo</v>
      </c>
      <c r="R52" s="609" t="str">
        <f t="shared" si="6"/>
        <v>50</v>
      </c>
      <c r="S52" s="610" t="str">
        <f t="shared" si="7"/>
        <v>_</v>
      </c>
      <c r="T52" s="612" t="str">
        <f>+VLOOKUP($L52,Data_Validation!$A:$D,1,0)</f>
        <v>500</v>
      </c>
      <c r="U52" s="612">
        <f>+VLOOKUP($L52,Data_Validation!$A:$D,3,0)</f>
        <v>0</v>
      </c>
      <c r="V52" s="612">
        <f>+VLOOKUP($L52,Data_Validation!$A:$D,4,0)</f>
        <v>0</v>
      </c>
      <c r="W52" s="612" t="str">
        <f>+VLOOKUP($L52,Data_Validation!$A:$E,5,0)</f>
        <v>$</v>
      </c>
      <c r="X52" s="612">
        <f>+VLOOKUP($L52,Data_Validation!$A:$F,6,0)</f>
        <v>0</v>
      </c>
    </row>
    <row r="53" spans="1:24" ht="15" customHeight="1">
      <c r="A53" s="1188" t="s">
        <v>731</v>
      </c>
      <c r="B53" s="1188" t="s">
        <v>1058</v>
      </c>
      <c r="C53" s="1189"/>
      <c r="D53" s="1189"/>
      <c r="E53" s="1189"/>
      <c r="F53" s="1188" t="s">
        <v>2</v>
      </c>
      <c r="G53" s="1188" t="s">
        <v>730</v>
      </c>
      <c r="H53" s="1188" t="s">
        <v>3845</v>
      </c>
      <c r="I53" s="1190">
        <v>0.5</v>
      </c>
      <c r="J53" s="1190">
        <v>0</v>
      </c>
      <c r="K53" s="1190">
        <v>0.5</v>
      </c>
      <c r="L53" s="609" t="str">
        <f t="shared" si="4"/>
        <v>511</v>
      </c>
      <c r="M53" s="610" t="str">
        <f t="shared" si="0"/>
        <v>DIR. GENERAL NEUFS</v>
      </c>
      <c r="N53" s="611">
        <f>+IF(OR($Q53=Parametres!$G$2,$Q53=Parametres!$G$3),I53,C53)</f>
        <v>0.5</v>
      </c>
      <c r="O53" s="611">
        <f>+IF(OR($Q53=Parametres!$G$2,$Q53=Parametres!$G$3),J53,D53)</f>
        <v>0</v>
      </c>
      <c r="P53" s="611">
        <f>+IF(OR($Q53=Parametres!$G$2,$Q53=Parametres!$G$3),K53,E53)</f>
        <v>0.5</v>
      </c>
      <c r="Q53" s="610" t="str">
        <f t="shared" si="5"/>
        <v>1-Mémo</v>
      </c>
      <c r="R53" s="609" t="str">
        <f t="shared" si="6"/>
        <v>50</v>
      </c>
      <c r="S53" s="610" t="str">
        <f t="shared" si="7"/>
        <v>_</v>
      </c>
      <c r="T53" s="612" t="str">
        <f>+VLOOKUP($L53,Data_Validation!$A:$D,1,0)</f>
        <v>511</v>
      </c>
      <c r="U53" s="612">
        <f>+VLOOKUP($L53,Data_Validation!$A:$D,3,0)</f>
        <v>0</v>
      </c>
      <c r="V53" s="612">
        <f>+VLOOKUP($L53,Data_Validation!$A:$D,4,0)</f>
        <v>0</v>
      </c>
      <c r="W53" s="612" t="str">
        <f>+VLOOKUP($L53,Data_Validation!$A:$E,5,0)</f>
        <v>$</v>
      </c>
      <c r="X53" s="612">
        <f>+VLOOKUP($L53,Data_Validation!$A:$F,6,0)</f>
        <v>0</v>
      </c>
    </row>
    <row r="54" spans="1:24" ht="15" customHeight="1">
      <c r="A54" s="1188" t="s">
        <v>732</v>
      </c>
      <c r="B54" s="1188" t="s">
        <v>2032</v>
      </c>
      <c r="C54" s="1189"/>
      <c r="D54" s="1189"/>
      <c r="E54" s="1189"/>
      <c r="F54" s="1188" t="s">
        <v>2</v>
      </c>
      <c r="G54" s="1188" t="s">
        <v>730</v>
      </c>
      <c r="H54" s="1188" t="s">
        <v>3845</v>
      </c>
      <c r="I54" s="1190">
        <v>0.5</v>
      </c>
      <c r="J54" s="1190">
        <v>0</v>
      </c>
      <c r="K54" s="1190">
        <v>0.5</v>
      </c>
      <c r="L54" s="609" t="str">
        <f t="shared" si="4"/>
        <v>512</v>
      </c>
      <c r="M54" s="610" t="str">
        <f t="shared" si="0"/>
        <v>DIR. GENERAL USAGES</v>
      </c>
      <c r="N54" s="611">
        <f>+IF(OR($Q54=Parametres!$G$2,$Q54=Parametres!$G$3),I54,C54)</f>
        <v>0.5</v>
      </c>
      <c r="O54" s="611">
        <f>+IF(OR($Q54=Parametres!$G$2,$Q54=Parametres!$G$3),J54,D54)</f>
        <v>0</v>
      </c>
      <c r="P54" s="611">
        <f>+IF(OR($Q54=Parametres!$G$2,$Q54=Parametres!$G$3),K54,E54)</f>
        <v>0.5</v>
      </c>
      <c r="Q54" s="610" t="str">
        <f t="shared" si="5"/>
        <v>1-Mémo</v>
      </c>
      <c r="R54" s="609" t="str">
        <f t="shared" si="6"/>
        <v>50</v>
      </c>
      <c r="S54" s="610" t="str">
        <f t="shared" si="7"/>
        <v>_</v>
      </c>
      <c r="T54" s="612" t="str">
        <f>+VLOOKUP($L54,Data_Validation!$A:$D,1,0)</f>
        <v>512</v>
      </c>
      <c r="U54" s="612">
        <f>+VLOOKUP($L54,Data_Validation!$A:$D,3,0)</f>
        <v>0</v>
      </c>
      <c r="V54" s="612">
        <f>+VLOOKUP($L54,Data_Validation!$A:$D,4,0)</f>
        <v>0</v>
      </c>
      <c r="W54" s="612" t="str">
        <f>+VLOOKUP($L54,Data_Validation!$A:$E,5,0)</f>
        <v>$</v>
      </c>
      <c r="X54" s="612">
        <f>+VLOOKUP($L54,Data_Validation!$A:$F,6,0)</f>
        <v>0</v>
      </c>
    </row>
    <row r="55" spans="1:24" ht="15" customHeight="1">
      <c r="A55" s="1188" t="s">
        <v>733</v>
      </c>
      <c r="B55" s="1188" t="s">
        <v>1065</v>
      </c>
      <c r="C55" s="1189"/>
      <c r="D55" s="1189"/>
      <c r="E55" s="1189"/>
      <c r="F55" s="1188" t="s">
        <v>2</v>
      </c>
      <c r="G55" s="1188" t="s">
        <v>730</v>
      </c>
      <c r="H55" s="1188" t="s">
        <v>3845</v>
      </c>
      <c r="I55" s="1190">
        <v>0.5</v>
      </c>
      <c r="J55" s="1190">
        <v>0</v>
      </c>
      <c r="K55" s="1190">
        <v>0.5</v>
      </c>
      <c r="L55" s="609" t="str">
        <f t="shared" si="4"/>
        <v>514</v>
      </c>
      <c r="M55" s="610" t="str">
        <f t="shared" si="0"/>
        <v>DIR. GENERAL SERVICE</v>
      </c>
      <c r="N55" s="611">
        <f>+IF(OR($Q55=Parametres!$G$2,$Q55=Parametres!$G$3),I55,C55)</f>
        <v>0.5</v>
      </c>
      <c r="O55" s="611">
        <f>+IF(OR($Q55=Parametres!$G$2,$Q55=Parametres!$G$3),J55,D55)</f>
        <v>0</v>
      </c>
      <c r="P55" s="611">
        <f>+IF(OR($Q55=Parametres!$G$2,$Q55=Parametres!$G$3),K55,E55)</f>
        <v>0.5</v>
      </c>
      <c r="Q55" s="610" t="str">
        <f t="shared" si="5"/>
        <v>1-Mémo</v>
      </c>
      <c r="R55" s="609" t="str">
        <f t="shared" si="6"/>
        <v>50</v>
      </c>
      <c r="S55" s="610" t="str">
        <f t="shared" si="7"/>
        <v>_</v>
      </c>
      <c r="T55" s="612" t="str">
        <f>+VLOOKUP($L55,Data_Validation!$A:$D,1,0)</f>
        <v>514</v>
      </c>
      <c r="U55" s="612">
        <f>+VLOOKUP($L55,Data_Validation!$A:$D,3,0)</f>
        <v>0</v>
      </c>
      <c r="V55" s="612">
        <f>+VLOOKUP($L55,Data_Validation!$A:$D,4,0)</f>
        <v>0</v>
      </c>
      <c r="W55" s="612" t="str">
        <f>+VLOOKUP($L55,Data_Validation!$A:$E,5,0)</f>
        <v>$</v>
      </c>
      <c r="X55" s="612">
        <f>+VLOOKUP($L55,Data_Validation!$A:$F,6,0)</f>
        <v>0</v>
      </c>
    </row>
    <row r="56" spans="1:24" ht="15.75" customHeight="1">
      <c r="A56" s="1188" t="s">
        <v>734</v>
      </c>
      <c r="B56" s="1188" t="s">
        <v>2055</v>
      </c>
      <c r="C56" s="1189"/>
      <c r="D56" s="1189"/>
      <c r="E56" s="1189"/>
      <c r="F56" s="1188" t="s">
        <v>2</v>
      </c>
      <c r="G56" s="1188" t="s">
        <v>730</v>
      </c>
      <c r="H56" s="1188" t="s">
        <v>3845</v>
      </c>
      <c r="I56" s="1190">
        <v>0.5</v>
      </c>
      <c r="J56" s="1190">
        <v>0</v>
      </c>
      <c r="K56" s="1190">
        <v>0.5</v>
      </c>
      <c r="L56" s="609" t="str">
        <f t="shared" si="4"/>
        <v>517</v>
      </c>
      <c r="M56" s="610" t="str">
        <f t="shared" si="0"/>
        <v>DIR. GENERAL PIECES</v>
      </c>
      <c r="N56" s="611">
        <f>+IF(OR($Q56=Parametres!$G$2,$Q56=Parametres!$G$3),I56,C56)</f>
        <v>0.5</v>
      </c>
      <c r="O56" s="611">
        <f>+IF(OR($Q56=Parametres!$G$2,$Q56=Parametres!$G$3),J56,D56)</f>
        <v>0</v>
      </c>
      <c r="P56" s="611">
        <f>+IF(OR($Q56=Parametres!$G$2,$Q56=Parametres!$G$3),K56,E56)</f>
        <v>0.5</v>
      </c>
      <c r="Q56" s="610" t="str">
        <f t="shared" si="5"/>
        <v>1-Mémo</v>
      </c>
      <c r="R56" s="609" t="str">
        <f t="shared" si="6"/>
        <v>50</v>
      </c>
      <c r="S56" s="610" t="str">
        <f t="shared" si="7"/>
        <v>_</v>
      </c>
      <c r="T56" s="612" t="str">
        <f>+VLOOKUP($L56,Data_Validation!$A:$D,1,0)</f>
        <v>517</v>
      </c>
      <c r="U56" s="612">
        <f>+VLOOKUP($L56,Data_Validation!$A:$D,3,0)</f>
        <v>0</v>
      </c>
      <c r="V56" s="612">
        <f>+VLOOKUP($L56,Data_Validation!$A:$D,4,0)</f>
        <v>0</v>
      </c>
      <c r="W56" s="612" t="str">
        <f>+VLOOKUP($L56,Data_Validation!$A:$E,5,0)</f>
        <v>$</v>
      </c>
      <c r="X56" s="612">
        <f>+VLOOKUP($L56,Data_Validation!$A:$F,6,0)</f>
        <v>0</v>
      </c>
    </row>
    <row r="57" spans="1:24" ht="15" customHeight="1">
      <c r="A57" s="1188" t="s">
        <v>735</v>
      </c>
      <c r="B57" s="1188" t="s">
        <v>2064</v>
      </c>
      <c r="C57" s="1189"/>
      <c r="D57" s="1189"/>
      <c r="E57" s="1189"/>
      <c r="F57" s="1188" t="s">
        <v>2</v>
      </c>
      <c r="G57" s="1188" t="s">
        <v>730</v>
      </c>
      <c r="H57" s="1188" t="s">
        <v>3845</v>
      </c>
      <c r="I57" s="1190">
        <v>1.5</v>
      </c>
      <c r="J57" s="1190">
        <v>0</v>
      </c>
      <c r="K57" s="1190">
        <v>1.5</v>
      </c>
      <c r="L57" s="609" t="str">
        <f t="shared" si="4"/>
        <v>521</v>
      </c>
      <c r="M57" s="610" t="str">
        <f t="shared" si="0"/>
        <v>DIR. SERVICE NEUFS</v>
      </c>
      <c r="N57" s="611">
        <f>+IF(OR($Q57=Parametres!$G$2,$Q57=Parametres!$G$3),I57,C57)</f>
        <v>1.5</v>
      </c>
      <c r="O57" s="611">
        <f>+IF(OR($Q57=Parametres!$G$2,$Q57=Parametres!$G$3),J57,D57)</f>
        <v>0</v>
      </c>
      <c r="P57" s="611">
        <f>+IF(OR($Q57=Parametres!$G$2,$Q57=Parametres!$G$3),K57,E57)</f>
        <v>1.5</v>
      </c>
      <c r="Q57" s="610" t="str">
        <f t="shared" si="5"/>
        <v>1-Mémo</v>
      </c>
      <c r="R57" s="609" t="str">
        <f t="shared" si="6"/>
        <v>50</v>
      </c>
      <c r="S57" s="610" t="str">
        <f t="shared" si="7"/>
        <v>_</v>
      </c>
      <c r="T57" s="612" t="str">
        <f>+VLOOKUP($L57,Data_Validation!$A:$D,1,0)</f>
        <v>521</v>
      </c>
      <c r="U57" s="612">
        <f>+VLOOKUP($L57,Data_Validation!$A:$D,3,0)</f>
        <v>0</v>
      </c>
      <c r="V57" s="612">
        <f>+VLOOKUP($L57,Data_Validation!$A:$D,4,0)</f>
        <v>0</v>
      </c>
      <c r="W57" s="612" t="str">
        <f>+VLOOKUP($L57,Data_Validation!$A:$E,5,0)</f>
        <v>$</v>
      </c>
      <c r="X57" s="612">
        <f>+VLOOKUP($L57,Data_Validation!$A:$F,6,0)</f>
        <v>0</v>
      </c>
    </row>
    <row r="58" spans="1:24" ht="15" customHeight="1">
      <c r="A58" s="1188" t="s">
        <v>736</v>
      </c>
      <c r="B58" s="1188" t="s">
        <v>2073</v>
      </c>
      <c r="C58" s="1189"/>
      <c r="D58" s="1189"/>
      <c r="E58" s="1189"/>
      <c r="F58" s="1188" t="s">
        <v>2</v>
      </c>
      <c r="G58" s="1188" t="s">
        <v>730</v>
      </c>
      <c r="H58" s="1188" t="s">
        <v>3845</v>
      </c>
      <c r="I58" s="1190">
        <v>1.5</v>
      </c>
      <c r="J58" s="1190">
        <v>0</v>
      </c>
      <c r="K58" s="1190">
        <v>1.5</v>
      </c>
      <c r="L58" s="609" t="str">
        <f t="shared" si="4"/>
        <v>522</v>
      </c>
      <c r="M58" s="610" t="str">
        <f t="shared" si="0"/>
        <v>DIR. SERVICE USAGES</v>
      </c>
      <c r="N58" s="611">
        <f>+IF(OR($Q58=Parametres!$G$2,$Q58=Parametres!$G$3),I58,C58)</f>
        <v>1.5</v>
      </c>
      <c r="O58" s="611">
        <f>+IF(OR($Q58=Parametres!$G$2,$Q58=Parametres!$G$3),J58,D58)</f>
        <v>0</v>
      </c>
      <c r="P58" s="611">
        <f>+IF(OR($Q58=Parametres!$G$2,$Q58=Parametres!$G$3),K58,E58)</f>
        <v>1.5</v>
      </c>
      <c r="Q58" s="610" t="str">
        <f t="shared" si="5"/>
        <v>1-Mémo</v>
      </c>
      <c r="R58" s="609" t="str">
        <f t="shared" si="6"/>
        <v>50</v>
      </c>
      <c r="S58" s="610" t="str">
        <f t="shared" si="7"/>
        <v>_</v>
      </c>
      <c r="T58" s="612" t="str">
        <f>+VLOOKUP($L58,Data_Validation!$A:$D,1,0)</f>
        <v>522</v>
      </c>
      <c r="U58" s="612">
        <f>+VLOOKUP($L58,Data_Validation!$A:$D,3,0)</f>
        <v>0</v>
      </c>
      <c r="V58" s="612">
        <f>+VLOOKUP($L58,Data_Validation!$A:$D,4,0)</f>
        <v>0</v>
      </c>
      <c r="W58" s="612" t="str">
        <f>+VLOOKUP($L58,Data_Validation!$A:$E,5,0)</f>
        <v>$</v>
      </c>
      <c r="X58" s="612">
        <f>+VLOOKUP($L58,Data_Validation!$A:$F,6,0)</f>
        <v>0</v>
      </c>
    </row>
    <row r="59" spans="1:24" ht="15" customHeight="1">
      <c r="A59" s="1188" t="s">
        <v>737</v>
      </c>
      <c r="B59" s="1188" t="s">
        <v>2076</v>
      </c>
      <c r="C59" s="1189"/>
      <c r="D59" s="1189"/>
      <c r="E59" s="1189"/>
      <c r="F59" s="1188" t="s">
        <v>2</v>
      </c>
      <c r="G59" s="1188" t="s">
        <v>730</v>
      </c>
      <c r="H59" s="1188" t="s">
        <v>3845</v>
      </c>
      <c r="I59" s="1190">
        <v>1</v>
      </c>
      <c r="J59" s="1190">
        <v>0</v>
      </c>
      <c r="K59" s="1190">
        <v>1</v>
      </c>
      <c r="L59" s="609" t="str">
        <f t="shared" si="4"/>
        <v>524</v>
      </c>
      <c r="M59" s="610" t="str">
        <f t="shared" si="0"/>
        <v>DIR. SERVICE SERVICE</v>
      </c>
      <c r="N59" s="611">
        <f>+IF(OR($Q59=Parametres!$G$2,$Q59=Parametres!$G$3),I59,C59)</f>
        <v>1</v>
      </c>
      <c r="O59" s="615">
        <f>+IF(OR($Q59=Parametres!$G$2,$Q59=Parametres!$G$3),J59,D59)</f>
        <v>0</v>
      </c>
      <c r="P59" s="611">
        <f>+IF(OR($Q59=Parametres!$G$2,$Q59=Parametres!$G$3),K59,E59)</f>
        <v>1</v>
      </c>
      <c r="Q59" s="610" t="str">
        <f t="shared" si="5"/>
        <v>1-Mémo</v>
      </c>
      <c r="R59" s="609" t="str">
        <f t="shared" si="6"/>
        <v>50</v>
      </c>
      <c r="S59" s="610" t="str">
        <f t="shared" si="7"/>
        <v>_</v>
      </c>
      <c r="T59" s="612" t="str">
        <f>+VLOOKUP($L59,Data_Validation!$A:$D,1,0)</f>
        <v>524</v>
      </c>
      <c r="U59" s="612">
        <f>+VLOOKUP($L59,Data_Validation!$A:$D,3,0)</f>
        <v>0</v>
      </c>
      <c r="V59" s="612">
        <f>+VLOOKUP($L59,Data_Validation!$A:$D,4,0)</f>
        <v>0</v>
      </c>
      <c r="W59" s="612" t="str">
        <f>+VLOOKUP($L59,Data_Validation!$A:$E,5,0)</f>
        <v>$</v>
      </c>
      <c r="X59" s="612">
        <f>+VLOOKUP($L59,Data_Validation!$A:$F,6,0)</f>
        <v>0</v>
      </c>
    </row>
    <row r="60" spans="1:24" ht="15" customHeight="1">
      <c r="A60" s="1188" t="s">
        <v>738</v>
      </c>
      <c r="B60" s="1188" t="s">
        <v>2078</v>
      </c>
      <c r="C60" s="1189"/>
      <c r="D60" s="1189"/>
      <c r="E60" s="1189"/>
      <c r="F60" s="1188" t="s">
        <v>2</v>
      </c>
      <c r="G60" s="1188" t="s">
        <v>730</v>
      </c>
      <c r="H60" s="1188" t="s">
        <v>3845</v>
      </c>
      <c r="I60" s="1190">
        <v>1</v>
      </c>
      <c r="J60" s="1190">
        <v>0</v>
      </c>
      <c r="K60" s="1190">
        <v>1</v>
      </c>
      <c r="L60" s="609" t="str">
        <f t="shared" si="4"/>
        <v>527</v>
      </c>
      <c r="M60" s="610" t="str">
        <f t="shared" si="0"/>
        <v>DIR. SERVICE PIECES</v>
      </c>
      <c r="N60" s="611">
        <f>+IF(OR($Q60=Parametres!$G$2,$Q60=Parametres!$G$3),I60,C60)</f>
        <v>1</v>
      </c>
      <c r="O60" s="611">
        <f>+IF(OR($Q60=Parametres!$G$2,$Q60=Parametres!$G$3),J60,D60)</f>
        <v>0</v>
      </c>
      <c r="P60" s="611">
        <f>+IF(OR($Q60=Parametres!$G$2,$Q60=Parametres!$G$3),K60,E60)</f>
        <v>1</v>
      </c>
      <c r="Q60" s="610" t="str">
        <f t="shared" si="5"/>
        <v>1-Mémo</v>
      </c>
      <c r="R60" s="609" t="str">
        <f t="shared" si="6"/>
        <v>50</v>
      </c>
      <c r="S60" s="610" t="str">
        <f t="shared" si="7"/>
        <v>_</v>
      </c>
      <c r="T60" s="612" t="str">
        <f>+VLOOKUP($L60,Data_Validation!$A:$D,1,0)</f>
        <v>527</v>
      </c>
      <c r="U60" s="612">
        <f>+VLOOKUP($L60,Data_Validation!$A:$D,3,0)</f>
        <v>0</v>
      </c>
      <c r="V60" s="612">
        <f>+VLOOKUP($L60,Data_Validation!$A:$D,4,0)</f>
        <v>0</v>
      </c>
      <c r="W60" s="612" t="str">
        <f>+VLOOKUP($L60,Data_Validation!$A:$E,5,0)</f>
        <v>$</v>
      </c>
      <c r="X60" s="612">
        <f>+VLOOKUP($L60,Data_Validation!$A:$F,6,0)</f>
        <v>0</v>
      </c>
    </row>
    <row r="61" spans="1:24" ht="15" customHeight="1">
      <c r="A61" s="1188" t="s">
        <v>739</v>
      </c>
      <c r="B61" s="1188" t="s">
        <v>2102</v>
      </c>
      <c r="C61" s="1189"/>
      <c r="D61" s="1189"/>
      <c r="E61" s="1189"/>
      <c r="F61" s="1188" t="s">
        <v>2</v>
      </c>
      <c r="G61" s="1188" t="s">
        <v>3274</v>
      </c>
      <c r="H61" s="1188" t="s">
        <v>3845</v>
      </c>
      <c r="I61" s="1190">
        <v>6</v>
      </c>
      <c r="J61" s="1190">
        <v>0</v>
      </c>
      <c r="K61" s="1190">
        <v>6</v>
      </c>
      <c r="L61" s="609" t="str">
        <f t="shared" si="4"/>
        <v>541</v>
      </c>
      <c r="M61" s="610" t="str">
        <f t="shared" si="0"/>
        <v>VW REP. DES VENTES - NEUF</v>
      </c>
      <c r="N61" s="611">
        <f>+IF(OR($Q61=Parametres!$G$2,$Q61=Parametres!$G$3),I61,C61)</f>
        <v>6</v>
      </c>
      <c r="O61" s="611">
        <f>+IF(OR($Q61=Parametres!$G$2,$Q61=Parametres!$G$3),J61,D61)</f>
        <v>0</v>
      </c>
      <c r="P61" s="611">
        <f>+IF(OR($Q61=Parametres!$G$2,$Q61=Parametres!$G$3),K61,E61)</f>
        <v>6</v>
      </c>
      <c r="Q61" s="610" t="str">
        <f t="shared" si="5"/>
        <v>1-Mémo</v>
      </c>
      <c r="R61" s="609" t="str">
        <f t="shared" si="6"/>
        <v>54</v>
      </c>
      <c r="S61" s="610" t="str">
        <f t="shared" si="7"/>
        <v>_</v>
      </c>
      <c r="T61" s="612" t="str">
        <f>+VLOOKUP($L61,Data_Validation!$A:$D,1,0)</f>
        <v>541</v>
      </c>
      <c r="U61" s="612">
        <f>+VLOOKUP($L61,Data_Validation!$A:$D,3,0)</f>
        <v>0</v>
      </c>
      <c r="V61" s="612">
        <f>+VLOOKUP($L61,Data_Validation!$A:$D,4,0)</f>
        <v>0</v>
      </c>
      <c r="W61" s="612" t="str">
        <f>+VLOOKUP($L61,Data_Validation!$A:$E,5,0)</f>
        <v>$</v>
      </c>
      <c r="X61" s="612">
        <f>+VLOOKUP($L61,Data_Validation!$A:$F,6,0)</f>
        <v>0</v>
      </c>
    </row>
    <row r="62" spans="1:24" ht="15" customHeight="1">
      <c r="A62" s="1188" t="s">
        <v>740</v>
      </c>
      <c r="B62" s="1188" t="s">
        <v>2108</v>
      </c>
      <c r="C62" s="1189"/>
      <c r="D62" s="1189"/>
      <c r="E62" s="1189"/>
      <c r="F62" s="1188" t="s">
        <v>2</v>
      </c>
      <c r="G62" s="1188" t="s">
        <v>730</v>
      </c>
      <c r="H62" s="1188" t="s">
        <v>3845</v>
      </c>
      <c r="I62" s="1190">
        <v>3</v>
      </c>
      <c r="J62" s="1190">
        <v>0</v>
      </c>
      <c r="K62" s="1190">
        <v>3</v>
      </c>
      <c r="L62" s="609" t="str">
        <f t="shared" si="4"/>
        <v>542</v>
      </c>
      <c r="M62" s="610" t="str">
        <f t="shared" si="0"/>
        <v>VW REP. DES VENTES - OCC.</v>
      </c>
      <c r="N62" s="611">
        <f>+IF(OR($Q62=Parametres!$G$2,$Q62=Parametres!$G$3),I62,C62)</f>
        <v>3</v>
      </c>
      <c r="O62" s="611">
        <f>+IF(OR($Q62=Parametres!$G$2,$Q62=Parametres!$G$3),J62,D62)</f>
        <v>0</v>
      </c>
      <c r="P62" s="611">
        <f>+IF(OR($Q62=Parametres!$G$2,$Q62=Parametres!$G$3),K62,E62)</f>
        <v>3</v>
      </c>
      <c r="Q62" s="610" t="str">
        <f t="shared" si="5"/>
        <v>1-Mémo</v>
      </c>
      <c r="R62" s="609" t="str">
        <f t="shared" si="6"/>
        <v>50</v>
      </c>
      <c r="S62" s="610" t="str">
        <f t="shared" si="7"/>
        <v>_</v>
      </c>
      <c r="T62" s="612" t="str">
        <f>+VLOOKUP($L62,Data_Validation!$A:$D,1,0)</f>
        <v>542</v>
      </c>
      <c r="U62" s="612">
        <f>+VLOOKUP($L62,Data_Validation!$A:$D,3,0)</f>
        <v>0</v>
      </c>
      <c r="V62" s="612">
        <f>+VLOOKUP($L62,Data_Validation!$A:$D,4,0)</f>
        <v>0</v>
      </c>
      <c r="W62" s="612" t="str">
        <f>+VLOOKUP($L62,Data_Validation!$A:$E,5,0)</f>
        <v>$</v>
      </c>
      <c r="X62" s="612">
        <f>+VLOOKUP($L62,Data_Validation!$A:$F,6,0)</f>
        <v>0</v>
      </c>
    </row>
    <row r="63" spans="1:24" ht="15" customHeight="1">
      <c r="A63" s="1188" t="s">
        <v>741</v>
      </c>
      <c r="B63" s="1188" t="s">
        <v>2123</v>
      </c>
      <c r="C63" s="1189"/>
      <c r="D63" s="1189"/>
      <c r="E63" s="1189"/>
      <c r="F63" s="1188" t="s">
        <v>2</v>
      </c>
      <c r="G63" s="1188" t="s">
        <v>730</v>
      </c>
      <c r="H63" s="1188" t="s">
        <v>3845</v>
      </c>
      <c r="I63" s="1190">
        <v>2</v>
      </c>
      <c r="J63" s="1190">
        <v>0</v>
      </c>
      <c r="K63" s="1190">
        <v>2</v>
      </c>
      <c r="L63" s="609" t="str">
        <f t="shared" si="4"/>
        <v>551</v>
      </c>
      <c r="M63" s="610" t="str">
        <f t="shared" si="0"/>
        <v>DIR. COMMERCIAL NEUFS</v>
      </c>
      <c r="N63" s="611">
        <f>+IF(OR($Q63=Parametres!$G$2,$Q63=Parametres!$G$3),I63,C63)</f>
        <v>2</v>
      </c>
      <c r="O63" s="615">
        <f>+IF(OR($Q63=Parametres!$G$2,$Q63=Parametres!$G$3),J63,D63)</f>
        <v>0</v>
      </c>
      <c r="P63" s="611">
        <f>+IF(OR($Q63=Parametres!$G$2,$Q63=Parametres!$G$3),K63,E63)</f>
        <v>2</v>
      </c>
      <c r="Q63" s="610" t="str">
        <f t="shared" si="5"/>
        <v>1-Mémo</v>
      </c>
      <c r="R63" s="609" t="str">
        <f t="shared" si="6"/>
        <v>50</v>
      </c>
      <c r="S63" s="610" t="str">
        <f t="shared" si="7"/>
        <v>_</v>
      </c>
      <c r="T63" s="612" t="str">
        <f>+VLOOKUP($L63,Data_Validation!$A:$D,1,0)</f>
        <v>551</v>
      </c>
      <c r="U63" s="612">
        <f>+VLOOKUP($L63,Data_Validation!$A:$D,3,0)</f>
        <v>0</v>
      </c>
      <c r="V63" s="612">
        <f>+VLOOKUP($L63,Data_Validation!$A:$D,4,0)</f>
        <v>0</v>
      </c>
      <c r="W63" s="612" t="str">
        <f>+VLOOKUP($L63,Data_Validation!$A:$E,5,0)</f>
        <v>$</v>
      </c>
      <c r="X63" s="612">
        <f>+VLOOKUP($L63,Data_Validation!$A:$F,6,0)</f>
        <v>0</v>
      </c>
    </row>
    <row r="64" spans="1:24" ht="15" customHeight="1">
      <c r="A64" s="1188" t="s">
        <v>742</v>
      </c>
      <c r="B64" s="1188" t="s">
        <v>2126</v>
      </c>
      <c r="C64" s="1189"/>
      <c r="D64" s="1189"/>
      <c r="E64" s="1189"/>
      <c r="F64" s="1188" t="s">
        <v>2</v>
      </c>
      <c r="G64" s="1188" t="s">
        <v>730</v>
      </c>
      <c r="H64" s="1188" t="s">
        <v>3845</v>
      </c>
      <c r="I64" s="1190">
        <v>1</v>
      </c>
      <c r="J64" s="1190">
        <v>0</v>
      </c>
      <c r="K64" s="1190">
        <v>1</v>
      </c>
      <c r="L64" s="609" t="str">
        <f t="shared" si="4"/>
        <v>552</v>
      </c>
      <c r="M64" s="610" t="str">
        <f t="shared" si="0"/>
        <v>DIR. COMMERCIAL USAGES</v>
      </c>
      <c r="N64" s="611">
        <f>+IF(OR($Q64=Parametres!$G$2,$Q64=Parametres!$G$3),I64,C64)</f>
        <v>1</v>
      </c>
      <c r="O64" s="611">
        <f>+IF(OR($Q64=Parametres!$G$2,$Q64=Parametres!$G$3),J64,D64)</f>
        <v>0</v>
      </c>
      <c r="P64" s="611">
        <f>+IF(OR($Q64=Parametres!$G$2,$Q64=Parametres!$G$3),K64,E64)</f>
        <v>1</v>
      </c>
      <c r="Q64" s="610" t="str">
        <f t="shared" si="5"/>
        <v>1-Mémo</v>
      </c>
      <c r="R64" s="609" t="str">
        <f t="shared" si="6"/>
        <v>50</v>
      </c>
      <c r="S64" s="610" t="str">
        <f t="shared" si="7"/>
        <v>_</v>
      </c>
      <c r="T64" s="612" t="str">
        <f>+VLOOKUP($L64,Data_Validation!$A:$D,1,0)</f>
        <v>552</v>
      </c>
      <c r="U64" s="612">
        <f>+VLOOKUP($L64,Data_Validation!$A:$D,3,0)</f>
        <v>0</v>
      </c>
      <c r="V64" s="612">
        <f>+VLOOKUP($L64,Data_Validation!$A:$D,4,0)</f>
        <v>0</v>
      </c>
      <c r="W64" s="612" t="str">
        <f>+VLOOKUP($L64,Data_Validation!$A:$E,5,0)</f>
        <v>$</v>
      </c>
      <c r="X64" s="612">
        <f>+VLOOKUP($L64,Data_Validation!$A:$F,6,0)</f>
        <v>0</v>
      </c>
    </row>
    <row r="65" spans="1:24" ht="15" customHeight="1">
      <c r="A65" s="1188" t="s">
        <v>743</v>
      </c>
      <c r="B65" s="1188" t="s">
        <v>3299</v>
      </c>
      <c r="C65" s="1189"/>
      <c r="D65" s="1189"/>
      <c r="E65" s="1189"/>
      <c r="F65" s="1188" t="s">
        <v>2</v>
      </c>
      <c r="G65" s="1188" t="s">
        <v>730</v>
      </c>
      <c r="H65" s="1188" t="s">
        <v>3845</v>
      </c>
      <c r="I65" s="1190">
        <v>1</v>
      </c>
      <c r="J65" s="1190">
        <v>0</v>
      </c>
      <c r="K65" s="1190">
        <v>1</v>
      </c>
      <c r="L65" s="609" t="str">
        <f t="shared" si="4"/>
        <v>564</v>
      </c>
      <c r="M65" s="610" t="str">
        <f t="shared" si="0"/>
        <v>CONTREMAITRE SERVICE</v>
      </c>
      <c r="N65" s="611">
        <f>+IF(OR($Q65=Parametres!$G$2,$Q65=Parametres!$G$3),I65,C65)</f>
        <v>1</v>
      </c>
      <c r="O65" s="615">
        <f>+IF(OR($Q65=Parametres!$G$2,$Q65=Parametres!$G$3),J65,D65)</f>
        <v>0</v>
      </c>
      <c r="P65" s="611">
        <f>+IF(OR($Q65=Parametres!$G$2,$Q65=Parametres!$G$3),K65,E65)</f>
        <v>1</v>
      </c>
      <c r="Q65" s="610" t="str">
        <f t="shared" si="5"/>
        <v>1-Mémo</v>
      </c>
      <c r="R65" s="609" t="str">
        <f t="shared" si="6"/>
        <v>50</v>
      </c>
      <c r="S65" s="610" t="str">
        <f t="shared" si="7"/>
        <v>_</v>
      </c>
      <c r="T65" s="612" t="str">
        <f>+VLOOKUP($L65,Data_Validation!$A:$D,1,0)</f>
        <v>564</v>
      </c>
      <c r="U65" s="612">
        <f>+VLOOKUP($L65,Data_Validation!$A:$D,3,0)</f>
        <v>0</v>
      </c>
      <c r="V65" s="612">
        <f>+VLOOKUP($L65,Data_Validation!$A:$D,4,0)</f>
        <v>0</v>
      </c>
      <c r="W65" s="612" t="str">
        <f>+VLOOKUP($L65,Data_Validation!$A:$E,5,0)</f>
        <v>$</v>
      </c>
      <c r="X65" s="612">
        <f>+VLOOKUP($L65,Data_Validation!$A:$F,6,0)</f>
        <v>0</v>
      </c>
    </row>
    <row r="66" spans="1:24" ht="15" customHeight="1">
      <c r="A66" s="1188" t="s">
        <v>744</v>
      </c>
      <c r="B66" s="1188" t="s">
        <v>2221</v>
      </c>
      <c r="C66" s="1189"/>
      <c r="D66" s="1189"/>
      <c r="E66" s="1189"/>
      <c r="F66" s="1188" t="s">
        <v>2</v>
      </c>
      <c r="G66" s="1188" t="s">
        <v>3275</v>
      </c>
      <c r="H66" s="1188" t="s">
        <v>3845</v>
      </c>
      <c r="I66" s="1190">
        <v>4</v>
      </c>
      <c r="J66" s="1190">
        <v>0</v>
      </c>
      <c r="K66" s="1190">
        <v>4</v>
      </c>
      <c r="L66" s="609" t="str">
        <f t="shared" si="4"/>
        <v>614</v>
      </c>
      <c r="M66" s="610" t="str">
        <f t="shared" si="0"/>
        <v>VW CONSEILLERS SERVICE -SERVICE</v>
      </c>
      <c r="N66" s="611">
        <f>+IF(OR($Q66=Parametres!$G$2,$Q66=Parametres!$G$3),I66,C66)</f>
        <v>4</v>
      </c>
      <c r="O66" s="611">
        <f>+IF(OR($Q66=Parametres!$G$2,$Q66=Parametres!$G$3),J66,D66)</f>
        <v>0</v>
      </c>
      <c r="P66" s="611">
        <f>+IF(OR($Q66=Parametres!$G$2,$Q66=Parametres!$G$3),K66,E66)</f>
        <v>4</v>
      </c>
      <c r="Q66" s="610" t="str">
        <f t="shared" ref="Q66:Q97" si="8">+F66</f>
        <v>1-Mémo</v>
      </c>
      <c r="R66" s="609" t="str">
        <f t="shared" ref="R66:R97" si="9">+G66</f>
        <v>61</v>
      </c>
      <c r="S66" s="610" t="str">
        <f t="shared" ref="S66:S97" si="10">+H66</f>
        <v>_</v>
      </c>
      <c r="T66" s="612" t="str">
        <f>+VLOOKUP($L66,Data_Validation!$A:$D,1,0)</f>
        <v>614</v>
      </c>
      <c r="U66" s="612">
        <f>+VLOOKUP($L66,Data_Validation!$A:$D,3,0)</f>
        <v>0</v>
      </c>
      <c r="V66" s="612">
        <f>+VLOOKUP($L66,Data_Validation!$A:$D,4,0)</f>
        <v>0</v>
      </c>
      <c r="W66" s="612" t="str">
        <f>+VLOOKUP($L66,Data_Validation!$A:$E,5,0)</f>
        <v>$</v>
      </c>
      <c r="X66" s="612">
        <f>+VLOOKUP($L66,Data_Validation!$A:$F,6,0)</f>
        <v>0</v>
      </c>
    </row>
    <row r="67" spans="1:24" ht="15" customHeight="1">
      <c r="A67" s="1188" t="s">
        <v>745</v>
      </c>
      <c r="B67" s="1188" t="s">
        <v>1153</v>
      </c>
      <c r="C67" s="1189"/>
      <c r="D67" s="1189"/>
      <c r="E67" s="1189"/>
      <c r="F67" s="1188" t="s">
        <v>2</v>
      </c>
      <c r="G67" s="1188" t="s">
        <v>3275</v>
      </c>
      <c r="H67" s="1188" t="s">
        <v>3845</v>
      </c>
      <c r="I67" s="1190">
        <v>1</v>
      </c>
      <c r="J67" s="1190">
        <v>0</v>
      </c>
      <c r="K67" s="1190">
        <v>1</v>
      </c>
      <c r="L67" s="609" t="str">
        <f t="shared" ref="L67:L130" si="11">TEXT(B67,0)</f>
        <v>615</v>
      </c>
      <c r="M67" s="610" t="str">
        <f t="shared" si="0"/>
        <v>VW CONSEILLERS SERVICE - PIEC. &amp; CARR.&lt;</v>
      </c>
      <c r="N67" s="611">
        <f>+IF(OR($Q67=Parametres!$G$2,$Q67=Parametres!$G$3),I67,C67)</f>
        <v>1</v>
      </c>
      <c r="O67" s="611">
        <f>+IF(OR($Q67=Parametres!$G$2,$Q67=Parametres!$G$3),J67,D67)</f>
        <v>0</v>
      </c>
      <c r="P67" s="611">
        <f>+IF(OR($Q67=Parametres!$G$2,$Q67=Parametres!$G$3),K67,E67)</f>
        <v>1</v>
      </c>
      <c r="Q67" s="610" t="str">
        <f t="shared" si="8"/>
        <v>1-Mémo</v>
      </c>
      <c r="R67" s="609" t="str">
        <f t="shared" si="9"/>
        <v>61</v>
      </c>
      <c r="S67" s="610" t="str">
        <f t="shared" si="10"/>
        <v>_</v>
      </c>
      <c r="T67" s="612" t="str">
        <f>+VLOOKUP($L67,Data_Validation!$A:$D,1,0)</f>
        <v>615</v>
      </c>
      <c r="U67" s="612">
        <f>+VLOOKUP($L67,Data_Validation!$A:$D,3,0)</f>
        <v>0</v>
      </c>
      <c r="V67" s="612">
        <f>+VLOOKUP($L67,Data_Validation!$A:$D,4,0)</f>
        <v>0</v>
      </c>
      <c r="W67" s="612" t="str">
        <f>+VLOOKUP($L67,Data_Validation!$A:$E,5,0)</f>
        <v>$</v>
      </c>
      <c r="X67" s="612">
        <f>+VLOOKUP($L67,Data_Validation!$A:$F,6,0)</f>
        <v>0</v>
      </c>
    </row>
    <row r="68" spans="1:24" ht="15" customHeight="1">
      <c r="A68" s="1188" t="s">
        <v>746</v>
      </c>
      <c r="B68" s="1188" t="s">
        <v>2282</v>
      </c>
      <c r="C68" s="1189"/>
      <c r="D68" s="1189"/>
      <c r="E68" s="1189"/>
      <c r="F68" s="1188" t="s">
        <v>2</v>
      </c>
      <c r="G68" s="1188" t="s">
        <v>730</v>
      </c>
      <c r="H68" s="1188" t="s">
        <v>3845</v>
      </c>
      <c r="I68" s="1190">
        <v>1</v>
      </c>
      <c r="J68" s="1190">
        <v>0</v>
      </c>
      <c r="K68" s="1190">
        <v>1</v>
      </c>
      <c r="L68" s="609" t="str">
        <f t="shared" si="11"/>
        <v>621</v>
      </c>
      <c r="M68" s="610" t="str">
        <f t="shared" si="0"/>
        <v>LAVEURS NEUFS</v>
      </c>
      <c r="N68" s="611">
        <f>+IF(OR($Q68=Parametres!$G$2,$Q68=Parametres!$G$3),I68,C68)</f>
        <v>1</v>
      </c>
      <c r="O68" s="615">
        <f>+IF(OR($Q68=Parametres!$G$2,$Q68=Parametres!$G$3),J68,D68)</f>
        <v>0</v>
      </c>
      <c r="P68" s="611">
        <f>+IF(OR($Q68=Parametres!$G$2,$Q68=Parametres!$G$3),K68,E68)</f>
        <v>1</v>
      </c>
      <c r="Q68" s="610" t="str">
        <f t="shared" si="8"/>
        <v>1-Mémo</v>
      </c>
      <c r="R68" s="609" t="str">
        <f t="shared" si="9"/>
        <v>50</v>
      </c>
      <c r="S68" s="610" t="str">
        <f t="shared" si="10"/>
        <v>_</v>
      </c>
      <c r="T68" s="612" t="str">
        <f>+VLOOKUP($L68,Data_Validation!$A:$D,1,0)</f>
        <v>621</v>
      </c>
      <c r="U68" s="612">
        <f>+VLOOKUP($L68,Data_Validation!$A:$D,3,0)</f>
        <v>0</v>
      </c>
      <c r="V68" s="612">
        <f>+VLOOKUP($L68,Data_Validation!$A:$D,4,0)</f>
        <v>0</v>
      </c>
      <c r="W68" s="612" t="str">
        <f>+VLOOKUP($L68,Data_Validation!$A:$E,5,0)</f>
        <v>$</v>
      </c>
      <c r="X68" s="612">
        <f>+VLOOKUP($L68,Data_Validation!$A:$F,6,0)</f>
        <v>0</v>
      </c>
    </row>
    <row r="69" spans="1:24" ht="15" customHeight="1">
      <c r="A69" s="1188" t="s">
        <v>747</v>
      </c>
      <c r="B69" s="1188" t="s">
        <v>2291</v>
      </c>
      <c r="C69" s="1189"/>
      <c r="D69" s="1189"/>
      <c r="E69" s="1189"/>
      <c r="F69" s="1188" t="s">
        <v>2</v>
      </c>
      <c r="G69" s="1188" t="s">
        <v>730</v>
      </c>
      <c r="H69" s="1188" t="s">
        <v>3845</v>
      </c>
      <c r="I69" s="1190">
        <v>1</v>
      </c>
      <c r="J69" s="1190">
        <v>0</v>
      </c>
      <c r="K69" s="1190">
        <v>1</v>
      </c>
      <c r="L69" s="609" t="str">
        <f t="shared" si="11"/>
        <v>622</v>
      </c>
      <c r="M69" s="610" t="str">
        <f t="shared" si="0"/>
        <v>LAVEURS USAGES</v>
      </c>
      <c r="N69" s="611">
        <f>+IF(OR($Q69=Parametres!$G$2,$Q69=Parametres!$G$3),I69,C69)</f>
        <v>1</v>
      </c>
      <c r="O69" s="611">
        <f>+IF(OR($Q69=Parametres!$G$2,$Q69=Parametres!$G$3),J69,D69)</f>
        <v>0</v>
      </c>
      <c r="P69" s="611">
        <f>+IF(OR($Q69=Parametres!$G$2,$Q69=Parametres!$G$3),K69,E69)</f>
        <v>1</v>
      </c>
      <c r="Q69" s="610" t="str">
        <f t="shared" si="8"/>
        <v>1-Mémo</v>
      </c>
      <c r="R69" s="609" t="str">
        <f t="shared" si="9"/>
        <v>50</v>
      </c>
      <c r="S69" s="610" t="str">
        <f t="shared" si="10"/>
        <v>_</v>
      </c>
      <c r="T69" s="612" t="str">
        <f>+VLOOKUP($L69,Data_Validation!$A:$D,1,0)</f>
        <v>622</v>
      </c>
      <c r="U69" s="612">
        <f>+VLOOKUP($L69,Data_Validation!$A:$D,3,0)</f>
        <v>0</v>
      </c>
      <c r="V69" s="612">
        <f>+VLOOKUP($L69,Data_Validation!$A:$D,4,0)</f>
        <v>0</v>
      </c>
      <c r="W69" s="612" t="str">
        <f>+VLOOKUP($L69,Data_Validation!$A:$E,5,0)</f>
        <v>$</v>
      </c>
      <c r="X69" s="612">
        <f>+VLOOKUP($L69,Data_Validation!$A:$F,6,0)</f>
        <v>0</v>
      </c>
    </row>
    <row r="70" spans="1:24" ht="15" customHeight="1">
      <c r="A70" s="1188" t="s">
        <v>748</v>
      </c>
      <c r="B70" s="1188" t="s">
        <v>2316</v>
      </c>
      <c r="C70" s="1189"/>
      <c r="D70" s="1189"/>
      <c r="E70" s="1189"/>
      <c r="F70" s="1188" t="s">
        <v>2</v>
      </c>
      <c r="G70" s="1188" t="s">
        <v>730</v>
      </c>
      <c r="H70" s="1188" t="s">
        <v>3845</v>
      </c>
      <c r="I70" s="1190">
        <v>7</v>
      </c>
      <c r="J70" s="1190">
        <v>0</v>
      </c>
      <c r="K70" s="1190">
        <v>7</v>
      </c>
      <c r="L70" s="609" t="str">
        <f t="shared" si="11"/>
        <v>624</v>
      </c>
      <c r="M70" s="610" t="str">
        <f t="shared" si="0"/>
        <v>LAVEURS SERVICE</v>
      </c>
      <c r="N70" s="611">
        <f>+IF(OR($Q70=Parametres!$G$2,$Q70=Parametres!$G$3),I70,C70)</f>
        <v>7</v>
      </c>
      <c r="O70" s="611">
        <f>+IF(OR($Q70=Parametres!$G$2,$Q70=Parametres!$G$3),J70,D70)</f>
        <v>0</v>
      </c>
      <c r="P70" s="611">
        <f>+IF(OR($Q70=Parametres!$G$2,$Q70=Parametres!$G$3),K70,E70)</f>
        <v>7</v>
      </c>
      <c r="Q70" s="610" t="str">
        <f t="shared" si="8"/>
        <v>1-Mémo</v>
      </c>
      <c r="R70" s="609" t="str">
        <f t="shared" si="9"/>
        <v>50</v>
      </c>
      <c r="S70" s="610" t="str">
        <f t="shared" si="10"/>
        <v>_</v>
      </c>
      <c r="T70" s="612" t="str">
        <f>+VLOOKUP($L70,Data_Validation!$A:$D,1,0)</f>
        <v>624</v>
      </c>
      <c r="U70" s="612">
        <f>+VLOOKUP($L70,Data_Validation!$A:$D,3,0)</f>
        <v>0</v>
      </c>
      <c r="V70" s="612">
        <f>+VLOOKUP($L70,Data_Validation!$A:$D,4,0)</f>
        <v>0</v>
      </c>
      <c r="W70" s="612" t="str">
        <f>+VLOOKUP($L70,Data_Validation!$A:$E,5,0)</f>
        <v>$</v>
      </c>
      <c r="X70" s="612">
        <f>+VLOOKUP($L70,Data_Validation!$A:$F,6,0)</f>
        <v>0</v>
      </c>
    </row>
    <row r="71" spans="1:24" ht="15" customHeight="1">
      <c r="A71" s="1188" t="s">
        <v>749</v>
      </c>
      <c r="B71" s="1188" t="s">
        <v>2414</v>
      </c>
      <c r="C71" s="1189"/>
      <c r="D71" s="1189"/>
      <c r="E71" s="1189"/>
      <c r="F71" s="1188" t="s">
        <v>2</v>
      </c>
      <c r="G71" s="1188" t="s">
        <v>3276</v>
      </c>
      <c r="H71" s="1188" t="s">
        <v>3845</v>
      </c>
      <c r="I71" s="1190">
        <v>12</v>
      </c>
      <c r="J71" s="1190">
        <v>0</v>
      </c>
      <c r="K71" s="1190">
        <v>12</v>
      </c>
      <c r="L71" s="609" t="str">
        <f t="shared" si="11"/>
        <v>644</v>
      </c>
      <c r="M71" s="610" t="str">
        <f t="shared" si="0"/>
        <v>VW TECHNICIENS - SERVICE</v>
      </c>
      <c r="N71" s="611">
        <f>+IF(OR($Q71=Parametres!$G$2,$Q71=Parametres!$G$3),I71,C71)</f>
        <v>12</v>
      </c>
      <c r="O71" s="611">
        <f>+IF(OR($Q71=Parametres!$G$2,$Q71=Parametres!$G$3),J71,D71)</f>
        <v>0</v>
      </c>
      <c r="P71" s="611">
        <f>+IF(OR($Q71=Parametres!$G$2,$Q71=Parametres!$G$3),K71,E71)</f>
        <v>12</v>
      </c>
      <c r="Q71" s="610" t="str">
        <f t="shared" si="8"/>
        <v>1-Mémo</v>
      </c>
      <c r="R71" s="609" t="str">
        <f t="shared" si="9"/>
        <v>64</v>
      </c>
      <c r="S71" s="610" t="str">
        <f t="shared" si="10"/>
        <v>_</v>
      </c>
      <c r="T71" s="612" t="str">
        <f>+VLOOKUP($L71,Data_Validation!$A:$D,1,0)</f>
        <v>644</v>
      </c>
      <c r="U71" s="612">
        <f>+VLOOKUP($L71,Data_Validation!$A:$D,3,0)</f>
        <v>0</v>
      </c>
      <c r="V71" s="612">
        <f>+VLOOKUP($L71,Data_Validation!$A:$D,4,0)</f>
        <v>0</v>
      </c>
      <c r="W71" s="612" t="str">
        <f>+VLOOKUP($L71,Data_Validation!$A:$E,5,0)</f>
        <v>$</v>
      </c>
      <c r="X71" s="612">
        <f>+VLOOKUP($L71,Data_Validation!$A:$F,6,0)</f>
        <v>0</v>
      </c>
    </row>
    <row r="72" spans="1:24" ht="15" customHeight="1">
      <c r="A72" s="1188" t="s">
        <v>750</v>
      </c>
      <c r="B72" s="1188" t="s">
        <v>2483</v>
      </c>
      <c r="C72" s="1189"/>
      <c r="D72" s="1189"/>
      <c r="E72" s="1189"/>
      <c r="F72" s="1188" t="s">
        <v>2</v>
      </c>
      <c r="G72" s="1188" t="s">
        <v>730</v>
      </c>
      <c r="H72" s="1188" t="s">
        <v>3845</v>
      </c>
      <c r="I72" s="1190">
        <v>0.2</v>
      </c>
      <c r="J72" s="1190">
        <v>0</v>
      </c>
      <c r="K72" s="1190">
        <v>0.2</v>
      </c>
      <c r="L72" s="609" t="str">
        <f t="shared" si="11"/>
        <v>651</v>
      </c>
      <c r="M72" s="610" t="str">
        <f t="shared" si="0"/>
        <v>DIR. ADMINIS. NEUFS</v>
      </c>
      <c r="N72" s="611">
        <f>+IF(OR($Q72=Parametres!$G$2,$Q72=Parametres!$G$3),I72,C72)</f>
        <v>0.2</v>
      </c>
      <c r="O72" s="615">
        <f>+IF(OR($Q72=Parametres!$G$2,$Q72=Parametres!$G$3),J72,D72)</f>
        <v>0</v>
      </c>
      <c r="P72" s="611">
        <f>+IF(OR($Q72=Parametres!$G$2,$Q72=Parametres!$G$3),K72,E72)</f>
        <v>0.2</v>
      </c>
      <c r="Q72" s="610" t="str">
        <f t="shared" si="8"/>
        <v>1-Mémo</v>
      </c>
      <c r="R72" s="609" t="str">
        <f t="shared" si="9"/>
        <v>50</v>
      </c>
      <c r="S72" s="610" t="str">
        <f t="shared" si="10"/>
        <v>_</v>
      </c>
      <c r="T72" s="612" t="str">
        <f>+VLOOKUP($L72,Data_Validation!$A:$D,1,0)</f>
        <v>651</v>
      </c>
      <c r="U72" s="612">
        <f>+VLOOKUP($L72,Data_Validation!$A:$D,3,0)</f>
        <v>0</v>
      </c>
      <c r="V72" s="612">
        <f>+VLOOKUP($L72,Data_Validation!$A:$D,4,0)</f>
        <v>0</v>
      </c>
      <c r="W72" s="612" t="str">
        <f>+VLOOKUP($L72,Data_Validation!$A:$E,5,0)</f>
        <v>$</v>
      </c>
      <c r="X72" s="612">
        <f>+VLOOKUP($L72,Data_Validation!$A:$F,6,0)</f>
        <v>0</v>
      </c>
    </row>
    <row r="73" spans="1:24" ht="15" customHeight="1">
      <c r="A73" s="1188" t="s">
        <v>751</v>
      </c>
      <c r="B73" s="1188" t="s">
        <v>2489</v>
      </c>
      <c r="C73" s="1189"/>
      <c r="D73" s="1189"/>
      <c r="E73" s="1189"/>
      <c r="F73" s="1188" t="s">
        <v>2</v>
      </c>
      <c r="G73" s="1188" t="s">
        <v>730</v>
      </c>
      <c r="H73" s="1188" t="s">
        <v>3845</v>
      </c>
      <c r="I73" s="1190">
        <v>0.2</v>
      </c>
      <c r="J73" s="1190">
        <v>0</v>
      </c>
      <c r="K73" s="1190">
        <v>0.2</v>
      </c>
      <c r="L73" s="609" t="str">
        <f t="shared" si="11"/>
        <v>652</v>
      </c>
      <c r="M73" s="610" t="str">
        <f t="shared" si="0"/>
        <v>DIR. ADMINIS. USAGES</v>
      </c>
      <c r="N73" s="611">
        <f>+IF(OR($Q73=Parametres!$G$2,$Q73=Parametres!$G$3),I73,C73)</f>
        <v>0.2</v>
      </c>
      <c r="O73" s="611">
        <f>+IF(OR($Q73=Parametres!$G$2,$Q73=Parametres!$G$3),J73,D73)</f>
        <v>0</v>
      </c>
      <c r="P73" s="611">
        <f>+IF(OR($Q73=Parametres!$G$2,$Q73=Parametres!$G$3),K73,E73)</f>
        <v>0.2</v>
      </c>
      <c r="Q73" s="610" t="str">
        <f t="shared" si="8"/>
        <v>1-Mémo</v>
      </c>
      <c r="R73" s="609" t="str">
        <f t="shared" si="9"/>
        <v>50</v>
      </c>
      <c r="S73" s="610" t="str">
        <f t="shared" si="10"/>
        <v>_</v>
      </c>
      <c r="T73" s="612" t="str">
        <f>+VLOOKUP($L73,Data_Validation!$A:$D,1,0)</f>
        <v>652</v>
      </c>
      <c r="U73" s="612">
        <f>+VLOOKUP($L73,Data_Validation!$A:$D,3,0)</f>
        <v>0</v>
      </c>
      <c r="V73" s="612">
        <f>+VLOOKUP($L73,Data_Validation!$A:$D,4,0)</f>
        <v>0</v>
      </c>
      <c r="W73" s="612" t="str">
        <f>+VLOOKUP($L73,Data_Validation!$A:$E,5,0)</f>
        <v>$</v>
      </c>
      <c r="X73" s="612">
        <f>+VLOOKUP($L73,Data_Validation!$A:$F,6,0)</f>
        <v>0</v>
      </c>
    </row>
    <row r="74" spans="1:24" ht="15" customHeight="1">
      <c r="A74" s="1188" t="s">
        <v>752</v>
      </c>
      <c r="B74" s="1188" t="s">
        <v>2519</v>
      </c>
      <c r="C74" s="1189"/>
      <c r="D74" s="1189"/>
      <c r="E74" s="1189"/>
      <c r="F74" s="1188" t="s">
        <v>2</v>
      </c>
      <c r="G74" s="1188" t="s">
        <v>730</v>
      </c>
      <c r="H74" s="1188" t="s">
        <v>3845</v>
      </c>
      <c r="I74" s="1190">
        <v>0.2</v>
      </c>
      <c r="J74" s="1190">
        <v>0</v>
      </c>
      <c r="K74" s="1190">
        <v>0.2</v>
      </c>
      <c r="L74" s="609" t="str">
        <f t="shared" si="11"/>
        <v>654</v>
      </c>
      <c r="M74" s="610" t="str">
        <f t="shared" si="0"/>
        <v>DIR. ADMINIS. SERVICE</v>
      </c>
      <c r="N74" s="611">
        <f>+IF(OR($Q74=Parametres!$G$2,$Q74=Parametres!$G$3),I74,C74)</f>
        <v>0.2</v>
      </c>
      <c r="O74" s="611">
        <f>+IF(OR($Q74=Parametres!$G$2,$Q74=Parametres!$G$3),J74,D74)</f>
        <v>0</v>
      </c>
      <c r="P74" s="611">
        <f>+IF(OR($Q74=Parametres!$G$2,$Q74=Parametres!$G$3),K74,E74)</f>
        <v>0.2</v>
      </c>
      <c r="Q74" s="610" t="str">
        <f t="shared" si="8"/>
        <v>1-Mémo</v>
      </c>
      <c r="R74" s="609" t="str">
        <f t="shared" si="9"/>
        <v>50</v>
      </c>
      <c r="S74" s="610" t="str">
        <f t="shared" si="10"/>
        <v>_</v>
      </c>
      <c r="T74" s="612" t="str">
        <f>+VLOOKUP($L74,Data_Validation!$A:$D,1,0)</f>
        <v>654</v>
      </c>
      <c r="U74" s="612">
        <f>+VLOOKUP($L74,Data_Validation!$A:$D,3,0)</f>
        <v>0</v>
      </c>
      <c r="V74" s="612">
        <f>+VLOOKUP($L74,Data_Validation!$A:$D,4,0)</f>
        <v>0</v>
      </c>
      <c r="W74" s="612" t="str">
        <f>+VLOOKUP($L74,Data_Validation!$A:$E,5,0)</f>
        <v>$</v>
      </c>
      <c r="X74" s="612">
        <f>+VLOOKUP($L74,Data_Validation!$A:$F,6,0)</f>
        <v>0</v>
      </c>
    </row>
    <row r="75" spans="1:24" ht="15" customHeight="1">
      <c r="A75" s="1188" t="s">
        <v>753</v>
      </c>
      <c r="B75" s="1188" t="s">
        <v>1212</v>
      </c>
      <c r="C75" s="1189"/>
      <c r="D75" s="1189"/>
      <c r="E75" s="1189"/>
      <c r="F75" s="1188" t="s">
        <v>2</v>
      </c>
      <c r="G75" s="1188" t="s">
        <v>730</v>
      </c>
      <c r="H75" s="1188" t="s">
        <v>3845</v>
      </c>
      <c r="I75" s="1190">
        <v>0.2</v>
      </c>
      <c r="J75" s="1190">
        <v>0</v>
      </c>
      <c r="K75" s="1190">
        <v>0.2</v>
      </c>
      <c r="L75" s="609" t="str">
        <f t="shared" si="11"/>
        <v>655</v>
      </c>
      <c r="M75" s="610" t="str">
        <f t="shared" si="0"/>
        <v>DIR. ADMINIS. CARROSS.</v>
      </c>
      <c r="N75" s="611">
        <f>+IF(OR($Q75=Parametres!$G$2,$Q75=Parametres!$G$3),I75,C75)</f>
        <v>0.2</v>
      </c>
      <c r="O75" s="611">
        <f>+IF(OR($Q75=Parametres!$G$2,$Q75=Parametres!$G$3),J75,D75)</f>
        <v>0</v>
      </c>
      <c r="P75" s="611">
        <f>+IF(OR($Q75=Parametres!$G$2,$Q75=Parametres!$G$3),K75,E75)</f>
        <v>0.2</v>
      </c>
      <c r="Q75" s="610" t="str">
        <f t="shared" si="8"/>
        <v>1-Mémo</v>
      </c>
      <c r="R75" s="609" t="str">
        <f t="shared" si="9"/>
        <v>50</v>
      </c>
      <c r="S75" s="610" t="str">
        <f t="shared" si="10"/>
        <v>_</v>
      </c>
      <c r="T75" s="612" t="str">
        <f>+VLOOKUP($L75,Data_Validation!$A:$D,1,0)</f>
        <v>655</v>
      </c>
      <c r="U75" s="612">
        <f>+VLOOKUP($L75,Data_Validation!$A:$D,3,0)</f>
        <v>0</v>
      </c>
      <c r="V75" s="612">
        <f>+VLOOKUP($L75,Data_Validation!$A:$D,4,0)</f>
        <v>0</v>
      </c>
      <c r="W75" s="612" t="str">
        <f>+VLOOKUP($L75,Data_Validation!$A:$E,5,0)</f>
        <v>$</v>
      </c>
      <c r="X75" s="612">
        <f>+VLOOKUP($L75,Data_Validation!$A:$F,6,0)</f>
        <v>0</v>
      </c>
    </row>
    <row r="76" spans="1:24" ht="15" customHeight="1">
      <c r="A76" s="1188" t="s">
        <v>754</v>
      </c>
      <c r="B76" s="1188" t="s">
        <v>2562</v>
      </c>
      <c r="C76" s="1189"/>
      <c r="D76" s="1189"/>
      <c r="E76" s="1189"/>
      <c r="F76" s="1188" t="s">
        <v>2</v>
      </c>
      <c r="G76" s="1188" t="s">
        <v>730</v>
      </c>
      <c r="H76" s="1188" t="s">
        <v>3845</v>
      </c>
      <c r="I76" s="1190">
        <v>0.2</v>
      </c>
      <c r="J76" s="1190">
        <v>0</v>
      </c>
      <c r="K76" s="1190">
        <v>0.2</v>
      </c>
      <c r="L76" s="609" t="str">
        <f t="shared" si="11"/>
        <v>657</v>
      </c>
      <c r="M76" s="610" t="str">
        <f t="shared" si="0"/>
        <v>DIR. ADMINIS. PIECES</v>
      </c>
      <c r="N76" s="611">
        <f>+IF(OR($Q76=Parametres!$G$2,$Q76=Parametres!$G$3),I76,C76)</f>
        <v>0.2</v>
      </c>
      <c r="O76" s="611">
        <f>+IF(OR($Q76=Parametres!$G$2,$Q76=Parametres!$G$3),J76,D76)</f>
        <v>0</v>
      </c>
      <c r="P76" s="611">
        <f>+IF(OR($Q76=Parametres!$G$2,$Q76=Parametres!$G$3),K76,E76)</f>
        <v>0.2</v>
      </c>
      <c r="Q76" s="610" t="str">
        <f t="shared" si="8"/>
        <v>1-Mémo</v>
      </c>
      <c r="R76" s="609" t="str">
        <f t="shared" si="9"/>
        <v>50</v>
      </c>
      <c r="S76" s="610" t="str">
        <f t="shared" si="10"/>
        <v>_</v>
      </c>
      <c r="T76" s="612" t="str">
        <f>+VLOOKUP($L76,Data_Validation!$A:$D,1,0)</f>
        <v>657</v>
      </c>
      <c r="U76" s="612">
        <f>+VLOOKUP($L76,Data_Validation!$A:$D,3,0)</f>
        <v>0</v>
      </c>
      <c r="V76" s="612">
        <f>+VLOOKUP($L76,Data_Validation!$A:$D,4,0)</f>
        <v>0</v>
      </c>
      <c r="W76" s="612" t="str">
        <f>+VLOOKUP($L76,Data_Validation!$A:$E,5,0)</f>
        <v>$</v>
      </c>
      <c r="X76" s="612">
        <f>+VLOOKUP($L76,Data_Validation!$A:$F,6,0)</f>
        <v>0</v>
      </c>
    </row>
    <row r="77" spans="1:24" ht="15" customHeight="1">
      <c r="A77" s="1188" t="s">
        <v>755</v>
      </c>
      <c r="B77" s="1188" t="s">
        <v>2580</v>
      </c>
      <c r="C77" s="1189"/>
      <c r="D77" s="1189"/>
      <c r="E77" s="1189"/>
      <c r="F77" s="1188" t="s">
        <v>2</v>
      </c>
      <c r="G77" s="1188" t="s">
        <v>730</v>
      </c>
      <c r="H77" s="1188" t="s">
        <v>3845</v>
      </c>
      <c r="I77" s="1190">
        <v>1</v>
      </c>
      <c r="J77" s="1190">
        <v>0</v>
      </c>
      <c r="K77" s="1190">
        <v>1</v>
      </c>
      <c r="L77" s="609" t="str">
        <f t="shared" si="11"/>
        <v>661</v>
      </c>
      <c r="M77" s="610" t="str">
        <f t="shared" si="0"/>
        <v>PERSONELS CLER. NEUFS</v>
      </c>
      <c r="N77" s="611">
        <f>+IF(OR($Q77=Parametres!$G$2,$Q77=Parametres!$G$3),I77,C77)</f>
        <v>1</v>
      </c>
      <c r="O77" s="611">
        <f>+IF(OR($Q77=Parametres!$G$2,$Q77=Parametres!$G$3),J77,D77)</f>
        <v>0</v>
      </c>
      <c r="P77" s="611">
        <f>+IF(OR($Q77=Parametres!$G$2,$Q77=Parametres!$G$3),K77,E77)</f>
        <v>1</v>
      </c>
      <c r="Q77" s="610" t="str">
        <f t="shared" si="8"/>
        <v>1-Mémo</v>
      </c>
      <c r="R77" s="609" t="str">
        <f t="shared" si="9"/>
        <v>50</v>
      </c>
      <c r="S77" s="610" t="str">
        <f t="shared" si="10"/>
        <v>_</v>
      </c>
      <c r="T77" s="612" t="str">
        <f>+VLOOKUP($L77,Data_Validation!$A:$D,1,0)</f>
        <v>661</v>
      </c>
      <c r="U77" s="612">
        <f>+VLOOKUP($L77,Data_Validation!$A:$D,3,0)</f>
        <v>0</v>
      </c>
      <c r="V77" s="612">
        <f>+VLOOKUP($L77,Data_Validation!$A:$D,4,0)</f>
        <v>0</v>
      </c>
      <c r="W77" s="612" t="str">
        <f>+VLOOKUP($L77,Data_Validation!$A:$E,5,0)</f>
        <v>$</v>
      </c>
      <c r="X77" s="612">
        <f>+VLOOKUP($L77,Data_Validation!$A:$F,6,0)</f>
        <v>0</v>
      </c>
    </row>
    <row r="78" spans="1:24" ht="15" customHeight="1">
      <c r="A78" s="1188" t="s">
        <v>756</v>
      </c>
      <c r="B78" s="1188" t="s">
        <v>2583</v>
      </c>
      <c r="C78" s="1189"/>
      <c r="D78" s="1189"/>
      <c r="E78" s="1189"/>
      <c r="F78" s="1188" t="s">
        <v>2</v>
      </c>
      <c r="G78" s="1188" t="s">
        <v>730</v>
      </c>
      <c r="H78" s="1188" t="s">
        <v>3845</v>
      </c>
      <c r="I78" s="1190">
        <v>1</v>
      </c>
      <c r="J78" s="1190">
        <v>0</v>
      </c>
      <c r="K78" s="1190">
        <v>1</v>
      </c>
      <c r="L78" s="609" t="str">
        <f t="shared" si="11"/>
        <v>662</v>
      </c>
      <c r="M78" s="610" t="str">
        <f t="shared" si="0"/>
        <v>PERSONELS CLER. USAGES</v>
      </c>
      <c r="N78" s="611">
        <f>+IF(OR($Q78=Parametres!$G$2,$Q78=Parametres!$G$3),I78,C78)</f>
        <v>1</v>
      </c>
      <c r="O78" s="611">
        <f>+IF(OR($Q78=Parametres!$G$2,$Q78=Parametres!$G$3),J78,D78)</f>
        <v>0</v>
      </c>
      <c r="P78" s="611">
        <f>+IF(OR($Q78=Parametres!$G$2,$Q78=Parametres!$G$3),K78,E78)</f>
        <v>1</v>
      </c>
      <c r="Q78" s="610" t="str">
        <f t="shared" si="8"/>
        <v>1-Mémo</v>
      </c>
      <c r="R78" s="609" t="str">
        <f t="shared" si="9"/>
        <v>50</v>
      </c>
      <c r="S78" s="610" t="str">
        <f t="shared" si="10"/>
        <v>_</v>
      </c>
      <c r="T78" s="612" t="str">
        <f>+VLOOKUP($L78,Data_Validation!$A:$D,1,0)</f>
        <v>662</v>
      </c>
      <c r="U78" s="612">
        <f>+VLOOKUP($L78,Data_Validation!$A:$D,3,0)</f>
        <v>0</v>
      </c>
      <c r="V78" s="612">
        <f>+VLOOKUP($L78,Data_Validation!$A:$D,4,0)</f>
        <v>0</v>
      </c>
      <c r="W78" s="612" t="str">
        <f>+VLOOKUP($L78,Data_Validation!$A:$E,5,0)</f>
        <v>$</v>
      </c>
      <c r="X78" s="612">
        <f>+VLOOKUP($L78,Data_Validation!$A:$F,6,0)</f>
        <v>0</v>
      </c>
    </row>
    <row r="79" spans="1:24" ht="15" customHeight="1">
      <c r="A79" s="1188" t="s">
        <v>757</v>
      </c>
      <c r="B79" s="1188" t="s">
        <v>2586</v>
      </c>
      <c r="C79" s="1189"/>
      <c r="D79" s="1189"/>
      <c r="E79" s="1189"/>
      <c r="F79" s="1188" t="s">
        <v>2</v>
      </c>
      <c r="G79" s="1188" t="s">
        <v>730</v>
      </c>
      <c r="H79" s="1188" t="s">
        <v>3845</v>
      </c>
      <c r="I79" s="1190">
        <v>1</v>
      </c>
      <c r="J79" s="1190">
        <v>0</v>
      </c>
      <c r="K79" s="1190">
        <v>1</v>
      </c>
      <c r="L79" s="609" t="str">
        <f t="shared" si="11"/>
        <v>664</v>
      </c>
      <c r="M79" s="610" t="str">
        <f t="shared" si="0"/>
        <v>PERSONELS CLER. SERVICE</v>
      </c>
      <c r="N79" s="611">
        <f>+IF(OR($Q79=Parametres!$G$2,$Q79=Parametres!$G$3),I79,C79)</f>
        <v>1</v>
      </c>
      <c r="O79" s="611">
        <f>+IF(OR($Q79=Parametres!$G$2,$Q79=Parametres!$G$3),J79,D79)</f>
        <v>0</v>
      </c>
      <c r="P79" s="611">
        <f>+IF(OR($Q79=Parametres!$G$2,$Q79=Parametres!$G$3),K79,E79)</f>
        <v>1</v>
      </c>
      <c r="Q79" s="610" t="str">
        <f t="shared" si="8"/>
        <v>1-Mémo</v>
      </c>
      <c r="R79" s="609" t="str">
        <f t="shared" si="9"/>
        <v>50</v>
      </c>
      <c r="S79" s="610" t="str">
        <f t="shared" si="10"/>
        <v>_</v>
      </c>
      <c r="T79" s="612" t="str">
        <f>+VLOOKUP($L79,Data_Validation!$A:$D,1,0)</f>
        <v>664</v>
      </c>
      <c r="U79" s="612">
        <f>+VLOOKUP($L79,Data_Validation!$A:$D,3,0)</f>
        <v>0</v>
      </c>
      <c r="V79" s="612">
        <f>+VLOOKUP($L79,Data_Validation!$A:$D,4,0)</f>
        <v>0</v>
      </c>
      <c r="W79" s="612" t="str">
        <f>+VLOOKUP($L79,Data_Validation!$A:$E,5,0)</f>
        <v>$</v>
      </c>
      <c r="X79" s="612">
        <f>+VLOOKUP($L79,Data_Validation!$A:$F,6,0)</f>
        <v>0</v>
      </c>
    </row>
    <row r="80" spans="1:24" ht="15.75" customHeight="1">
      <c r="A80" s="1188" t="s">
        <v>758</v>
      </c>
      <c r="B80" s="1188" t="s">
        <v>2589</v>
      </c>
      <c r="C80" s="1189"/>
      <c r="D80" s="1189"/>
      <c r="E80" s="1189"/>
      <c r="F80" s="1188" t="s">
        <v>2</v>
      </c>
      <c r="G80" s="1188" t="s">
        <v>730</v>
      </c>
      <c r="H80" s="1188" t="s">
        <v>3845</v>
      </c>
      <c r="I80" s="1190">
        <v>1</v>
      </c>
      <c r="J80" s="1190">
        <v>0</v>
      </c>
      <c r="K80" s="1190">
        <v>1</v>
      </c>
      <c r="L80" s="609" t="str">
        <f t="shared" si="11"/>
        <v>667</v>
      </c>
      <c r="M80" s="610" t="str">
        <f t="shared" si="0"/>
        <v>PERSONELS CLER. PIECES</v>
      </c>
      <c r="N80" s="611">
        <f>+IF(OR($Q80=Parametres!$G$2,$Q80=Parametres!$G$3),I80,C80)</f>
        <v>1</v>
      </c>
      <c r="O80" s="611">
        <f>+IF(OR($Q80=Parametres!$G$2,$Q80=Parametres!$G$3),J80,D80)</f>
        <v>0</v>
      </c>
      <c r="P80" s="611">
        <f>+IF(OR($Q80=Parametres!$G$2,$Q80=Parametres!$G$3),K80,E80)</f>
        <v>1</v>
      </c>
      <c r="Q80" s="610" t="str">
        <f t="shared" si="8"/>
        <v>1-Mémo</v>
      </c>
      <c r="R80" s="609" t="str">
        <f t="shared" si="9"/>
        <v>50</v>
      </c>
      <c r="S80" s="610" t="str">
        <f t="shared" si="10"/>
        <v>_</v>
      </c>
      <c r="T80" s="612" t="str">
        <f>+VLOOKUP($L80,Data_Validation!$A:$D,1,0)</f>
        <v>667</v>
      </c>
      <c r="U80" s="612">
        <f>+VLOOKUP($L80,Data_Validation!$A:$D,3,0)</f>
        <v>0</v>
      </c>
      <c r="V80" s="612">
        <f>+VLOOKUP($L80,Data_Validation!$A:$D,4,0)</f>
        <v>0</v>
      </c>
      <c r="W80" s="612" t="str">
        <f>+VLOOKUP($L80,Data_Validation!$A:$E,5,0)</f>
        <v>$</v>
      </c>
      <c r="X80" s="612">
        <f>+VLOOKUP($L80,Data_Validation!$A:$F,6,0)</f>
        <v>0</v>
      </c>
    </row>
    <row r="81" spans="1:24" ht="15" customHeight="1">
      <c r="A81" s="1188" t="s">
        <v>759</v>
      </c>
      <c r="B81" s="1188" t="s">
        <v>2667</v>
      </c>
      <c r="C81" s="1189"/>
      <c r="D81" s="1189"/>
      <c r="E81" s="1189"/>
      <c r="F81" s="1188" t="s">
        <v>2</v>
      </c>
      <c r="G81" s="1188" t="s">
        <v>3277</v>
      </c>
      <c r="H81" s="1188" t="s">
        <v>3845</v>
      </c>
      <c r="I81" s="1190">
        <v>3</v>
      </c>
      <c r="J81" s="1190">
        <v>0</v>
      </c>
      <c r="K81" s="1190">
        <v>3</v>
      </c>
      <c r="L81" s="609" t="str">
        <f t="shared" si="11"/>
        <v>677</v>
      </c>
      <c r="M81" s="610" t="str">
        <f t="shared" si="0"/>
        <v>VW PIECES</v>
      </c>
      <c r="N81" s="611">
        <f>+IF(OR($Q81=Parametres!$G$2,$Q81=Parametres!$G$3),I81,C81)</f>
        <v>3</v>
      </c>
      <c r="O81" s="611">
        <f>+IF(OR($Q81=Parametres!$G$2,$Q81=Parametres!$G$3),J81,D81)</f>
        <v>0</v>
      </c>
      <c r="P81" s="611">
        <f>+IF(OR($Q81=Parametres!$G$2,$Q81=Parametres!$G$3),K81,E81)</f>
        <v>3</v>
      </c>
      <c r="Q81" s="610" t="str">
        <f t="shared" si="8"/>
        <v>1-Mémo</v>
      </c>
      <c r="R81" s="609" t="str">
        <f t="shared" si="9"/>
        <v>67</v>
      </c>
      <c r="S81" s="610" t="str">
        <f t="shared" si="10"/>
        <v>_</v>
      </c>
      <c r="T81" s="612" t="str">
        <f>+VLOOKUP($L81,Data_Validation!$A:$D,1,0)</f>
        <v>677</v>
      </c>
      <c r="U81" s="612">
        <f>+VLOOKUP($L81,Data_Validation!$A:$D,3,0)</f>
        <v>0</v>
      </c>
      <c r="V81" s="612">
        <f>+VLOOKUP($L81,Data_Validation!$A:$D,4,0)</f>
        <v>0</v>
      </c>
      <c r="W81" s="612" t="str">
        <f>+VLOOKUP($L81,Data_Validation!$A:$E,5,0)</f>
        <v>$</v>
      </c>
      <c r="X81" s="612">
        <f>+VLOOKUP($L81,Data_Validation!$A:$F,6,0)</f>
        <v>0</v>
      </c>
    </row>
    <row r="82" spans="1:24" ht="15" customHeight="1">
      <c r="A82" s="1188" t="s">
        <v>760</v>
      </c>
      <c r="B82" s="1188" t="s">
        <v>762</v>
      </c>
      <c r="C82" s="1190">
        <v>1340597</v>
      </c>
      <c r="D82" s="1190">
        <v>4642.0200000000004</v>
      </c>
      <c r="E82" s="1190">
        <v>1345239.02</v>
      </c>
      <c r="F82" s="1188" t="s">
        <v>761</v>
      </c>
      <c r="G82" s="1188" t="s">
        <v>762</v>
      </c>
      <c r="H82" s="1188" t="s">
        <v>3845</v>
      </c>
      <c r="I82" s="1189"/>
      <c r="J82" s="1189"/>
      <c r="K82" s="1189"/>
      <c r="L82" s="609" t="str">
        <f t="shared" si="11"/>
        <v>1102</v>
      </c>
      <c r="M82" s="610" t="str">
        <f t="shared" si="0"/>
        <v>BANQUE DE COMMERCE C/C</v>
      </c>
      <c r="N82" s="611">
        <f>+IF(OR($Q82=Parametres!$G$2,$Q82=Parametres!$G$3),I82,C82)</f>
        <v>1340597</v>
      </c>
      <c r="O82" s="611">
        <f>+IF(OR($Q82=Parametres!$G$2,$Q82=Parametres!$G$3),J82,D82)</f>
        <v>4642.0200000000004</v>
      </c>
      <c r="P82" s="611">
        <f>+IF(OR($Q82=Parametres!$G$2,$Q82=Parametres!$G$3),K82,E82)</f>
        <v>1345239.02</v>
      </c>
      <c r="Q82" s="610" t="str">
        <f t="shared" si="8"/>
        <v>2-Actifs</v>
      </c>
      <c r="R82" s="609" t="str">
        <f t="shared" si="9"/>
        <v>1102</v>
      </c>
      <c r="S82" s="610" t="str">
        <f t="shared" si="10"/>
        <v>_</v>
      </c>
      <c r="T82" s="612" t="str">
        <f>+VLOOKUP($L82,Data_Validation!$A:$D,1,0)</f>
        <v>1102</v>
      </c>
      <c r="U82" s="612" t="str">
        <f>+VLOOKUP($L82,Data_Validation!$A:$D,3,0)</f>
        <v>Bilan</v>
      </c>
      <c r="V82" s="612" t="str">
        <f>+VLOOKUP($L82,Data_Validation!$A:$D,4,0)</f>
        <v>Encaisse</v>
      </c>
      <c r="W82" s="612" t="str">
        <f>+VLOOKUP($L82,Data_Validation!$A:$E,5,0)</f>
        <v>$</v>
      </c>
      <c r="X82" s="612">
        <f>+VLOOKUP($L82,Data_Validation!$A:$F,6,0)</f>
        <v>0</v>
      </c>
    </row>
    <row r="83" spans="1:24" ht="15" customHeight="1">
      <c r="A83" s="1188" t="s">
        <v>3863</v>
      </c>
      <c r="B83" s="1188" t="s">
        <v>3864</v>
      </c>
      <c r="C83" s="1190">
        <v>-1338828.3</v>
      </c>
      <c r="D83" s="1190">
        <v>162618.44</v>
      </c>
      <c r="E83" s="1190">
        <v>-1176209.8600000001</v>
      </c>
      <c r="F83" s="1188" t="s">
        <v>761</v>
      </c>
      <c r="G83" s="1188" t="s">
        <v>762</v>
      </c>
      <c r="H83" s="1188" t="s">
        <v>3845</v>
      </c>
      <c r="I83" s="1189"/>
      <c r="J83" s="1189"/>
      <c r="K83" s="1189"/>
      <c r="L83" s="609" t="str">
        <f t="shared" si="11"/>
        <v>1106</v>
      </c>
      <c r="M83" s="610" t="str">
        <f t="shared" si="0"/>
        <v>TD CANADA TRUST</v>
      </c>
      <c r="N83" s="611">
        <f>+IF(OR($Q83=Parametres!$G$2,$Q83=Parametres!$G$3),I83,C83)</f>
        <v>-1338828.3</v>
      </c>
      <c r="O83" s="611">
        <f>+IF(OR($Q83=Parametres!$G$2,$Q83=Parametres!$G$3),J83,D83)</f>
        <v>162618.44</v>
      </c>
      <c r="P83" s="611">
        <f>+IF(OR($Q83=Parametres!$G$2,$Q83=Parametres!$G$3),K83,E83)</f>
        <v>-1176209.8600000001</v>
      </c>
      <c r="Q83" s="610" t="str">
        <f t="shared" si="8"/>
        <v>2-Actifs</v>
      </c>
      <c r="R83" s="609" t="str">
        <f t="shared" si="9"/>
        <v>1102</v>
      </c>
      <c r="S83" s="610" t="str">
        <f t="shared" si="10"/>
        <v>_</v>
      </c>
      <c r="T83" s="612" t="str">
        <f>+VLOOKUP($L83,Data_Validation!$A:$D,1,0)</f>
        <v>1106</v>
      </c>
      <c r="U83" s="612" t="str">
        <f>+VLOOKUP($L83,Data_Validation!$A:$D,3,0)</f>
        <v>Bilan</v>
      </c>
      <c r="V83" s="612" t="str">
        <f>+VLOOKUP($L83,Data_Validation!$A:$D,4,0)</f>
        <v>Encaisse</v>
      </c>
      <c r="W83" s="612" t="str">
        <f>+VLOOKUP($L83,Data_Validation!$A:$E,5,0)</f>
        <v>$</v>
      </c>
      <c r="X83" s="612">
        <f>+VLOOKUP($L83,Data_Validation!$A:$F,6,0)</f>
        <v>0</v>
      </c>
    </row>
    <row r="84" spans="1:24" ht="15.75" customHeight="1">
      <c r="A84" s="1188" t="s">
        <v>3809</v>
      </c>
      <c r="B84" s="1188" t="s">
        <v>3810</v>
      </c>
      <c r="C84" s="1190">
        <v>-0.01</v>
      </c>
      <c r="D84" s="1190">
        <v>0.01</v>
      </c>
      <c r="E84" s="1190">
        <v>0</v>
      </c>
      <c r="F84" s="1188" t="s">
        <v>761</v>
      </c>
      <c r="G84" s="1188" t="s">
        <v>762</v>
      </c>
      <c r="H84" s="1188" t="s">
        <v>3845</v>
      </c>
      <c r="I84" s="1189"/>
      <c r="J84" s="1189"/>
      <c r="K84" s="1189"/>
      <c r="L84" s="609" t="str">
        <f t="shared" si="11"/>
        <v>1109</v>
      </c>
      <c r="M84" s="610" t="str">
        <f t="shared" si="0"/>
        <v>KIMOBY</v>
      </c>
      <c r="N84" s="611">
        <f>+IF(OR($Q84=Parametres!$G$2,$Q84=Parametres!$G$3),I84,C84)</f>
        <v>-0.01</v>
      </c>
      <c r="O84" s="611">
        <f>+IF(OR($Q84=Parametres!$G$2,$Q84=Parametres!$G$3),J84,D84)</f>
        <v>0.01</v>
      </c>
      <c r="P84" s="617">
        <f>+IF(OR($Q84=Parametres!$G$2,$Q84=Parametres!$G$3),K84,E84)</f>
        <v>0</v>
      </c>
      <c r="Q84" s="610" t="str">
        <f t="shared" si="8"/>
        <v>2-Actifs</v>
      </c>
      <c r="R84" s="609" t="str">
        <f t="shared" si="9"/>
        <v>1102</v>
      </c>
      <c r="S84" s="610" t="str">
        <f t="shared" si="10"/>
        <v>_</v>
      </c>
      <c r="T84" s="612" t="str">
        <f>+VLOOKUP($L84,Data_Validation!$A:$D,1,0)</f>
        <v>1109</v>
      </c>
      <c r="U84" s="612" t="str">
        <f>+VLOOKUP($L84,Data_Validation!$A:$D,3,0)</f>
        <v>Bilan</v>
      </c>
      <c r="V84" s="612" t="str">
        <f>+VLOOKUP($L84,Data_Validation!$A:$D,4,0)</f>
        <v>Encaisse</v>
      </c>
      <c r="W84" s="612" t="str">
        <f>+VLOOKUP($L84,Data_Validation!$A:$E,5,0)</f>
        <v>$</v>
      </c>
      <c r="X84" s="612">
        <f>+VLOOKUP($L84,Data_Validation!$A:$F,6,0)</f>
        <v>0</v>
      </c>
    </row>
    <row r="85" spans="1:24" ht="15" customHeight="1">
      <c r="A85" s="1188" t="s">
        <v>765</v>
      </c>
      <c r="B85" s="1188" t="s">
        <v>1397</v>
      </c>
      <c r="C85" s="1190">
        <v>158.82</v>
      </c>
      <c r="D85" s="1190">
        <v>0</v>
      </c>
      <c r="E85" s="1190">
        <v>158.82</v>
      </c>
      <c r="F85" s="1188" t="s">
        <v>761</v>
      </c>
      <c r="G85" s="1188" t="s">
        <v>762</v>
      </c>
      <c r="H85" s="1188" t="s">
        <v>3845</v>
      </c>
      <c r="I85" s="1189"/>
      <c r="J85" s="1189"/>
      <c r="K85" s="1189"/>
      <c r="L85" s="609" t="str">
        <f t="shared" si="11"/>
        <v>1182</v>
      </c>
      <c r="M85" s="610" t="str">
        <f t="shared" si="0"/>
        <v>PETITE CAISSE</v>
      </c>
      <c r="N85" s="611">
        <f>+IF(OR($Q85=Parametres!$G$2,$Q85=Parametres!$G$3),I85,C85)</f>
        <v>158.82</v>
      </c>
      <c r="O85" s="611">
        <f>+IF(OR($Q85=Parametres!$G$2,$Q85=Parametres!$G$3),J85,D85)</f>
        <v>0</v>
      </c>
      <c r="P85" s="617">
        <f>+IF(OR($Q85=Parametres!$G$2,$Q85=Parametres!$G$3),K85,E85)</f>
        <v>158.82</v>
      </c>
      <c r="Q85" s="610" t="str">
        <f t="shared" si="8"/>
        <v>2-Actifs</v>
      </c>
      <c r="R85" s="609" t="str">
        <f t="shared" si="9"/>
        <v>1102</v>
      </c>
      <c r="S85" s="610" t="str">
        <f t="shared" si="10"/>
        <v>_</v>
      </c>
      <c r="T85" s="612" t="str">
        <f>+VLOOKUP($L85,Data_Validation!$A:$D,1,0)</f>
        <v>1182</v>
      </c>
      <c r="U85" s="612" t="str">
        <f>+VLOOKUP($L85,Data_Validation!$A:$D,3,0)</f>
        <v>Bilan</v>
      </c>
      <c r="V85" s="612" t="str">
        <f>+VLOOKUP($L85,Data_Validation!$A:$D,4,0)</f>
        <v>Encaisse</v>
      </c>
      <c r="W85" s="612" t="str">
        <f>+VLOOKUP($L85,Data_Validation!$A:$E,5,0)</f>
        <v>$</v>
      </c>
      <c r="X85" s="612">
        <f>+VLOOKUP($L85,Data_Validation!$A:$F,6,0)</f>
        <v>0</v>
      </c>
    </row>
    <row r="86" spans="1:24" ht="15" customHeight="1">
      <c r="A86" s="1188" t="s">
        <v>767</v>
      </c>
      <c r="B86" s="1188" t="s">
        <v>768</v>
      </c>
      <c r="C86" s="1190">
        <v>876602.6</v>
      </c>
      <c r="D86" s="1190">
        <v>64589.89</v>
      </c>
      <c r="E86" s="1190">
        <v>941192.49</v>
      </c>
      <c r="F86" s="1188" t="s">
        <v>761</v>
      </c>
      <c r="G86" s="1188" t="s">
        <v>768</v>
      </c>
      <c r="H86" s="1188" t="s">
        <v>3845</v>
      </c>
      <c r="I86" s="1189"/>
      <c r="J86" s="1189"/>
      <c r="K86" s="1189"/>
      <c r="L86" s="609" t="str">
        <f t="shared" si="11"/>
        <v>1202</v>
      </c>
      <c r="M86" s="610" t="str">
        <f t="shared" si="0"/>
        <v>CONTRATS EN TRANSIT</v>
      </c>
      <c r="N86" s="611">
        <f>+IF(OR($Q86=Parametres!$G$2,$Q86=Parametres!$G$3),I86,C86)</f>
        <v>876602.6</v>
      </c>
      <c r="O86" s="611">
        <f>+IF(OR($Q86=Parametres!$G$2,$Q86=Parametres!$G$3),J86,D86)</f>
        <v>64589.89</v>
      </c>
      <c r="P86" s="617">
        <f>+IF(OR($Q86=Parametres!$G$2,$Q86=Parametres!$G$3),K86,E86)</f>
        <v>941192.49</v>
      </c>
      <c r="Q86" s="610" t="str">
        <f t="shared" si="8"/>
        <v>2-Actifs</v>
      </c>
      <c r="R86" s="609" t="str">
        <f t="shared" si="9"/>
        <v>1202</v>
      </c>
      <c r="S86" s="610" t="str">
        <f t="shared" si="10"/>
        <v>_</v>
      </c>
      <c r="T86" s="612" t="str">
        <f>+VLOOKUP($L86,Data_Validation!$A:$D,1,0)</f>
        <v>1202</v>
      </c>
      <c r="U86" s="612" t="str">
        <f>+VLOOKUP($L86,Data_Validation!$A:$D,3,0)</f>
        <v>Bilan</v>
      </c>
      <c r="V86" s="612" t="str">
        <f>+VLOOKUP($L86,Data_Validation!$A:$D,4,0)</f>
        <v>Recevables Contrats en Transit</v>
      </c>
      <c r="W86" s="612" t="str">
        <f>+VLOOKUP($L86,Data_Validation!$A:$E,5,0)</f>
        <v>$</v>
      </c>
      <c r="X86" s="612">
        <f>+VLOOKUP($L86,Data_Validation!$A:$F,6,0)</f>
        <v>0</v>
      </c>
    </row>
    <row r="87" spans="1:24" ht="15" customHeight="1">
      <c r="A87" s="1188" t="s">
        <v>769</v>
      </c>
      <c r="B87" s="1188" t="s">
        <v>770</v>
      </c>
      <c r="C87" s="1190">
        <v>7478.13</v>
      </c>
      <c r="D87" s="1190">
        <v>-90637.62</v>
      </c>
      <c r="E87" s="1190">
        <v>-83159.490000000005</v>
      </c>
      <c r="F87" s="1188" t="s">
        <v>761</v>
      </c>
      <c r="G87" s="1188" t="s">
        <v>770</v>
      </c>
      <c r="H87" s="1188" t="s">
        <v>3845</v>
      </c>
      <c r="I87" s="1189"/>
      <c r="J87" s="1189"/>
      <c r="K87" s="1189"/>
      <c r="L87" s="609" t="str">
        <f t="shared" si="11"/>
        <v>1302</v>
      </c>
      <c r="M87" s="610" t="str">
        <f t="shared" si="0"/>
        <v>RECEVABLE-CLIENT-VEHICULE</v>
      </c>
      <c r="N87" s="611">
        <f>+IF(OR($Q87=Parametres!$G$2,$Q87=Parametres!$G$3),I87,C87)</f>
        <v>7478.13</v>
      </c>
      <c r="O87" s="611">
        <f>+IF(OR($Q87=Parametres!$G$2,$Q87=Parametres!$G$3),J87,D87)</f>
        <v>-90637.62</v>
      </c>
      <c r="P87" s="617">
        <f>+IF(OR($Q87=Parametres!$G$2,$Q87=Parametres!$G$3),K87,E87)</f>
        <v>-83159.490000000005</v>
      </c>
      <c r="Q87" s="610" t="str">
        <f t="shared" si="8"/>
        <v>2-Actifs</v>
      </c>
      <c r="R87" s="609" t="str">
        <f t="shared" si="9"/>
        <v>1302</v>
      </c>
      <c r="S87" s="610" t="str">
        <f t="shared" si="10"/>
        <v>_</v>
      </c>
      <c r="T87" s="612" t="str">
        <f>+VLOOKUP($L87,Data_Validation!$A:$D,1,0)</f>
        <v>1302</v>
      </c>
      <c r="U87" s="612" t="str">
        <f>+VLOOKUP($L87,Data_Validation!$A:$D,3,0)</f>
        <v>Bilan</v>
      </c>
      <c r="V87" s="612" t="str">
        <f>+VLOOKUP($L87,Data_Validation!$A:$D,4,0)</f>
        <v>Recevables Véhicules</v>
      </c>
      <c r="W87" s="612" t="str">
        <f>+VLOOKUP($L87,Data_Validation!$A:$E,5,0)</f>
        <v>$</v>
      </c>
      <c r="X87" s="612">
        <f>+VLOOKUP($L87,Data_Validation!$A:$F,6,0)</f>
        <v>0</v>
      </c>
    </row>
    <row r="88" spans="1:24" ht="15" customHeight="1">
      <c r="A88" s="1188" t="s">
        <v>771</v>
      </c>
      <c r="B88" s="1188" t="s">
        <v>1404</v>
      </c>
      <c r="C88" s="1190">
        <v>257359.43</v>
      </c>
      <c r="D88" s="1190">
        <v>-96767.69</v>
      </c>
      <c r="E88" s="1190">
        <v>160591.74</v>
      </c>
      <c r="F88" s="1188" t="s">
        <v>761</v>
      </c>
      <c r="G88" s="1188" t="s">
        <v>770</v>
      </c>
      <c r="H88" s="1188" t="s">
        <v>3845</v>
      </c>
      <c r="I88" s="1189"/>
      <c r="J88" s="1189"/>
      <c r="K88" s="1189"/>
      <c r="L88" s="609" t="str">
        <f t="shared" si="11"/>
        <v>1303</v>
      </c>
      <c r="M88" s="610" t="str">
        <f t="shared" si="0"/>
        <v>RECEVABLES LPA ET AU GROS</v>
      </c>
      <c r="N88" s="611">
        <f>+IF(OR($Q88=Parametres!$G$2,$Q88=Parametres!$G$3),I88,C88)</f>
        <v>257359.43</v>
      </c>
      <c r="O88" s="611">
        <f>+IF(OR($Q88=Parametres!$G$2,$Q88=Parametres!$G$3),J88,D88)</f>
        <v>-96767.69</v>
      </c>
      <c r="P88" s="611">
        <f>+IF(OR($Q88=Parametres!$G$2,$Q88=Parametres!$G$3),K88,E88)</f>
        <v>160591.74</v>
      </c>
      <c r="Q88" s="610" t="str">
        <f t="shared" si="8"/>
        <v>2-Actifs</v>
      </c>
      <c r="R88" s="609" t="str">
        <f t="shared" si="9"/>
        <v>1302</v>
      </c>
      <c r="S88" s="610" t="str">
        <f t="shared" si="10"/>
        <v>_</v>
      </c>
      <c r="T88" s="612" t="str">
        <f>+VLOOKUP($L88,Data_Validation!$A:$D,1,0)</f>
        <v>1303</v>
      </c>
      <c r="U88" s="612" t="str">
        <f>+VLOOKUP($L88,Data_Validation!$A:$D,3,0)</f>
        <v>Bilan</v>
      </c>
      <c r="V88" s="612" t="str">
        <f>+VLOOKUP($L88,Data_Validation!$A:$D,4,0)</f>
        <v>Recevables Véhicules</v>
      </c>
      <c r="W88" s="612" t="str">
        <f>+VLOOKUP($L88,Data_Validation!$A:$E,5,0)</f>
        <v>$</v>
      </c>
      <c r="X88" s="612">
        <f>+VLOOKUP($L88,Data_Validation!$A:$F,6,0)</f>
        <v>0</v>
      </c>
    </row>
    <row r="89" spans="1:24" ht="15" customHeight="1">
      <c r="A89" s="1188" t="s">
        <v>772</v>
      </c>
      <c r="B89" s="1188" t="s">
        <v>773</v>
      </c>
      <c r="C89" s="1190">
        <v>286071</v>
      </c>
      <c r="D89" s="1190">
        <v>127430.18</v>
      </c>
      <c r="E89" s="1190">
        <v>413501.18</v>
      </c>
      <c r="F89" s="1188" t="s">
        <v>761</v>
      </c>
      <c r="G89" s="1188" t="s">
        <v>773</v>
      </c>
      <c r="H89" s="1188" t="s">
        <v>3845</v>
      </c>
      <c r="I89" s="1189"/>
      <c r="J89" s="1189"/>
      <c r="K89" s="1189"/>
      <c r="L89" s="609" t="str">
        <f t="shared" si="11"/>
        <v>1304</v>
      </c>
      <c r="M89" s="610" t="str">
        <f t="shared" si="0"/>
        <v>RECEVABLES PIECES &amp; SERVICE</v>
      </c>
      <c r="N89" s="611">
        <f>+IF(OR($Q89=Parametres!$G$2,$Q89=Parametres!$G$3),I89,C89)</f>
        <v>286071</v>
      </c>
      <c r="O89" s="615">
        <f>+IF(OR($Q89=Parametres!$G$2,$Q89=Parametres!$G$3),J89,D89)</f>
        <v>127430.18</v>
      </c>
      <c r="P89" s="611">
        <f>+IF(OR($Q89=Parametres!$G$2,$Q89=Parametres!$G$3),K89,E89)</f>
        <v>413501.18</v>
      </c>
      <c r="Q89" s="610" t="str">
        <f t="shared" si="8"/>
        <v>2-Actifs</v>
      </c>
      <c r="R89" s="609" t="str">
        <f t="shared" si="9"/>
        <v>1304</v>
      </c>
      <c r="S89" s="610" t="str">
        <f t="shared" si="10"/>
        <v>_</v>
      </c>
      <c r="T89" s="612" t="str">
        <f>+VLOOKUP($L89,Data_Validation!$A:$D,1,0)</f>
        <v>1304</v>
      </c>
      <c r="U89" s="612" t="str">
        <f>+VLOOKUP($L89,Data_Validation!$A:$D,3,0)</f>
        <v>Bilan</v>
      </c>
      <c r="V89" s="612" t="str">
        <f>+VLOOKUP($L89,Data_Validation!$A:$D,4,0)</f>
        <v>Recevables Pièces et Service</v>
      </c>
      <c r="W89" s="612" t="str">
        <f>+VLOOKUP($L89,Data_Validation!$A:$E,5,0)</f>
        <v>$</v>
      </c>
      <c r="X89" s="612">
        <f>+VLOOKUP($L89,Data_Validation!$A:$F,6,0)</f>
        <v>0</v>
      </c>
    </row>
    <row r="90" spans="1:24" ht="15" customHeight="1">
      <c r="A90" s="1188" t="s">
        <v>774</v>
      </c>
      <c r="B90" s="1188" t="s">
        <v>1409</v>
      </c>
      <c r="C90" s="1190">
        <v>10940.87</v>
      </c>
      <c r="D90" s="1190">
        <v>4617.45</v>
      </c>
      <c r="E90" s="1190">
        <v>15558.32</v>
      </c>
      <c r="F90" s="1188" t="s">
        <v>761</v>
      </c>
      <c r="G90" s="1188" t="s">
        <v>773</v>
      </c>
      <c r="H90" s="1188" t="s">
        <v>3845</v>
      </c>
      <c r="I90" s="1189"/>
      <c r="J90" s="1189"/>
      <c r="K90" s="1189"/>
      <c r="L90" s="609" t="str">
        <f t="shared" si="11"/>
        <v>1305</v>
      </c>
      <c r="M90" s="610" t="str">
        <f t="shared" si="0"/>
        <v>RECEVABLES CARROSSERIE</v>
      </c>
      <c r="N90" s="611">
        <f>+IF(OR($Q90=Parametres!$G$2,$Q90=Parametres!$G$3),I90,C90)</f>
        <v>10940.87</v>
      </c>
      <c r="O90" s="611">
        <f>+IF(OR($Q90=Parametres!$G$2,$Q90=Parametres!$G$3),J90,D90)</f>
        <v>4617.45</v>
      </c>
      <c r="P90" s="618">
        <f>+IF(OR($Q90=Parametres!$G$2,$Q90=Parametres!$G$3),K90,E90)</f>
        <v>15558.32</v>
      </c>
      <c r="Q90" s="610" t="str">
        <f t="shared" si="8"/>
        <v>2-Actifs</v>
      </c>
      <c r="R90" s="609" t="str">
        <f t="shared" si="9"/>
        <v>1304</v>
      </c>
      <c r="S90" s="610" t="str">
        <f t="shared" si="10"/>
        <v>_</v>
      </c>
      <c r="T90" s="612" t="str">
        <f>+VLOOKUP($L90,Data_Validation!$A:$D,1,0)</f>
        <v>1305</v>
      </c>
      <c r="U90" s="612" t="str">
        <f>+VLOOKUP($L90,Data_Validation!$A:$D,3,0)</f>
        <v>Bilan</v>
      </c>
      <c r="V90" s="612" t="str">
        <f>+VLOOKUP($L90,Data_Validation!$A:$D,4,0)</f>
        <v>Recevables Carrosserie</v>
      </c>
      <c r="W90" s="612" t="str">
        <f>+VLOOKUP($L90,Data_Validation!$A:$E,5,0)</f>
        <v>$</v>
      </c>
      <c r="X90" s="612">
        <f>+VLOOKUP($L90,Data_Validation!$A:$F,6,0)</f>
        <v>0</v>
      </c>
    </row>
    <row r="91" spans="1:24" ht="15" customHeight="1">
      <c r="A91" s="1188" t="s">
        <v>777</v>
      </c>
      <c r="B91" s="1188" t="s">
        <v>1412</v>
      </c>
      <c r="C91" s="1190">
        <v>715</v>
      </c>
      <c r="D91" s="1190">
        <v>35538</v>
      </c>
      <c r="E91" s="1190">
        <v>36253</v>
      </c>
      <c r="F91" s="1188" t="s">
        <v>761</v>
      </c>
      <c r="G91" s="1188" t="s">
        <v>778</v>
      </c>
      <c r="H91" s="1188" t="s">
        <v>3845</v>
      </c>
      <c r="I91" s="1189"/>
      <c r="J91" s="1189"/>
      <c r="K91" s="1189"/>
      <c r="L91" s="609" t="str">
        <f t="shared" si="11"/>
        <v>1312</v>
      </c>
      <c r="M91" s="610" t="str">
        <f t="shared" si="0"/>
        <v>RESEVE VOLKS</v>
      </c>
      <c r="N91" s="611">
        <f>+IF(OR($Q91=Parametres!$G$2,$Q91=Parametres!$G$3),I91,C91)</f>
        <v>715</v>
      </c>
      <c r="O91" s="611">
        <f>+IF(OR($Q91=Parametres!$G$2,$Q91=Parametres!$G$3),J91,D91)</f>
        <v>35538</v>
      </c>
      <c r="P91" s="618">
        <f>+IF(OR($Q91=Parametres!$G$2,$Q91=Parametres!$G$3),K91,E91)</f>
        <v>36253</v>
      </c>
      <c r="Q91" s="610" t="str">
        <f t="shared" si="8"/>
        <v>2-Actifs</v>
      </c>
      <c r="R91" s="609" t="str">
        <f t="shared" si="9"/>
        <v>1314</v>
      </c>
      <c r="S91" s="610" t="str">
        <f t="shared" si="10"/>
        <v>_</v>
      </c>
      <c r="T91" s="612" t="str">
        <f>+VLOOKUP($L91,Data_Validation!$A:$D,1,0)</f>
        <v>1312</v>
      </c>
      <c r="U91" s="612" t="str">
        <f>+VLOOKUP($L91,Data_Validation!$A:$D,3,0)</f>
        <v>Bilan</v>
      </c>
      <c r="V91" s="612" t="str">
        <f>+VLOOKUP($L91,Data_Validation!$A:$D,4,0)</f>
        <v>Recevables Manufacturier</v>
      </c>
      <c r="W91" s="612" t="str">
        <f>+VLOOKUP($L91,Data_Validation!$A:$E,5,0)</f>
        <v>$</v>
      </c>
      <c r="X91" s="612">
        <f>+VLOOKUP($L91,Data_Validation!$A:$F,6,0)</f>
        <v>0</v>
      </c>
    </row>
    <row r="92" spans="1:24" ht="15" customHeight="1">
      <c r="A92" s="1188" t="s">
        <v>779</v>
      </c>
      <c r="B92" s="1188" t="s">
        <v>780</v>
      </c>
      <c r="C92" s="1190">
        <v>33007.879999999997</v>
      </c>
      <c r="D92" s="1190">
        <v>77807.360000000001</v>
      </c>
      <c r="E92" s="1190">
        <v>110815.24</v>
      </c>
      <c r="F92" s="1188" t="s">
        <v>761</v>
      </c>
      <c r="G92" s="1188" t="s">
        <v>780</v>
      </c>
      <c r="H92" s="1188" t="s">
        <v>3845</v>
      </c>
      <c r="I92" s="1189"/>
      <c r="J92" s="1189"/>
      <c r="K92" s="1189"/>
      <c r="L92" s="609" t="str">
        <f t="shared" si="11"/>
        <v>1332</v>
      </c>
      <c r="M92" s="610" t="str">
        <f t="shared" si="0"/>
        <v>RECLAM. RECEVABLE-GARANTIE</v>
      </c>
      <c r="N92" s="611">
        <f>+IF(OR($Q92=Parametres!$G$2,$Q92=Parametres!$G$3),I92,C92)</f>
        <v>33007.879999999997</v>
      </c>
      <c r="O92" s="611">
        <f>+IF(OR($Q92=Parametres!$G$2,$Q92=Parametres!$G$3),J92,D92)</f>
        <v>77807.360000000001</v>
      </c>
      <c r="P92" s="618">
        <f>+IF(OR($Q92=Parametres!$G$2,$Q92=Parametres!$G$3),K92,E92)</f>
        <v>110815.24</v>
      </c>
      <c r="Q92" s="610" t="str">
        <f t="shared" si="8"/>
        <v>2-Actifs</v>
      </c>
      <c r="R92" s="609" t="str">
        <f t="shared" si="9"/>
        <v>1332</v>
      </c>
      <c r="S92" s="610" t="str">
        <f t="shared" si="10"/>
        <v>_</v>
      </c>
      <c r="T92" s="612" t="str">
        <f>+VLOOKUP($L92,Data_Validation!$A:$D,1,0)</f>
        <v>1332</v>
      </c>
      <c r="U92" s="612" t="str">
        <f>+VLOOKUP($L92,Data_Validation!$A:$D,3,0)</f>
        <v>Bilan</v>
      </c>
      <c r="V92" s="612" t="str">
        <f>+VLOOKUP($L92,Data_Validation!$A:$D,4,0)</f>
        <v>Recevables Garantie Manufacturier</v>
      </c>
      <c r="W92" s="612" t="str">
        <f>+VLOOKUP($L92,Data_Validation!$A:$E,5,0)</f>
        <v>$</v>
      </c>
      <c r="X92" s="612">
        <f>+VLOOKUP($L92,Data_Validation!$A:$F,6,0)</f>
        <v>0</v>
      </c>
    </row>
    <row r="93" spans="1:24" ht="15" customHeight="1">
      <c r="A93" s="1188" t="s">
        <v>781</v>
      </c>
      <c r="B93" s="1188" t="s">
        <v>1417</v>
      </c>
      <c r="C93" s="1190">
        <v>-14645.11</v>
      </c>
      <c r="D93" s="1190">
        <v>861.85</v>
      </c>
      <c r="E93" s="1190">
        <v>-13783.26</v>
      </c>
      <c r="F93" s="1188" t="s">
        <v>761</v>
      </c>
      <c r="G93" s="1188" t="s">
        <v>766</v>
      </c>
      <c r="H93" s="1188" t="s">
        <v>3845</v>
      </c>
      <c r="I93" s="1189"/>
      <c r="J93" s="1189"/>
      <c r="K93" s="1189"/>
      <c r="L93" s="609" t="str">
        <f t="shared" si="11"/>
        <v>1340</v>
      </c>
      <c r="M93" s="610" t="str">
        <f t="shared" si="0"/>
        <v>GARANTIE PPM</v>
      </c>
      <c r="N93" s="611">
        <f>+IF(OR($Q93=Parametres!$G$2,$Q93=Parametres!$G$3),I93,C93)</f>
        <v>-14645.11</v>
      </c>
      <c r="O93" s="611">
        <f>+IF(OR($Q93=Parametres!$G$2,$Q93=Parametres!$G$3),J93,D93)</f>
        <v>861.85</v>
      </c>
      <c r="P93" s="618">
        <f>+IF(OR($Q93=Parametres!$G$2,$Q93=Parametres!$G$3),K93,E93)</f>
        <v>-13783.26</v>
      </c>
      <c r="Q93" s="610" t="str">
        <f t="shared" si="8"/>
        <v>2-Actifs</v>
      </c>
      <c r="R93" s="609" t="str">
        <f t="shared" si="9"/>
        <v>1382</v>
      </c>
      <c r="S93" s="610" t="str">
        <f t="shared" si="10"/>
        <v>_</v>
      </c>
      <c r="T93" s="612" t="str">
        <f>+VLOOKUP($L93,Data_Validation!$A:$D,1,0)</f>
        <v>1340</v>
      </c>
      <c r="U93" s="612" t="str">
        <f>+VLOOKUP($L93,Data_Validation!$A:$D,3,0)</f>
        <v>Bilan</v>
      </c>
      <c r="V93" s="612" t="str">
        <f>+VLOOKUP($L93,Data_Validation!$A:$D,4,0)</f>
        <v>recevables Autres</v>
      </c>
      <c r="W93" s="612" t="str">
        <f>+VLOOKUP($L93,Data_Validation!$A:$E,5,0)</f>
        <v>$</v>
      </c>
      <c r="X93" s="612">
        <f>+VLOOKUP($L93,Data_Validation!$A:$F,6,0)</f>
        <v>0</v>
      </c>
    </row>
    <row r="94" spans="1:24" ht="15.75" customHeight="1">
      <c r="A94" s="1188" t="s">
        <v>782</v>
      </c>
      <c r="B94" s="1188" t="s">
        <v>1420</v>
      </c>
      <c r="C94" s="1190">
        <v>81575</v>
      </c>
      <c r="D94" s="1190">
        <v>0</v>
      </c>
      <c r="E94" s="1190">
        <v>81575</v>
      </c>
      <c r="F94" s="1188" t="s">
        <v>761</v>
      </c>
      <c r="G94" s="1188" t="s">
        <v>778</v>
      </c>
      <c r="H94" s="1188" t="s">
        <v>3845</v>
      </c>
      <c r="I94" s="1189"/>
      <c r="J94" s="1189"/>
      <c r="K94" s="1189"/>
      <c r="L94" s="609" t="str">
        <f t="shared" si="11"/>
        <v>1352</v>
      </c>
      <c r="M94" s="610" t="str">
        <f t="shared" si="0"/>
        <v>RECEV. MANUFACTURIER VOLKS</v>
      </c>
      <c r="N94" s="611">
        <f>+IF(OR($Q94=Parametres!$G$2,$Q94=Parametres!$G$3),I94,C94)</f>
        <v>81575</v>
      </c>
      <c r="O94" s="611">
        <f>+IF(OR($Q94=Parametres!$G$2,$Q94=Parametres!$G$3),J94,D94)</f>
        <v>0</v>
      </c>
      <c r="P94" s="611">
        <f>+IF(OR($Q94=Parametres!$G$2,$Q94=Parametres!$G$3),K94,E94)</f>
        <v>81575</v>
      </c>
      <c r="Q94" s="610" t="str">
        <f t="shared" si="8"/>
        <v>2-Actifs</v>
      </c>
      <c r="R94" s="609" t="str">
        <f t="shared" si="9"/>
        <v>1314</v>
      </c>
      <c r="S94" s="610" t="str">
        <f t="shared" si="10"/>
        <v>_</v>
      </c>
      <c r="T94" s="612" t="str">
        <f>+VLOOKUP($L94,Data_Validation!$A:$D,1,0)</f>
        <v>1352</v>
      </c>
      <c r="U94" s="612" t="str">
        <f>+VLOOKUP($L94,Data_Validation!$A:$D,3,0)</f>
        <v>Bilan</v>
      </c>
      <c r="V94" s="612" t="str">
        <f>+VLOOKUP($L94,Data_Validation!$A:$D,4,0)</f>
        <v>Recevables Manufacturier</v>
      </c>
      <c r="W94" s="612" t="str">
        <f>+VLOOKUP($L94,Data_Validation!$A:$E,5,0)</f>
        <v>$</v>
      </c>
      <c r="X94" s="612">
        <f>+VLOOKUP($L94,Data_Validation!$A:$F,6,0)</f>
        <v>0</v>
      </c>
    </row>
    <row r="95" spans="1:24" ht="15" customHeight="1">
      <c r="A95" s="1188" t="s">
        <v>1290</v>
      </c>
      <c r="B95" s="1188" t="s">
        <v>3309</v>
      </c>
      <c r="C95" s="1190">
        <v>1820</v>
      </c>
      <c r="D95" s="1190">
        <v>80</v>
      </c>
      <c r="E95" s="1190">
        <v>1900</v>
      </c>
      <c r="F95" s="1188" t="s">
        <v>761</v>
      </c>
      <c r="G95" s="1188" t="s">
        <v>3309</v>
      </c>
      <c r="H95" s="1188" t="s">
        <v>3845</v>
      </c>
      <c r="I95" s="1189"/>
      <c r="J95" s="1189"/>
      <c r="K95" s="1189"/>
      <c r="L95" s="609" t="str">
        <f t="shared" si="11"/>
        <v>1362</v>
      </c>
      <c r="M95" s="610" t="str">
        <f t="shared" si="0"/>
        <v>RECEV. INTERCO</v>
      </c>
      <c r="N95" s="611">
        <f>+IF(OR($Q95=Parametres!$G$2,$Q95=Parametres!$G$3),I95,C95)</f>
        <v>1820</v>
      </c>
      <c r="O95" s="611">
        <f>+IF(OR($Q95=Parametres!$G$2,$Q95=Parametres!$G$3),J95,D95)</f>
        <v>80</v>
      </c>
      <c r="P95" s="611">
        <f>+IF(OR($Q95=Parametres!$G$2,$Q95=Parametres!$G$3),K95,E95)</f>
        <v>1900</v>
      </c>
      <c r="Q95" s="610" t="str">
        <f t="shared" si="8"/>
        <v>2-Actifs</v>
      </c>
      <c r="R95" s="609" t="str">
        <f t="shared" si="9"/>
        <v>1362</v>
      </c>
      <c r="S95" s="610" t="str">
        <f t="shared" si="10"/>
        <v>_</v>
      </c>
      <c r="T95" s="612" t="str">
        <f>+VLOOKUP($L95,Data_Validation!$A:$D,1,0)</f>
        <v>1362</v>
      </c>
      <c r="U95" s="612" t="str">
        <f>+VLOOKUP($L95,Data_Validation!$A:$D,3,0)</f>
        <v>Bilan</v>
      </c>
      <c r="V95" s="612" t="str">
        <f>+VLOOKUP($L95,Data_Validation!$A:$D,4,0)</f>
        <v>Recevables Autres</v>
      </c>
      <c r="W95" s="612" t="str">
        <f>+VLOOKUP($L95,Data_Validation!$A:$E,5,0)</f>
        <v>$</v>
      </c>
      <c r="X95" s="612">
        <f>+VLOOKUP($L95,Data_Validation!$A:$F,6,0)</f>
        <v>0</v>
      </c>
    </row>
    <row r="96" spans="1:24" ht="15" customHeight="1">
      <c r="A96" s="1188" t="s">
        <v>1292</v>
      </c>
      <c r="B96" s="1188" t="s">
        <v>1374</v>
      </c>
      <c r="C96" s="1190">
        <v>1098.1099999999999</v>
      </c>
      <c r="D96" s="1190">
        <v>0</v>
      </c>
      <c r="E96" s="1190">
        <v>1098.1099999999999</v>
      </c>
      <c r="F96" s="1188" t="s">
        <v>761</v>
      </c>
      <c r="G96" s="1188" t="s">
        <v>1374</v>
      </c>
      <c r="H96" s="1188" t="s">
        <v>3845</v>
      </c>
      <c r="I96" s="1189"/>
      <c r="J96" s="1189"/>
      <c r="K96" s="1189"/>
      <c r="L96" s="609" t="str">
        <f t="shared" si="11"/>
        <v>1372</v>
      </c>
      <c r="M96" s="610" t="str">
        <f t="shared" si="0"/>
        <v>TAXES DE VENTES A RECEVOIR</v>
      </c>
      <c r="N96" s="611">
        <f>+IF(OR($Q96=Parametres!$G$2,$Q96=Parametres!$G$3),I96,C96)</f>
        <v>1098.1099999999999</v>
      </c>
      <c r="O96" s="611">
        <f>+IF(OR($Q96=Parametres!$G$2,$Q96=Parametres!$G$3),J96,D96)</f>
        <v>0</v>
      </c>
      <c r="P96" s="618">
        <f>+IF(OR($Q96=Parametres!$G$2,$Q96=Parametres!$G$3),K96,E96)</f>
        <v>1098.1099999999999</v>
      </c>
      <c r="Q96" s="610" t="str">
        <f t="shared" si="8"/>
        <v>2-Actifs</v>
      </c>
      <c r="R96" s="609" t="str">
        <f t="shared" si="9"/>
        <v>1372</v>
      </c>
      <c r="S96" s="610" t="str">
        <f t="shared" si="10"/>
        <v>_</v>
      </c>
      <c r="T96" s="612" t="str">
        <f>+VLOOKUP($L96,Data_Validation!$A:$D,1,0)</f>
        <v>1372</v>
      </c>
      <c r="U96" s="612" t="str">
        <f>+VLOOKUP($L96,Data_Validation!$A:$D,3,0)</f>
        <v>Bilan</v>
      </c>
      <c r="V96" s="612" t="str">
        <f>+VLOOKUP($L96,Data_Validation!$A:$D,4,0)</f>
        <v>Taxes de Vente à Payer</v>
      </c>
      <c r="W96" s="612" t="str">
        <f>+VLOOKUP($L96,Data_Validation!$A:$E,5,0)</f>
        <v>$</v>
      </c>
      <c r="X96" s="612">
        <f>+VLOOKUP($L96,Data_Validation!$A:$F,6,0)</f>
        <v>0</v>
      </c>
    </row>
    <row r="97" spans="1:24" ht="15" customHeight="1">
      <c r="A97" s="1188" t="s">
        <v>785</v>
      </c>
      <c r="B97" s="1188" t="s">
        <v>786</v>
      </c>
      <c r="C97" s="1190">
        <v>6764553.1299999999</v>
      </c>
      <c r="D97" s="1190">
        <v>-1865869.53</v>
      </c>
      <c r="E97" s="1190">
        <v>4898683.5999999996</v>
      </c>
      <c r="F97" s="1188" t="s">
        <v>761</v>
      </c>
      <c r="G97" s="1188" t="s">
        <v>786</v>
      </c>
      <c r="H97" s="1188" t="s">
        <v>3845</v>
      </c>
      <c r="I97" s="607"/>
      <c r="J97" s="607"/>
      <c r="K97" s="607"/>
      <c r="L97" s="609" t="str">
        <f t="shared" si="11"/>
        <v>1402</v>
      </c>
      <c r="M97" s="610" t="str">
        <f t="shared" si="0"/>
        <v>VEHIC. NEUFS VOLKS</v>
      </c>
      <c r="N97" s="611">
        <f>+IF(OR($Q97=Parametres!$G$2,$Q97=Parametres!$G$3),I97,C97)</f>
        <v>6764553.1299999999</v>
      </c>
      <c r="O97" s="615">
        <f>+IF(OR($Q97=Parametres!$G$2,$Q97=Parametres!$G$3),J97,D97)</f>
        <v>-1865869.53</v>
      </c>
      <c r="P97" s="611">
        <f>+IF(OR($Q97=Parametres!$G$2,$Q97=Parametres!$G$3),K97,E97)</f>
        <v>4898683.5999999996</v>
      </c>
      <c r="Q97" s="610" t="str">
        <f t="shared" si="8"/>
        <v>2-Actifs</v>
      </c>
      <c r="R97" s="609" t="str">
        <f t="shared" si="9"/>
        <v>1402</v>
      </c>
      <c r="S97" s="610" t="str">
        <f t="shared" si="10"/>
        <v>_</v>
      </c>
      <c r="T97" s="612" t="str">
        <f>+VLOOKUP($L97,Data_Validation!$A:$D,1,0)</f>
        <v>1402</v>
      </c>
      <c r="U97" s="612" t="str">
        <f>+VLOOKUP($L97,Data_Validation!$A:$D,3,0)</f>
        <v>Bilan</v>
      </c>
      <c r="V97" s="612" t="str">
        <f>+VLOOKUP($L97,Data_Validation!$A:$D,4,0)</f>
        <v>Inventaire Véhicules Neufs</v>
      </c>
      <c r="W97" s="612" t="str">
        <f>+VLOOKUP($L97,Data_Validation!$A:$E,5,0)</f>
        <v>$</v>
      </c>
      <c r="X97" s="612">
        <f>+VLOOKUP($L97,Data_Validation!$A:$F,6,0)</f>
        <v>0</v>
      </c>
    </row>
    <row r="98" spans="1:24" ht="15" customHeight="1">
      <c r="A98" s="1188" t="s">
        <v>789</v>
      </c>
      <c r="B98" s="1188" t="s">
        <v>1432</v>
      </c>
      <c r="C98" s="1190">
        <v>2</v>
      </c>
      <c r="D98" s="1190">
        <v>-1500</v>
      </c>
      <c r="E98" s="1190">
        <v>-1498</v>
      </c>
      <c r="F98" s="1188" t="s">
        <v>761</v>
      </c>
      <c r="G98" s="1188" t="s">
        <v>786</v>
      </c>
      <c r="H98" s="1188" t="s">
        <v>3845</v>
      </c>
      <c r="I98" s="607"/>
      <c r="J98" s="607"/>
      <c r="K98" s="607"/>
      <c r="L98" s="609" t="str">
        <f t="shared" si="11"/>
        <v>1403</v>
      </c>
      <c r="M98" s="610" t="str">
        <f t="shared" si="0"/>
        <v>BRUISING VOLKS VEH. NEUFS</v>
      </c>
      <c r="N98" s="611">
        <f>+IF(OR($Q98=Parametres!$G$2,$Q98=Parametres!$G$3),I98,C98)</f>
        <v>2</v>
      </c>
      <c r="O98" s="615">
        <f>+IF(OR($Q98=Parametres!$G$2,$Q98=Parametres!$G$3),J98,D98)</f>
        <v>-1500</v>
      </c>
      <c r="P98" s="611">
        <f>+IF(OR($Q98=Parametres!$G$2,$Q98=Parametres!$G$3),K98,E98)</f>
        <v>-1498</v>
      </c>
      <c r="Q98" s="610" t="str">
        <f t="shared" ref="Q98:Q129" si="12">+F98</f>
        <v>2-Actifs</v>
      </c>
      <c r="R98" s="609" t="str">
        <f t="shared" ref="R98:R129" si="13">+G98</f>
        <v>1402</v>
      </c>
      <c r="S98" s="610" t="str">
        <f t="shared" ref="S98:S129" si="14">+H98</f>
        <v>_</v>
      </c>
      <c r="T98" s="612" t="str">
        <f>+VLOOKUP($L98,Data_Validation!$A:$D,1,0)</f>
        <v>1403</v>
      </c>
      <c r="U98" s="612" t="str">
        <f>+VLOOKUP($L98,Data_Validation!$A:$D,3,0)</f>
        <v>Bilan</v>
      </c>
      <c r="V98" s="612" t="str">
        <f>+VLOOKUP($L98,Data_Validation!$A:$D,4,0)</f>
        <v>Inventaire Véhicules Neufs</v>
      </c>
      <c r="W98" s="612" t="str">
        <f>+VLOOKUP($L98,Data_Validation!$A:$E,5,0)</f>
        <v>$</v>
      </c>
      <c r="X98" s="612">
        <f>+VLOOKUP($L98,Data_Validation!$A:$F,6,0)</f>
        <v>0</v>
      </c>
    </row>
    <row r="99" spans="1:24" ht="15.75" customHeight="1">
      <c r="A99" s="1188" t="s">
        <v>790</v>
      </c>
      <c r="B99" s="1188" t="s">
        <v>791</v>
      </c>
      <c r="C99" s="1190">
        <v>0</v>
      </c>
      <c r="D99" s="1190">
        <v>-8000</v>
      </c>
      <c r="E99" s="1190">
        <v>-8000</v>
      </c>
      <c r="F99" s="1188" t="s">
        <v>761</v>
      </c>
      <c r="G99" s="1188" t="s">
        <v>791</v>
      </c>
      <c r="H99" s="1188" t="s">
        <v>3845</v>
      </c>
      <c r="I99" s="607"/>
      <c r="J99" s="607"/>
      <c r="K99" s="607"/>
      <c r="L99" s="609" t="str">
        <f t="shared" si="11"/>
        <v>1413</v>
      </c>
      <c r="M99" s="610" t="str">
        <f t="shared" si="0"/>
        <v>BRUISING USED CAR</v>
      </c>
      <c r="N99" s="611">
        <f>+IF(OR($Q99=Parametres!$G$2,$Q99=Parametres!$G$3),I99,C99)</f>
        <v>0</v>
      </c>
      <c r="O99" s="615">
        <f>+IF(OR($Q99=Parametres!$G$2,$Q99=Parametres!$G$3),J99,D99)</f>
        <v>-8000</v>
      </c>
      <c r="P99" s="611">
        <f>+IF(OR($Q99=Parametres!$G$2,$Q99=Parametres!$G$3),K99,E99)</f>
        <v>-8000</v>
      </c>
      <c r="Q99" s="610" t="str">
        <f t="shared" si="12"/>
        <v>2-Actifs</v>
      </c>
      <c r="R99" s="609" t="str">
        <f t="shared" si="13"/>
        <v>1413</v>
      </c>
      <c r="S99" s="610" t="str">
        <f t="shared" si="14"/>
        <v>_</v>
      </c>
      <c r="T99" s="612" t="str">
        <f>+VLOOKUP($L99,Data_Validation!$A:$D,1,0)</f>
        <v>1413</v>
      </c>
      <c r="U99" s="612" t="str">
        <f>+VLOOKUP($L99,Data_Validation!$A:$D,3,0)</f>
        <v>Bilan</v>
      </c>
      <c r="V99" s="612" t="str">
        <f>+VLOOKUP($L99,Data_Validation!$A:$D,4,0)</f>
        <v>Inventaire Véhicules Usagés</v>
      </c>
      <c r="W99" s="612" t="str">
        <f>+VLOOKUP($L99,Data_Validation!$A:$E,5,0)</f>
        <v>$</v>
      </c>
      <c r="X99" s="612">
        <f>+VLOOKUP($L99,Data_Validation!$A:$F,6,0)</f>
        <v>0</v>
      </c>
    </row>
    <row r="100" spans="1:24" ht="15" customHeight="1">
      <c r="A100" s="1188" t="s">
        <v>792</v>
      </c>
      <c r="B100" s="1188" t="s">
        <v>793</v>
      </c>
      <c r="C100" s="1190">
        <v>1274530.9099999999</v>
      </c>
      <c r="D100" s="1190">
        <v>-75833.89</v>
      </c>
      <c r="E100" s="1190">
        <v>1198697.02</v>
      </c>
      <c r="F100" s="1188" t="s">
        <v>761</v>
      </c>
      <c r="G100" s="1188" t="s">
        <v>793</v>
      </c>
      <c r="H100" s="1188" t="s">
        <v>3845</v>
      </c>
      <c r="I100" s="608"/>
      <c r="J100" s="608"/>
      <c r="K100" s="608"/>
      <c r="L100" s="609" t="str">
        <f t="shared" si="11"/>
        <v>1416</v>
      </c>
      <c r="M100" s="610" t="str">
        <f t="shared" si="0"/>
        <v>INV. VEH. USAGE VW</v>
      </c>
      <c r="N100" s="611">
        <f>+IF(OR($Q100=Parametres!$G$2,$Q100=Parametres!$G$3),I100,C100)</f>
        <v>1274530.9099999999</v>
      </c>
      <c r="O100" s="615">
        <f>+IF(OR($Q100=Parametres!$G$2,$Q100=Parametres!$G$3),J100,D100)</f>
        <v>-75833.89</v>
      </c>
      <c r="P100" s="611">
        <f>+IF(OR($Q100=Parametres!$G$2,$Q100=Parametres!$G$3),K100,E100)</f>
        <v>1198697.02</v>
      </c>
      <c r="Q100" s="610" t="str">
        <f t="shared" si="12"/>
        <v>2-Actifs</v>
      </c>
      <c r="R100" s="609" t="str">
        <f t="shared" si="13"/>
        <v>1416</v>
      </c>
      <c r="S100" s="610" t="str">
        <f t="shared" si="14"/>
        <v>_</v>
      </c>
      <c r="T100" s="612" t="str">
        <f>+VLOOKUP($L100,Data_Validation!$A:$D,1,0)</f>
        <v>1416</v>
      </c>
      <c r="U100" s="612" t="str">
        <f>+VLOOKUP($L100,Data_Validation!$A:$D,3,0)</f>
        <v>Bilan</v>
      </c>
      <c r="V100" s="612" t="str">
        <f>+VLOOKUP($L100,Data_Validation!$A:$D,4,0)</f>
        <v>Inventaire Véhicules Usagés</v>
      </c>
      <c r="W100" s="612" t="str">
        <f>+VLOOKUP($L100,Data_Validation!$A:$E,5,0)</f>
        <v>$</v>
      </c>
      <c r="X100" s="612">
        <f>+VLOOKUP($L100,Data_Validation!$A:$F,6,0)</f>
        <v>0</v>
      </c>
    </row>
    <row r="101" spans="1:24" ht="15" customHeight="1">
      <c r="A101" s="1188" t="s">
        <v>796</v>
      </c>
      <c r="B101" s="1188" t="s">
        <v>797</v>
      </c>
      <c r="C101" s="1190">
        <v>18304.099999999999</v>
      </c>
      <c r="D101" s="1190">
        <v>0</v>
      </c>
      <c r="E101" s="1190">
        <v>18304.099999999999</v>
      </c>
      <c r="F101" s="1188" t="s">
        <v>761</v>
      </c>
      <c r="G101" s="1188" t="s">
        <v>797</v>
      </c>
      <c r="H101" s="1188" t="s">
        <v>3845</v>
      </c>
      <c r="I101" s="608"/>
      <c r="J101" s="608"/>
      <c r="K101" s="608"/>
      <c r="L101" s="609" t="str">
        <f t="shared" si="11"/>
        <v>1423</v>
      </c>
      <c r="M101" s="610" t="str">
        <f t="shared" si="0"/>
        <v>RESERVE DEMO</v>
      </c>
      <c r="N101" s="611">
        <f>+IF(OR($Q101=Parametres!$G$2,$Q101=Parametres!$G$3),I101,C101)</f>
        <v>18304.099999999999</v>
      </c>
      <c r="O101" s="611">
        <f>+IF(OR($Q101=Parametres!$G$2,$Q101=Parametres!$G$3),J101,D101)</f>
        <v>0</v>
      </c>
      <c r="P101" s="611">
        <f>+IF(OR($Q101=Parametres!$G$2,$Q101=Parametres!$G$3),K101,E101)</f>
        <v>18304.099999999999</v>
      </c>
      <c r="Q101" s="610" t="str">
        <f t="shared" si="12"/>
        <v>2-Actifs</v>
      </c>
      <c r="R101" s="609" t="str">
        <f t="shared" si="13"/>
        <v>1423</v>
      </c>
      <c r="S101" s="610" t="str">
        <f t="shared" si="14"/>
        <v>_</v>
      </c>
      <c r="T101" s="612" t="str">
        <f>+VLOOKUP($L101,Data_Validation!$A:$D,1,0)</f>
        <v>1423</v>
      </c>
      <c r="U101" s="612" t="str">
        <f>+VLOOKUP($L101,Data_Validation!$A:$D,3,0)</f>
        <v>Bilan</v>
      </c>
      <c r="V101" s="612" t="str">
        <f>+VLOOKUP($L101,Data_Validation!$A:$D,4,0)</f>
        <v>Inventaire Véhicules Neufs</v>
      </c>
      <c r="W101" s="612" t="str">
        <f>+VLOOKUP($L101,Data_Validation!$A:$E,5,0)</f>
        <v>$</v>
      </c>
      <c r="X101" s="612">
        <f>+VLOOKUP($L101,Data_Validation!$A:$F,6,0)</f>
        <v>0</v>
      </c>
    </row>
    <row r="102" spans="1:24" ht="15" customHeight="1">
      <c r="A102" s="1188" t="s">
        <v>798</v>
      </c>
      <c r="B102" s="1188" t="s">
        <v>3310</v>
      </c>
      <c r="C102" s="1190">
        <v>16817.580000000002</v>
      </c>
      <c r="D102" s="1190">
        <v>0</v>
      </c>
      <c r="E102" s="1190">
        <v>16817.580000000002</v>
      </c>
      <c r="F102" s="1188" t="s">
        <v>761</v>
      </c>
      <c r="G102" s="1188" t="s">
        <v>799</v>
      </c>
      <c r="H102" s="1188" t="s">
        <v>3845</v>
      </c>
      <c r="I102" s="607"/>
      <c r="J102" s="607"/>
      <c r="K102" s="607"/>
      <c r="L102" s="609" t="str">
        <f t="shared" si="11"/>
        <v>1433</v>
      </c>
      <c r="M102" s="610" t="str">
        <f t="shared" si="0"/>
        <v>RESERVE COURTOISIE</v>
      </c>
      <c r="N102" s="611">
        <f>+IF(OR($Q102=Parametres!$G$2,$Q102=Parametres!$G$3),I102,C102)</f>
        <v>16817.580000000002</v>
      </c>
      <c r="O102" s="611">
        <f>+IF(OR($Q102=Parametres!$G$2,$Q102=Parametres!$G$3),J102,D102)</f>
        <v>0</v>
      </c>
      <c r="P102" s="611">
        <f>+IF(OR($Q102=Parametres!$G$2,$Q102=Parametres!$G$3),K102,E102)</f>
        <v>16817.580000000002</v>
      </c>
      <c r="Q102" s="610" t="str">
        <f t="shared" si="12"/>
        <v>2-Actifs</v>
      </c>
      <c r="R102" s="609" t="str">
        <f t="shared" si="13"/>
        <v>143</v>
      </c>
      <c r="S102" s="610" t="str">
        <f t="shared" si="14"/>
        <v>_</v>
      </c>
      <c r="T102" s="612" t="str">
        <f>+VLOOKUP($L102,Data_Validation!$A:$D,1,0)</f>
        <v>1433</v>
      </c>
      <c r="U102" s="612" t="str">
        <f>+VLOOKUP($L102,Data_Validation!$A:$D,3,0)</f>
        <v>Bilan</v>
      </c>
      <c r="V102" s="612" t="str">
        <f>+VLOOKUP($L102,Data_Validation!$A:$D,4,0)</f>
        <v>Inventaire Véhicules Neufs</v>
      </c>
      <c r="W102" s="612" t="str">
        <f>+VLOOKUP($L102,Data_Validation!$A:$E,5,0)</f>
        <v>$</v>
      </c>
      <c r="X102" s="612">
        <f>+VLOOKUP($L102,Data_Validation!$A:$F,6,0)</f>
        <v>0</v>
      </c>
    </row>
    <row r="103" spans="1:24" ht="15.75" customHeight="1">
      <c r="A103" s="1188" t="s">
        <v>800</v>
      </c>
      <c r="B103" s="1188" t="s">
        <v>801</v>
      </c>
      <c r="C103" s="1190">
        <v>477714.71</v>
      </c>
      <c r="D103" s="1190">
        <v>-53735.5</v>
      </c>
      <c r="E103" s="1190">
        <v>423979.21</v>
      </c>
      <c r="F103" s="1188" t="s">
        <v>761</v>
      </c>
      <c r="G103" s="1188" t="s">
        <v>801</v>
      </c>
      <c r="H103" s="1188" t="s">
        <v>3845</v>
      </c>
      <c r="I103" s="607"/>
      <c r="J103" s="607"/>
      <c r="K103" s="607"/>
      <c r="L103" s="609" t="str">
        <f t="shared" si="11"/>
        <v>1442</v>
      </c>
      <c r="M103" s="610" t="str">
        <f t="shared" si="0"/>
        <v>PIECES &amp; ACCESSOIRES NEUFS</v>
      </c>
      <c r="N103" s="611">
        <f>+IF(OR($Q103=Parametres!$G$2,$Q103=Parametres!$G$3),I103,C103)</f>
        <v>477714.71</v>
      </c>
      <c r="O103" s="611">
        <f>+IF(OR($Q103=Parametres!$G$2,$Q103=Parametres!$G$3),J103,D103)</f>
        <v>-53735.5</v>
      </c>
      <c r="P103" s="611">
        <f>+IF(OR($Q103=Parametres!$G$2,$Q103=Parametres!$G$3),K103,E103)</f>
        <v>423979.21</v>
      </c>
      <c r="Q103" s="610" t="str">
        <f t="shared" si="12"/>
        <v>2-Actifs</v>
      </c>
      <c r="R103" s="609" t="str">
        <f t="shared" si="13"/>
        <v>1442</v>
      </c>
      <c r="S103" s="610" t="str">
        <f t="shared" si="14"/>
        <v>_</v>
      </c>
      <c r="T103" s="612" t="str">
        <f>+VLOOKUP($L103,Data_Validation!$A:$D,1,0)</f>
        <v>1442</v>
      </c>
      <c r="U103" s="612" t="str">
        <f>+VLOOKUP($L103,Data_Validation!$A:$D,3,0)</f>
        <v>Bilan</v>
      </c>
      <c r="V103" s="612" t="str">
        <f>+VLOOKUP($L103,Data_Validation!$A:$D,4,0)</f>
        <v>Inventaire Pièces, Pneus, Huile</v>
      </c>
      <c r="W103" s="612" t="str">
        <f>+VLOOKUP($L103,Data_Validation!$A:$E,5,0)</f>
        <v>$</v>
      </c>
      <c r="X103" s="612">
        <f>+VLOOKUP($L103,Data_Validation!$A:$F,6,0)</f>
        <v>0</v>
      </c>
    </row>
    <row r="104" spans="1:24" ht="15" customHeight="1">
      <c r="A104" s="1188" t="s">
        <v>802</v>
      </c>
      <c r="B104" s="1188" t="s">
        <v>3311</v>
      </c>
      <c r="C104" s="1190">
        <v>4998.75</v>
      </c>
      <c r="D104" s="1190">
        <v>-501.14</v>
      </c>
      <c r="E104" s="1190">
        <v>4497.6099999999997</v>
      </c>
      <c r="F104" s="1188" t="s">
        <v>761</v>
      </c>
      <c r="G104" s="1188" t="s">
        <v>801</v>
      </c>
      <c r="H104" s="1188" t="s">
        <v>3845</v>
      </c>
      <c r="I104" s="607"/>
      <c r="J104" s="607"/>
      <c r="K104" s="607"/>
      <c r="L104" s="609" t="str">
        <f t="shared" si="11"/>
        <v>1448</v>
      </c>
      <c r="M104" s="610" t="str">
        <f t="shared" si="0"/>
        <v>AUTRES MARQUES P&amp;A</v>
      </c>
      <c r="N104" s="611">
        <f>+IF(OR($Q104=Parametres!$G$2,$Q104=Parametres!$G$3),I104,C104)</f>
        <v>4998.75</v>
      </c>
      <c r="O104" s="611">
        <f>+IF(OR($Q104=Parametres!$G$2,$Q104=Parametres!$G$3),J104,D104)</f>
        <v>-501.14</v>
      </c>
      <c r="P104" s="611">
        <f>+IF(OR($Q104=Parametres!$G$2,$Q104=Parametres!$G$3),K104,E104)</f>
        <v>4497.6099999999997</v>
      </c>
      <c r="Q104" s="610" t="str">
        <f t="shared" si="12"/>
        <v>2-Actifs</v>
      </c>
      <c r="R104" s="609" t="str">
        <f t="shared" si="13"/>
        <v>1442</v>
      </c>
      <c r="S104" s="610" t="str">
        <f t="shared" si="14"/>
        <v>_</v>
      </c>
      <c r="T104" s="612" t="str">
        <f>+VLOOKUP($L104,Data_Validation!$A:$D,1,0)</f>
        <v>1448</v>
      </c>
      <c r="U104" s="612" t="str">
        <f>+VLOOKUP($L104,Data_Validation!$A:$D,3,0)</f>
        <v>Bilan</v>
      </c>
      <c r="V104" s="612" t="str">
        <f>+VLOOKUP($L104,Data_Validation!$A:$D,4,0)</f>
        <v>Inventaire Pièces, Pneus, Huile</v>
      </c>
      <c r="W104" s="612" t="str">
        <f>+VLOOKUP($L104,Data_Validation!$A:$E,5,0)</f>
        <v>$</v>
      </c>
      <c r="X104" s="612">
        <f>+VLOOKUP($L104,Data_Validation!$A:$F,6,0)</f>
        <v>0</v>
      </c>
    </row>
    <row r="105" spans="1:24" ht="15" customHeight="1">
      <c r="A105" s="1188" t="s">
        <v>803</v>
      </c>
      <c r="B105" s="1188" t="s">
        <v>1443</v>
      </c>
      <c r="C105" s="1190">
        <v>30126.31</v>
      </c>
      <c r="D105" s="1190">
        <v>1413.64</v>
      </c>
      <c r="E105" s="1190">
        <v>31539.95</v>
      </c>
      <c r="F105" s="1188" t="s">
        <v>761</v>
      </c>
      <c r="G105" s="1188" t="s">
        <v>801</v>
      </c>
      <c r="H105" s="1188" t="s">
        <v>3845</v>
      </c>
      <c r="I105" s="607"/>
      <c r="J105" s="607"/>
      <c r="K105" s="607"/>
      <c r="L105" s="609" t="str">
        <f t="shared" si="11"/>
        <v>1452</v>
      </c>
      <c r="M105" s="610" t="str">
        <f t="shared" si="0"/>
        <v>PNEUS</v>
      </c>
      <c r="N105" s="611">
        <f>+IF(OR($Q105=Parametres!$G$2,$Q105=Parametres!$G$3),I105,C105)</f>
        <v>30126.31</v>
      </c>
      <c r="O105" s="611">
        <f>+IF(OR($Q105=Parametres!$G$2,$Q105=Parametres!$G$3),J105,D105)</f>
        <v>1413.64</v>
      </c>
      <c r="P105" s="611">
        <f>+IF(OR($Q105=Parametres!$G$2,$Q105=Parametres!$G$3),K105,E105)</f>
        <v>31539.95</v>
      </c>
      <c r="Q105" s="610" t="str">
        <f t="shared" si="12"/>
        <v>2-Actifs</v>
      </c>
      <c r="R105" s="609" t="str">
        <f t="shared" si="13"/>
        <v>1442</v>
      </c>
      <c r="S105" s="610" t="str">
        <f t="shared" si="14"/>
        <v>_</v>
      </c>
      <c r="T105" s="612" t="str">
        <f>+VLOOKUP($L105,Data_Validation!$A:$D,1,0)</f>
        <v>1452</v>
      </c>
      <c r="U105" s="612" t="str">
        <f>+VLOOKUP($L105,Data_Validation!$A:$D,3,0)</f>
        <v>Bilan</v>
      </c>
      <c r="V105" s="612" t="str">
        <f>+VLOOKUP($L105,Data_Validation!$A:$D,4,0)</f>
        <v>Inventaire Pièces, Pneus, Huile</v>
      </c>
      <c r="W105" s="612" t="str">
        <f>+VLOOKUP($L105,Data_Validation!$A:$E,5,0)</f>
        <v>$</v>
      </c>
      <c r="X105" s="612">
        <f>+VLOOKUP($L105,Data_Validation!$A:$F,6,0)</f>
        <v>0</v>
      </c>
    </row>
    <row r="106" spans="1:24" ht="15" customHeight="1">
      <c r="A106" s="1188" t="s">
        <v>804</v>
      </c>
      <c r="B106" s="1188" t="s">
        <v>805</v>
      </c>
      <c r="C106" s="1190">
        <v>4131.5</v>
      </c>
      <c r="D106" s="1190">
        <v>-4131.5</v>
      </c>
      <c r="E106" s="1190">
        <v>0</v>
      </c>
      <c r="F106" s="1188" t="s">
        <v>761</v>
      </c>
      <c r="G106" s="1188" t="s">
        <v>805</v>
      </c>
      <c r="H106" s="1188" t="s">
        <v>3845</v>
      </c>
      <c r="I106" s="607"/>
      <c r="J106" s="607"/>
      <c r="K106" s="607"/>
      <c r="L106" s="609" t="str">
        <f t="shared" si="11"/>
        <v>1456</v>
      </c>
      <c r="M106" s="610" t="str">
        <f t="shared" si="0"/>
        <v>PIECES VW NON ORIGINE</v>
      </c>
      <c r="N106" s="611">
        <f>+IF(OR($Q106=Parametres!$G$2,$Q106=Parametres!$G$3),I106,C106)</f>
        <v>4131.5</v>
      </c>
      <c r="O106" s="611">
        <f>+IF(OR($Q106=Parametres!$G$2,$Q106=Parametres!$G$3),J106,D106)</f>
        <v>-4131.5</v>
      </c>
      <c r="P106" s="611">
        <f>+IF(OR($Q106=Parametres!$G$2,$Q106=Parametres!$G$3),K106,E106)</f>
        <v>0</v>
      </c>
      <c r="Q106" s="610" t="str">
        <f t="shared" si="12"/>
        <v>2-Actifs</v>
      </c>
      <c r="R106" s="609" t="str">
        <f t="shared" si="13"/>
        <v>1456</v>
      </c>
      <c r="S106" s="610" t="str">
        <f t="shared" si="14"/>
        <v>_</v>
      </c>
      <c r="T106" s="612" t="str">
        <f>+VLOOKUP($L106,Data_Validation!$A:$D,1,0)</f>
        <v>1456</v>
      </c>
      <c r="U106" s="612" t="str">
        <f>+VLOOKUP($L106,Data_Validation!$A:$D,3,0)</f>
        <v>Bilan</v>
      </c>
      <c r="V106" s="612" t="str">
        <f>+VLOOKUP($L106,Data_Validation!$A:$D,4,0)</f>
        <v>Inventaire Pièces, Pneus, Huile</v>
      </c>
      <c r="W106" s="612" t="str">
        <f>+VLOOKUP($L106,Data_Validation!$A:$E,5,0)</f>
        <v>$</v>
      </c>
      <c r="X106" s="612">
        <f>+VLOOKUP($L106,Data_Validation!$A:$F,6,0)</f>
        <v>0</v>
      </c>
    </row>
    <row r="107" spans="1:24" ht="15" customHeight="1">
      <c r="A107" s="1188" t="s">
        <v>806</v>
      </c>
      <c r="B107" s="1188" t="s">
        <v>807</v>
      </c>
      <c r="C107" s="1190">
        <v>17686.11</v>
      </c>
      <c r="D107" s="1190">
        <v>-3258.63</v>
      </c>
      <c r="E107" s="1190">
        <v>14427.48</v>
      </c>
      <c r="F107" s="1188" t="s">
        <v>761</v>
      </c>
      <c r="G107" s="1188" t="s">
        <v>807</v>
      </c>
      <c r="H107" s="1188" t="s">
        <v>3845</v>
      </c>
      <c r="I107" s="607"/>
      <c r="J107" s="607"/>
      <c r="K107" s="607"/>
      <c r="L107" s="609" t="str">
        <f t="shared" si="11"/>
        <v>1472</v>
      </c>
      <c r="M107" s="610" t="str">
        <f t="shared" si="0"/>
        <v>WIP M-O VW</v>
      </c>
      <c r="N107" s="611">
        <f>+IF(OR($Q107=Parametres!$G$2,$Q107=Parametres!$G$3),I107,C107)</f>
        <v>17686.11</v>
      </c>
      <c r="O107" s="611">
        <f>+IF(OR($Q107=Parametres!$G$2,$Q107=Parametres!$G$3),J107,D107)</f>
        <v>-3258.63</v>
      </c>
      <c r="P107" s="611">
        <f>+IF(OR($Q107=Parametres!$G$2,$Q107=Parametres!$G$3),K107,E107)</f>
        <v>14427.48</v>
      </c>
      <c r="Q107" s="610" t="str">
        <f t="shared" si="12"/>
        <v>2-Actifs</v>
      </c>
      <c r="R107" s="609" t="str">
        <f t="shared" si="13"/>
        <v>1472</v>
      </c>
      <c r="S107" s="610" t="str">
        <f t="shared" si="14"/>
        <v>_</v>
      </c>
      <c r="T107" s="612" t="str">
        <f>+VLOOKUP($L107,Data_Validation!$A:$D,1,0)</f>
        <v>1472</v>
      </c>
      <c r="U107" s="612" t="str">
        <f>+VLOOKUP($L107,Data_Validation!$A:$D,3,0)</f>
        <v>Bilan</v>
      </c>
      <c r="V107" s="612" t="str">
        <f>+VLOOKUP($L107,Data_Validation!$A:$D,4,0)</f>
        <v>Travaux en Cours</v>
      </c>
      <c r="W107" s="612" t="str">
        <f>+VLOOKUP($L107,Data_Validation!$A:$E,5,0)</f>
        <v>$</v>
      </c>
      <c r="X107" s="612">
        <f>+VLOOKUP($L107,Data_Validation!$A:$F,6,0)</f>
        <v>0</v>
      </c>
    </row>
    <row r="108" spans="1:24" ht="15" customHeight="1">
      <c r="A108" s="1188" t="s">
        <v>808</v>
      </c>
      <c r="B108" s="1188" t="s">
        <v>1450</v>
      </c>
      <c r="C108" s="1190">
        <v>17662.14</v>
      </c>
      <c r="D108" s="1190">
        <v>-10203.85</v>
      </c>
      <c r="E108" s="1190">
        <v>7458.29</v>
      </c>
      <c r="F108" s="1188" t="s">
        <v>761</v>
      </c>
      <c r="G108" s="1188" t="s">
        <v>807</v>
      </c>
      <c r="H108" s="1188" t="s">
        <v>3845</v>
      </c>
      <c r="I108" s="607"/>
      <c r="J108" s="607"/>
      <c r="K108" s="607"/>
      <c r="L108" s="609" t="str">
        <f t="shared" si="11"/>
        <v>1474</v>
      </c>
      <c r="M108" s="610" t="str">
        <f t="shared" si="0"/>
        <v>INVENTAIRE SOUS-TRAITANTS</v>
      </c>
      <c r="N108" s="611">
        <f>+IF(OR($Q108=Parametres!$G$2,$Q108=Parametres!$G$3),I108,C108)</f>
        <v>17662.14</v>
      </c>
      <c r="O108" s="611">
        <f>+IF(OR($Q108=Parametres!$G$2,$Q108=Parametres!$G$3),J108,D108)</f>
        <v>-10203.85</v>
      </c>
      <c r="P108" s="611">
        <f>+IF(OR($Q108=Parametres!$G$2,$Q108=Parametres!$G$3),K108,E108)</f>
        <v>7458.29</v>
      </c>
      <c r="Q108" s="610" t="str">
        <f t="shared" si="12"/>
        <v>2-Actifs</v>
      </c>
      <c r="R108" s="609" t="str">
        <f t="shared" si="13"/>
        <v>1472</v>
      </c>
      <c r="S108" s="610" t="str">
        <f t="shared" si="14"/>
        <v>_</v>
      </c>
      <c r="T108" s="612" t="str">
        <f>+VLOOKUP($L108,Data_Validation!$A:$D,1,0)</f>
        <v>1474</v>
      </c>
      <c r="U108" s="612" t="str">
        <f>+VLOOKUP($L108,Data_Validation!$A:$D,3,0)</f>
        <v>Bilan</v>
      </c>
      <c r="V108" s="612" t="str">
        <f>+VLOOKUP($L108,Data_Validation!$A:$D,4,0)</f>
        <v>Sous-Traitance</v>
      </c>
      <c r="W108" s="612" t="str">
        <f>+VLOOKUP($L108,Data_Validation!$A:$E,5,0)</f>
        <v>$</v>
      </c>
      <c r="X108" s="612">
        <f>+VLOOKUP($L108,Data_Validation!$A:$F,6,0)</f>
        <v>0</v>
      </c>
    </row>
    <row r="109" spans="1:24" ht="15.75" customHeight="1">
      <c r="A109" s="1188" t="s">
        <v>809</v>
      </c>
      <c r="B109" s="1188" t="s">
        <v>1453</v>
      </c>
      <c r="C109" s="1190">
        <v>44066.81</v>
      </c>
      <c r="D109" s="1190">
        <v>-2554.3200000000002</v>
      </c>
      <c r="E109" s="1190">
        <v>41512.49</v>
      </c>
      <c r="F109" s="1188" t="s">
        <v>761</v>
      </c>
      <c r="G109" s="1188" t="s">
        <v>801</v>
      </c>
      <c r="H109" s="1188" t="s">
        <v>3845</v>
      </c>
      <c r="I109" s="607"/>
      <c r="J109" s="607"/>
      <c r="K109" s="607"/>
      <c r="L109" s="609" t="str">
        <f t="shared" si="11"/>
        <v>1492</v>
      </c>
      <c r="M109" s="610" t="str">
        <f t="shared" si="0"/>
        <v>CARBURANT, HUILE, GRAISSE</v>
      </c>
      <c r="N109" s="611">
        <f>+IF(OR($Q109=Parametres!$G$2,$Q109=Parametres!$G$3),I109,C109)</f>
        <v>44066.81</v>
      </c>
      <c r="O109" s="611">
        <f>+IF(OR($Q109=Parametres!$G$2,$Q109=Parametres!$G$3),J109,D109)</f>
        <v>-2554.3200000000002</v>
      </c>
      <c r="P109" s="611">
        <f>+IF(OR($Q109=Parametres!$G$2,$Q109=Parametres!$G$3),K109,E109)</f>
        <v>41512.49</v>
      </c>
      <c r="Q109" s="610" t="str">
        <f t="shared" si="12"/>
        <v>2-Actifs</v>
      </c>
      <c r="R109" s="609" t="str">
        <f t="shared" si="13"/>
        <v>1442</v>
      </c>
      <c r="S109" s="610" t="str">
        <f t="shared" si="14"/>
        <v>_</v>
      </c>
      <c r="T109" s="612" t="str">
        <f>+VLOOKUP($L109,Data_Validation!$A:$D,1,0)</f>
        <v>1492</v>
      </c>
      <c r="U109" s="612" t="str">
        <f>+VLOOKUP($L109,Data_Validation!$A:$D,3,0)</f>
        <v>Bilan</v>
      </c>
      <c r="V109" s="612" t="str">
        <f>+VLOOKUP($L109,Data_Validation!$A:$D,4,0)</f>
        <v>Inventaire Pièces, Pneus, Huile</v>
      </c>
      <c r="W109" s="612" t="str">
        <f>+VLOOKUP($L109,Data_Validation!$A:$E,5,0)</f>
        <v>$</v>
      </c>
      <c r="X109" s="612">
        <f>+VLOOKUP($L109,Data_Validation!$A:$F,6,0)</f>
        <v>0</v>
      </c>
    </row>
    <row r="110" spans="1:24" ht="15" customHeight="1">
      <c r="A110" s="1188" t="s">
        <v>816</v>
      </c>
      <c r="B110" s="1188" t="s">
        <v>1470</v>
      </c>
      <c r="C110" s="1190">
        <v>5914.8</v>
      </c>
      <c r="D110" s="1190">
        <v>0</v>
      </c>
      <c r="E110" s="1190">
        <v>5914.8</v>
      </c>
      <c r="F110" s="1188" t="s">
        <v>761</v>
      </c>
      <c r="G110" s="1188" t="s">
        <v>813</v>
      </c>
      <c r="H110" s="1188" t="s">
        <v>3845</v>
      </c>
      <c r="I110" s="607"/>
      <c r="J110" s="607"/>
      <c r="K110" s="607"/>
      <c r="L110" s="609" t="str">
        <f t="shared" si="11"/>
        <v>1510</v>
      </c>
      <c r="M110" s="610" t="str">
        <f t="shared" si="0"/>
        <v>DIAMOND KOTE (NANO)</v>
      </c>
      <c r="N110" s="611">
        <f>+IF(OR($Q110=Parametres!$G$2,$Q110=Parametres!$G$3),I110,C110)</f>
        <v>5914.8</v>
      </c>
      <c r="O110" s="615">
        <f>+IF(OR($Q110=Parametres!$G$2,$Q110=Parametres!$G$3),J110,D110)</f>
        <v>0</v>
      </c>
      <c r="P110" s="611">
        <f>+IF(OR($Q110=Parametres!$G$2,$Q110=Parametres!$G$3),K110,E110)</f>
        <v>5914.8</v>
      </c>
      <c r="Q110" s="610" t="str">
        <f t="shared" si="12"/>
        <v>2-Actifs</v>
      </c>
      <c r="R110" s="609" t="str">
        <f t="shared" si="13"/>
        <v>1500</v>
      </c>
      <c r="S110" s="610" t="str">
        <f t="shared" si="14"/>
        <v>_</v>
      </c>
      <c r="T110" s="612" t="str">
        <f>+VLOOKUP($L110,Data_Validation!$A:$D,1,0)</f>
        <v>1510</v>
      </c>
      <c r="U110" s="612" t="str">
        <f>+VLOOKUP($L110,Data_Validation!$A:$D,3,0)</f>
        <v>Bilan</v>
      </c>
      <c r="V110" s="612" t="str">
        <f>+VLOOKUP($L110,Data_Validation!$A:$D,4,0)</f>
        <v>Frais Payés d'Avance</v>
      </c>
      <c r="W110" s="612" t="str">
        <f>+VLOOKUP($L110,Data_Validation!$A:$E,5,0)</f>
        <v>$</v>
      </c>
      <c r="X110" s="612">
        <f>+VLOOKUP($L110,Data_Validation!$A:$F,6,0)</f>
        <v>0</v>
      </c>
    </row>
    <row r="111" spans="1:24" ht="15" customHeight="1">
      <c r="A111" s="1188" t="s">
        <v>817</v>
      </c>
      <c r="B111" s="1188" t="s">
        <v>1473</v>
      </c>
      <c r="C111" s="1190">
        <v>10358.86</v>
      </c>
      <c r="D111" s="1190">
        <v>-1150.98</v>
      </c>
      <c r="E111" s="1190">
        <v>9207.8799999999992</v>
      </c>
      <c r="F111" s="1188" t="s">
        <v>761</v>
      </c>
      <c r="G111" s="1188" t="s">
        <v>813</v>
      </c>
      <c r="H111" s="1188" t="s">
        <v>3845</v>
      </c>
      <c r="I111" s="607"/>
      <c r="J111" s="607"/>
      <c r="K111" s="607"/>
      <c r="L111" s="609" t="str">
        <f t="shared" si="11"/>
        <v>1520</v>
      </c>
      <c r="M111" s="610" t="str">
        <f t="shared" si="0"/>
        <v>FPA IMMATRICULATION</v>
      </c>
      <c r="N111" s="611">
        <f>+IF(OR($Q111=Parametres!$G$2,$Q111=Parametres!$G$3),I111,C111)</f>
        <v>10358.86</v>
      </c>
      <c r="O111" s="611">
        <f>+IF(OR($Q111=Parametres!$G$2,$Q111=Parametres!$G$3),J111,D111)</f>
        <v>-1150.98</v>
      </c>
      <c r="P111" s="611">
        <f>+IF(OR($Q111=Parametres!$G$2,$Q111=Parametres!$G$3),K111,E111)</f>
        <v>9207.8799999999992</v>
      </c>
      <c r="Q111" s="610" t="str">
        <f t="shared" si="12"/>
        <v>2-Actifs</v>
      </c>
      <c r="R111" s="609" t="str">
        <f t="shared" si="13"/>
        <v>1500</v>
      </c>
      <c r="S111" s="610" t="str">
        <f t="shared" si="14"/>
        <v>_</v>
      </c>
      <c r="T111" s="612" t="str">
        <f>+VLOOKUP($L111,Data_Validation!$A:$D,1,0)</f>
        <v>1520</v>
      </c>
      <c r="U111" s="612" t="str">
        <f>+VLOOKUP($L111,Data_Validation!$A:$D,3,0)</f>
        <v>Bilan</v>
      </c>
      <c r="V111" s="612" t="str">
        <f>+VLOOKUP($L111,Data_Validation!$A:$D,4,0)</f>
        <v>Frais Payés d'Avance</v>
      </c>
      <c r="W111" s="612" t="str">
        <f>+VLOOKUP($L111,Data_Validation!$A:$E,5,0)</f>
        <v>$</v>
      </c>
      <c r="X111" s="612">
        <f>+VLOOKUP($L111,Data_Validation!$A:$F,6,0)</f>
        <v>0</v>
      </c>
    </row>
    <row r="112" spans="1:24" ht="15" customHeight="1">
      <c r="A112" s="1188" t="s">
        <v>3846</v>
      </c>
      <c r="B112" s="1188" t="s">
        <v>1476</v>
      </c>
      <c r="C112" s="1190">
        <v>225</v>
      </c>
      <c r="D112" s="1190">
        <v>75</v>
      </c>
      <c r="E112" s="1190">
        <v>300</v>
      </c>
      <c r="F112" s="1188" t="s">
        <v>761</v>
      </c>
      <c r="G112" s="1188" t="s">
        <v>813</v>
      </c>
      <c r="H112" s="1188" t="s">
        <v>3845</v>
      </c>
      <c r="I112" s="607"/>
      <c r="J112" s="607"/>
      <c r="K112" s="607"/>
      <c r="L112" s="609" t="str">
        <f t="shared" si="11"/>
        <v>1522</v>
      </c>
      <c r="M112" s="610" t="str">
        <f t="shared" si="0"/>
        <v>FPA recours coll</v>
      </c>
      <c r="N112" s="611">
        <f>+IF(OR($Q112=Parametres!$G$2,$Q112=Parametres!$G$3),I112,C112)</f>
        <v>225</v>
      </c>
      <c r="O112" s="611">
        <f>+IF(OR($Q112=Parametres!$G$2,$Q112=Parametres!$G$3),J112,D112)</f>
        <v>75</v>
      </c>
      <c r="P112" s="611">
        <f>+IF(OR($Q112=Parametres!$G$2,$Q112=Parametres!$G$3),K112,E112)</f>
        <v>300</v>
      </c>
      <c r="Q112" s="610" t="str">
        <f t="shared" si="12"/>
        <v>2-Actifs</v>
      </c>
      <c r="R112" s="609" t="str">
        <f t="shared" si="13"/>
        <v>1500</v>
      </c>
      <c r="S112" s="610" t="str">
        <f t="shared" si="14"/>
        <v>_</v>
      </c>
      <c r="T112" s="612" t="str">
        <f>+VLOOKUP($L112,Data_Validation!$A:$D,1,0)</f>
        <v>1522</v>
      </c>
      <c r="U112" s="612" t="str">
        <f>+VLOOKUP($L112,Data_Validation!$A:$D,3,0)</f>
        <v>Bilan</v>
      </c>
      <c r="V112" s="612" t="str">
        <f>+VLOOKUP($L112,Data_Validation!$A:$D,4,0)</f>
        <v>Frais Payés d'Avance</v>
      </c>
      <c r="W112" s="612" t="str">
        <f>+VLOOKUP($L112,Data_Validation!$A:$E,5,0)</f>
        <v>$</v>
      </c>
      <c r="X112" s="612">
        <f>+VLOOKUP($L112,Data_Validation!$A:$F,6,0)</f>
        <v>0</v>
      </c>
    </row>
    <row r="113" spans="1:24" ht="15.75" customHeight="1">
      <c r="A113" s="1188" t="s">
        <v>818</v>
      </c>
      <c r="B113" s="1188" t="s">
        <v>1485</v>
      </c>
      <c r="C113" s="1190">
        <v>2500</v>
      </c>
      <c r="D113" s="1190">
        <v>0</v>
      </c>
      <c r="E113" s="1190">
        <v>2500</v>
      </c>
      <c r="F113" s="1188" t="s">
        <v>761</v>
      </c>
      <c r="G113" s="1188" t="s">
        <v>813</v>
      </c>
      <c r="H113" s="1188" t="s">
        <v>3845</v>
      </c>
      <c r="I113" s="607"/>
      <c r="J113" s="607"/>
      <c r="K113" s="607"/>
      <c r="L113" s="609" t="str">
        <f t="shared" si="11"/>
        <v>1532</v>
      </c>
      <c r="M113" s="610" t="str">
        <f t="shared" si="0"/>
        <v>FPA C.C.A.M.Q.</v>
      </c>
      <c r="N113" s="611">
        <f>+IF(OR($Q113=Parametres!$G$2,$Q113=Parametres!$G$3),I113,C113)</f>
        <v>2500</v>
      </c>
      <c r="O113" s="611">
        <f>+IF(OR($Q113=Parametres!$G$2,$Q113=Parametres!$G$3),J113,D113)</f>
        <v>0</v>
      </c>
      <c r="P113" s="611">
        <f>+IF(OR($Q113=Parametres!$G$2,$Q113=Parametres!$G$3),K113,E113)</f>
        <v>2500</v>
      </c>
      <c r="Q113" s="610" t="str">
        <f t="shared" si="12"/>
        <v>2-Actifs</v>
      </c>
      <c r="R113" s="609" t="str">
        <f t="shared" si="13"/>
        <v>1500</v>
      </c>
      <c r="S113" s="610" t="str">
        <f t="shared" si="14"/>
        <v>_</v>
      </c>
      <c r="T113" s="612" t="str">
        <f>+VLOOKUP($L113,Data_Validation!$A:$D,1,0)</f>
        <v>1532</v>
      </c>
      <c r="U113" s="612" t="str">
        <f>+VLOOKUP($L113,Data_Validation!$A:$D,3,0)</f>
        <v>Bilan</v>
      </c>
      <c r="V113" s="612" t="str">
        <f>+VLOOKUP($L113,Data_Validation!$A:$D,4,0)</f>
        <v>Frais Payés d'Avance</v>
      </c>
      <c r="W113" s="612" t="str">
        <f>+VLOOKUP($L113,Data_Validation!$A:$E,5,0)</f>
        <v>$</v>
      </c>
      <c r="X113" s="612">
        <f>+VLOOKUP($L113,Data_Validation!$A:$F,6,0)</f>
        <v>0</v>
      </c>
    </row>
    <row r="114" spans="1:24" ht="15" customHeight="1">
      <c r="A114" s="1188" t="s">
        <v>820</v>
      </c>
      <c r="B114" s="1188" t="s">
        <v>1497</v>
      </c>
      <c r="C114" s="1190">
        <v>1822.3</v>
      </c>
      <c r="D114" s="1190">
        <v>-1822.3</v>
      </c>
      <c r="E114" s="1190">
        <v>0</v>
      </c>
      <c r="F114" s="1188" t="s">
        <v>761</v>
      </c>
      <c r="G114" s="1188" t="s">
        <v>813</v>
      </c>
      <c r="H114" s="1188" t="s">
        <v>3845</v>
      </c>
      <c r="I114" s="607"/>
      <c r="J114" s="607"/>
      <c r="K114" s="607"/>
      <c r="L114" s="609" t="str">
        <f t="shared" si="11"/>
        <v>1540</v>
      </c>
      <c r="M114" s="610" t="str">
        <f t="shared" si="0"/>
        <v>FPA CONTRATS DE SERVICES</v>
      </c>
      <c r="N114" s="611">
        <f>+IF(OR($Q114=Parametres!$G$2,$Q114=Parametres!$G$3),I114,C114)</f>
        <v>1822.3</v>
      </c>
      <c r="O114" s="611">
        <f>+IF(OR($Q114=Parametres!$G$2,$Q114=Parametres!$G$3),J114,D114)</f>
        <v>-1822.3</v>
      </c>
      <c r="P114" s="611">
        <f>+IF(OR($Q114=Parametres!$G$2,$Q114=Parametres!$G$3),K114,E114)</f>
        <v>0</v>
      </c>
      <c r="Q114" s="610" t="str">
        <f t="shared" si="12"/>
        <v>2-Actifs</v>
      </c>
      <c r="R114" s="609" t="str">
        <f t="shared" si="13"/>
        <v>1500</v>
      </c>
      <c r="S114" s="610" t="str">
        <f t="shared" si="14"/>
        <v>_</v>
      </c>
      <c r="T114" s="612" t="str">
        <f>+VLOOKUP($L114,Data_Validation!$A:$D,1,0)</f>
        <v>1540</v>
      </c>
      <c r="U114" s="612" t="str">
        <f>+VLOOKUP($L114,Data_Validation!$A:$D,3,0)</f>
        <v>Bilan</v>
      </c>
      <c r="V114" s="612" t="str">
        <f>+VLOOKUP($L114,Data_Validation!$A:$D,4,0)</f>
        <v>Frais Payés d'Avance</v>
      </c>
      <c r="W114" s="612" t="str">
        <f>+VLOOKUP($L114,Data_Validation!$A:$E,5,0)</f>
        <v>$</v>
      </c>
      <c r="X114" s="612">
        <f>+VLOOKUP($L114,Data_Validation!$A:$F,6,0)</f>
        <v>0</v>
      </c>
    </row>
    <row r="115" spans="1:24" ht="15" customHeight="1">
      <c r="A115" s="1188" t="s">
        <v>822</v>
      </c>
      <c r="B115" s="1188" t="s">
        <v>1503</v>
      </c>
      <c r="C115" s="1190">
        <v>450.86</v>
      </c>
      <c r="D115" s="1190">
        <v>0</v>
      </c>
      <c r="E115" s="1190">
        <v>450.86</v>
      </c>
      <c r="F115" s="1188" t="s">
        <v>761</v>
      </c>
      <c r="G115" s="1188" t="s">
        <v>813</v>
      </c>
      <c r="H115" s="1188" t="s">
        <v>3845</v>
      </c>
      <c r="I115" s="608"/>
      <c r="J115" s="608"/>
      <c r="K115" s="608"/>
      <c r="L115" s="609" t="str">
        <f t="shared" si="11"/>
        <v>1546</v>
      </c>
      <c r="M115" s="610" t="str">
        <f t="shared" si="0"/>
        <v>FPA ELECTRICITE HYDRO-QUEBEC</v>
      </c>
      <c r="N115" s="611">
        <f>+IF(OR($Q115=Parametres!$G$2,$Q115=Parametres!$G$3),I115,C115)</f>
        <v>450.86</v>
      </c>
      <c r="O115" s="611">
        <f>+IF(OR($Q115=Parametres!$G$2,$Q115=Parametres!$G$3),J115,D115)</f>
        <v>0</v>
      </c>
      <c r="P115" s="611">
        <f>+IF(OR($Q115=Parametres!$G$2,$Q115=Parametres!$G$3),K115,E115)</f>
        <v>450.86</v>
      </c>
      <c r="Q115" s="610" t="str">
        <f t="shared" si="12"/>
        <v>2-Actifs</v>
      </c>
      <c r="R115" s="609" t="str">
        <f t="shared" si="13"/>
        <v>1500</v>
      </c>
      <c r="S115" s="610" t="str">
        <f t="shared" si="14"/>
        <v>_</v>
      </c>
      <c r="T115" s="612" t="str">
        <f>+VLOOKUP($L115,Data_Validation!$A:$D,1,0)</f>
        <v>1546</v>
      </c>
      <c r="U115" s="612" t="str">
        <f>+VLOOKUP($L115,Data_Validation!$A:$D,3,0)</f>
        <v>Bilan</v>
      </c>
      <c r="V115" s="612" t="str">
        <f>+VLOOKUP($L115,Data_Validation!$A:$D,4,0)</f>
        <v>Autres Courus</v>
      </c>
      <c r="W115" s="612" t="str">
        <f>+VLOOKUP($L115,Data_Validation!$A:$E,5,0)</f>
        <v>$</v>
      </c>
      <c r="X115" s="612">
        <f>+VLOOKUP($L115,Data_Validation!$A:$F,6,0)</f>
        <v>0</v>
      </c>
    </row>
    <row r="116" spans="1:24" ht="15" customHeight="1">
      <c r="A116" s="1188" t="s">
        <v>824</v>
      </c>
      <c r="B116" s="1188" t="s">
        <v>3314</v>
      </c>
      <c r="C116" s="1190">
        <v>338.19</v>
      </c>
      <c r="D116" s="1190">
        <v>0</v>
      </c>
      <c r="E116" s="1190">
        <v>338.19</v>
      </c>
      <c r="F116" s="1188" t="s">
        <v>761</v>
      </c>
      <c r="G116" s="1188" t="s">
        <v>813</v>
      </c>
      <c r="H116" s="1188" t="s">
        <v>3845</v>
      </c>
      <c r="I116" s="608"/>
      <c r="J116" s="608"/>
      <c r="K116" s="608"/>
      <c r="L116" s="609" t="str">
        <f t="shared" si="11"/>
        <v>1553</v>
      </c>
      <c r="M116" s="610" t="str">
        <f t="shared" si="0"/>
        <v>CSST A PAYER OU RECEVOIR</v>
      </c>
      <c r="N116" s="611">
        <f>+IF(OR($Q116=Parametres!$G$2,$Q116=Parametres!$G$3),I116,C116)</f>
        <v>338.19</v>
      </c>
      <c r="O116" s="611">
        <f>+IF(OR($Q116=Parametres!$G$2,$Q116=Parametres!$G$3),J116,D116)</f>
        <v>0</v>
      </c>
      <c r="P116" s="611">
        <f>+IF(OR($Q116=Parametres!$G$2,$Q116=Parametres!$G$3),K116,E116)</f>
        <v>338.19</v>
      </c>
      <c r="Q116" s="610" t="str">
        <f t="shared" si="12"/>
        <v>2-Actifs</v>
      </c>
      <c r="R116" s="609" t="str">
        <f t="shared" si="13"/>
        <v>1500</v>
      </c>
      <c r="S116" s="610" t="str">
        <f t="shared" si="14"/>
        <v>_</v>
      </c>
      <c r="T116" s="612" t="str">
        <f>+VLOOKUP($L116,Data_Validation!$A:$D,1,0)</f>
        <v>1553</v>
      </c>
      <c r="U116" s="612" t="str">
        <f>+VLOOKUP($L116,Data_Validation!$A:$D,3,0)</f>
        <v>Bilan</v>
      </c>
      <c r="V116" s="612" t="str">
        <f>+VLOOKUP($L116,Data_Validation!$A:$D,4,0)</f>
        <v>Frais Payés d'Avance</v>
      </c>
      <c r="W116" s="612" t="str">
        <f>+VLOOKUP($L116,Data_Validation!$A:$E,5,0)</f>
        <v>$</v>
      </c>
      <c r="X116" s="612">
        <f>+VLOOKUP($L116,Data_Validation!$A:$F,6,0)</f>
        <v>0</v>
      </c>
    </row>
    <row r="117" spans="1:24" ht="15.75" customHeight="1">
      <c r="A117" s="1188" t="s">
        <v>825</v>
      </c>
      <c r="B117" s="1188" t="s">
        <v>1509</v>
      </c>
      <c r="C117" s="1190">
        <v>151455.42000000001</v>
      </c>
      <c r="D117" s="1190">
        <v>0</v>
      </c>
      <c r="E117" s="1190">
        <v>151455.42000000001</v>
      </c>
      <c r="F117" s="1188" t="s">
        <v>761</v>
      </c>
      <c r="G117" s="1188" t="s">
        <v>813</v>
      </c>
      <c r="H117" s="1188" t="s">
        <v>3845</v>
      </c>
      <c r="I117" s="608"/>
      <c r="J117" s="608"/>
      <c r="K117" s="608"/>
      <c r="L117" s="609" t="str">
        <f t="shared" si="11"/>
        <v>1582</v>
      </c>
      <c r="M117" s="610" t="str">
        <f t="shared" si="0"/>
        <v>FPA TAXES MUNICIPALES</v>
      </c>
      <c r="N117" s="611">
        <f>+IF(OR($Q117=Parametres!$G$2,$Q117=Parametres!$G$3),I117,C117)</f>
        <v>151455.42000000001</v>
      </c>
      <c r="O117" s="611">
        <f>+IF(OR($Q117=Parametres!$G$2,$Q117=Parametres!$G$3),J117,D117)</f>
        <v>0</v>
      </c>
      <c r="P117" s="611">
        <f>+IF(OR($Q117=Parametres!$G$2,$Q117=Parametres!$G$3),K117,E117)</f>
        <v>151455.42000000001</v>
      </c>
      <c r="Q117" s="610" t="str">
        <f t="shared" si="12"/>
        <v>2-Actifs</v>
      </c>
      <c r="R117" s="609" t="str">
        <f t="shared" si="13"/>
        <v>1500</v>
      </c>
      <c r="S117" s="610" t="str">
        <f t="shared" si="14"/>
        <v>_</v>
      </c>
      <c r="T117" s="612" t="str">
        <f>+VLOOKUP($L117,Data_Validation!$A:$D,1,0)</f>
        <v>1582</v>
      </c>
      <c r="U117" s="612" t="str">
        <f>+VLOOKUP($L117,Data_Validation!$A:$D,3,0)</f>
        <v>Bilan</v>
      </c>
      <c r="V117" s="612" t="str">
        <f>+VLOOKUP($L117,Data_Validation!$A:$D,4,0)</f>
        <v>Frais Payés d'Avance</v>
      </c>
      <c r="W117" s="612" t="str">
        <f>+VLOOKUP($L117,Data_Validation!$A:$E,5,0)</f>
        <v>$</v>
      </c>
      <c r="X117" s="612">
        <f>+VLOOKUP($L117,Data_Validation!$A:$F,6,0)</f>
        <v>0</v>
      </c>
    </row>
    <row r="118" spans="1:24" ht="15" customHeight="1">
      <c r="A118" s="1188" t="s">
        <v>826</v>
      </c>
      <c r="B118" s="1188" t="s">
        <v>1515</v>
      </c>
      <c r="C118" s="1190">
        <v>-107992.24</v>
      </c>
      <c r="D118" s="1190">
        <v>-18000</v>
      </c>
      <c r="E118" s="1190">
        <v>-125992.24</v>
      </c>
      <c r="F118" s="1188" t="s">
        <v>761</v>
      </c>
      <c r="G118" s="1188" t="s">
        <v>813</v>
      </c>
      <c r="H118" s="1188" t="s">
        <v>3845</v>
      </c>
      <c r="I118" s="619"/>
      <c r="J118" s="619"/>
      <c r="K118" s="619"/>
      <c r="L118" s="609" t="str">
        <f t="shared" si="11"/>
        <v>1586</v>
      </c>
      <c r="M118" s="610" t="str">
        <f t="shared" si="0"/>
        <v>FPA TAXES SCOLAIRES</v>
      </c>
      <c r="N118" s="611">
        <f>+IF(OR($Q118=Parametres!$G$2,$Q118=Parametres!$G$3),I118,C118)</f>
        <v>-107992.24</v>
      </c>
      <c r="O118" s="611">
        <f>+IF(OR($Q118=Parametres!$G$2,$Q118=Parametres!$G$3),J118,D118)</f>
        <v>-18000</v>
      </c>
      <c r="P118" s="611">
        <f>+IF(OR($Q118=Parametres!$G$2,$Q118=Parametres!$G$3),K118,E118)</f>
        <v>-125992.24</v>
      </c>
      <c r="Q118" s="610" t="str">
        <f t="shared" si="12"/>
        <v>2-Actifs</v>
      </c>
      <c r="R118" s="609" t="str">
        <f t="shared" si="13"/>
        <v>1500</v>
      </c>
      <c r="S118" s="610" t="str">
        <f t="shared" si="14"/>
        <v>_</v>
      </c>
      <c r="T118" s="612" t="str">
        <f>+VLOOKUP($L118,Data_Validation!$A:$D,1,0)</f>
        <v>1586</v>
      </c>
      <c r="U118" s="612" t="str">
        <f>+VLOOKUP($L118,Data_Validation!$A:$D,3,0)</f>
        <v>Bilan</v>
      </c>
      <c r="V118" s="612" t="str">
        <f>+VLOOKUP($L118,Data_Validation!$A:$D,4,0)</f>
        <v>Frais Payés d'Avance</v>
      </c>
      <c r="W118" s="612" t="str">
        <f>+VLOOKUP($L118,Data_Validation!$A:$E,5,0)</f>
        <v>$</v>
      </c>
      <c r="X118" s="612">
        <f>+VLOOKUP($L118,Data_Validation!$A:$F,6,0)</f>
        <v>0</v>
      </c>
    </row>
    <row r="119" spans="1:24" ht="15" customHeight="1">
      <c r="A119" s="1188" t="s">
        <v>828</v>
      </c>
      <c r="B119" s="1188" t="s">
        <v>1518</v>
      </c>
      <c r="C119" s="1190">
        <v>70764.070000000007</v>
      </c>
      <c r="D119" s="1190">
        <v>-66507.350000000006</v>
      </c>
      <c r="E119" s="1190">
        <v>4256.72</v>
      </c>
      <c r="F119" s="1188" t="s">
        <v>761</v>
      </c>
      <c r="G119" s="1188" t="s">
        <v>813</v>
      </c>
      <c r="H119" s="1188" t="s">
        <v>3845</v>
      </c>
      <c r="I119" s="608"/>
      <c r="J119" s="608"/>
      <c r="K119" s="608"/>
      <c r="L119" s="609" t="str">
        <f t="shared" si="11"/>
        <v>1592</v>
      </c>
      <c r="M119" s="610" t="str">
        <f t="shared" si="0"/>
        <v>FPA AUTRES</v>
      </c>
      <c r="N119" s="611">
        <f>+IF(OR($Q119=Parametres!$G$2,$Q119=Parametres!$G$3),I119,C119)</f>
        <v>70764.070000000007</v>
      </c>
      <c r="O119" s="611">
        <f>+IF(OR($Q119=Parametres!$G$2,$Q119=Parametres!$G$3),J119,D119)</f>
        <v>-66507.350000000006</v>
      </c>
      <c r="P119" s="611">
        <f>+IF(OR($Q119=Parametres!$G$2,$Q119=Parametres!$G$3),K119,E119)</f>
        <v>4256.72</v>
      </c>
      <c r="Q119" s="610" t="str">
        <f t="shared" si="12"/>
        <v>2-Actifs</v>
      </c>
      <c r="R119" s="609" t="str">
        <f t="shared" si="13"/>
        <v>1500</v>
      </c>
      <c r="S119" s="610" t="str">
        <f t="shared" si="14"/>
        <v>_</v>
      </c>
      <c r="T119" s="612" t="str">
        <f>+VLOOKUP($L119,Data_Validation!$A:$D,1,0)</f>
        <v>1592</v>
      </c>
      <c r="U119" s="612" t="str">
        <f>+VLOOKUP($L119,Data_Validation!$A:$D,3,0)</f>
        <v>Bilan</v>
      </c>
      <c r="V119" s="612" t="str">
        <f>+VLOOKUP($L119,Data_Validation!$A:$D,4,0)</f>
        <v>Frais Payés d'Avance</v>
      </c>
      <c r="W119" s="612" t="str">
        <f>+VLOOKUP($L119,Data_Validation!$A:$E,5,0)</f>
        <v>$</v>
      </c>
      <c r="X119" s="612">
        <f>+VLOOKUP($L119,Data_Validation!$A:$F,6,0)</f>
        <v>0</v>
      </c>
    </row>
    <row r="120" spans="1:24" ht="15" customHeight="1">
      <c r="A120" s="1188" t="s">
        <v>829</v>
      </c>
      <c r="B120" s="1188" t="s">
        <v>1530</v>
      </c>
      <c r="C120" s="1190">
        <v>95892.02</v>
      </c>
      <c r="D120" s="1190">
        <v>5819.23</v>
      </c>
      <c r="E120" s="1190">
        <v>101711.25</v>
      </c>
      <c r="F120" s="1188" t="s">
        <v>761</v>
      </c>
      <c r="G120" s="1188" t="s">
        <v>830</v>
      </c>
      <c r="H120" s="1188" t="s">
        <v>3845</v>
      </c>
      <c r="I120" s="608"/>
      <c r="J120" s="608"/>
      <c r="K120" s="608"/>
      <c r="L120" s="609" t="str">
        <f t="shared" si="11"/>
        <v>1732</v>
      </c>
      <c r="M120" s="610" t="str">
        <f t="shared" si="0"/>
        <v>AMELIOR. LOCATIVES</v>
      </c>
      <c r="N120" s="611">
        <f>+IF(OR($Q120=Parametres!$G$2,$Q120=Parametres!$G$3),I120,C120)</f>
        <v>95892.02</v>
      </c>
      <c r="O120" s="611">
        <f>+IF(OR($Q120=Parametres!$G$2,$Q120=Parametres!$G$3),J120,D120)</f>
        <v>5819.23</v>
      </c>
      <c r="P120" s="611">
        <f>+IF(OR($Q120=Parametres!$G$2,$Q120=Parametres!$G$3),K120,E120)</f>
        <v>101711.25</v>
      </c>
      <c r="Q120" s="610" t="str">
        <f t="shared" si="12"/>
        <v>2-Actifs</v>
      </c>
      <c r="R120" s="609" t="str">
        <f t="shared" si="13"/>
        <v>1700</v>
      </c>
      <c r="S120" s="610" t="str">
        <f t="shared" si="14"/>
        <v>_</v>
      </c>
      <c r="T120" s="612" t="str">
        <f>+VLOOKUP($L120,Data_Validation!$A:$D,1,0)</f>
        <v>1732</v>
      </c>
      <c r="U120" s="612" t="str">
        <f>+VLOOKUP($L120,Data_Validation!$A:$D,3,0)</f>
        <v>Bilan</v>
      </c>
      <c r="V120" s="612" t="str">
        <f>+VLOOKUP($L120,Data_Validation!$A:$D,4,0)</f>
        <v>Améliorations Locatives</v>
      </c>
      <c r="W120" s="612" t="str">
        <f>+VLOOKUP($L120,Data_Validation!$A:$E,5,0)</f>
        <v>$</v>
      </c>
      <c r="X120" s="612">
        <f>+VLOOKUP($L120,Data_Validation!$A:$F,6,0)</f>
        <v>0</v>
      </c>
    </row>
    <row r="121" spans="1:24" ht="15" customHeight="1">
      <c r="A121" s="1188" t="s">
        <v>831</v>
      </c>
      <c r="B121" s="1188" t="s">
        <v>1533</v>
      </c>
      <c r="C121" s="1190">
        <v>-88524.29</v>
      </c>
      <c r="D121" s="1190">
        <v>0</v>
      </c>
      <c r="E121" s="1190">
        <v>-88524.29</v>
      </c>
      <c r="F121" s="1188" t="s">
        <v>761</v>
      </c>
      <c r="G121" s="1188" t="s">
        <v>830</v>
      </c>
      <c r="H121" s="1188" t="s">
        <v>3845</v>
      </c>
      <c r="I121" s="607"/>
      <c r="J121" s="607"/>
      <c r="K121" s="607"/>
      <c r="L121" s="609" t="str">
        <f t="shared" si="11"/>
        <v>1733</v>
      </c>
      <c r="M121" s="610" t="str">
        <f t="shared" si="0"/>
        <v>AMORT. CUM. AMEL. LOCAT.</v>
      </c>
      <c r="N121" s="611">
        <f>+IF(OR($Q121=Parametres!$G$2,$Q121=Parametres!$G$3),I121,C121)</f>
        <v>-88524.29</v>
      </c>
      <c r="O121" s="615">
        <f>+IF(OR($Q121=Parametres!$G$2,$Q121=Parametres!$G$3),J121,D121)</f>
        <v>0</v>
      </c>
      <c r="P121" s="611">
        <f>+IF(OR($Q121=Parametres!$G$2,$Q121=Parametres!$G$3),K121,E121)</f>
        <v>-88524.29</v>
      </c>
      <c r="Q121" s="610" t="str">
        <f t="shared" si="12"/>
        <v>2-Actifs</v>
      </c>
      <c r="R121" s="609" t="str">
        <f t="shared" si="13"/>
        <v>1700</v>
      </c>
      <c r="S121" s="610" t="str">
        <f t="shared" si="14"/>
        <v>_</v>
      </c>
      <c r="T121" s="612" t="str">
        <f>+VLOOKUP($L121,Data_Validation!$A:$D,1,0)</f>
        <v>1733</v>
      </c>
      <c r="U121" s="612" t="str">
        <f>+VLOOKUP($L121,Data_Validation!$A:$D,3,0)</f>
        <v>Bilan</v>
      </c>
      <c r="V121" s="612" t="str">
        <f>+VLOOKUP($L121,Data_Validation!$A:$D,4,0)</f>
        <v>Améliorations Locatives</v>
      </c>
      <c r="W121" s="612" t="str">
        <f>+VLOOKUP($L121,Data_Validation!$A:$E,5,0)</f>
        <v>$</v>
      </c>
      <c r="X121" s="612">
        <f>+VLOOKUP($L121,Data_Validation!$A:$F,6,0)</f>
        <v>0</v>
      </c>
    </row>
    <row r="122" spans="1:24" ht="15" customHeight="1">
      <c r="A122" s="1188" t="s">
        <v>3294</v>
      </c>
      <c r="B122" s="1188" t="s">
        <v>3316</v>
      </c>
      <c r="C122" s="1190">
        <v>19532.55</v>
      </c>
      <c r="D122" s="1190">
        <v>0</v>
      </c>
      <c r="E122" s="1190">
        <v>19532.55</v>
      </c>
      <c r="F122" s="1188" t="s">
        <v>761</v>
      </c>
      <c r="G122" s="1188" t="s">
        <v>830</v>
      </c>
      <c r="H122" s="1188" t="s">
        <v>3845</v>
      </c>
      <c r="I122" s="608"/>
      <c r="J122" s="608"/>
      <c r="K122" s="608"/>
      <c r="L122" s="609" t="str">
        <f t="shared" si="11"/>
        <v>1734</v>
      </c>
      <c r="M122" s="610" t="str">
        <f t="shared" si="0"/>
        <v>AMELIOR. LOCATIVES CPO</v>
      </c>
      <c r="N122" s="611">
        <f>+IF(OR($Q122=Parametres!$G$2,$Q122=Parametres!$G$3),I122,C122)</f>
        <v>19532.55</v>
      </c>
      <c r="O122" s="611">
        <f>+IF(OR($Q122=Parametres!$G$2,$Q122=Parametres!$G$3),J122,D122)</f>
        <v>0</v>
      </c>
      <c r="P122" s="611">
        <f>+IF(OR($Q122=Parametres!$G$2,$Q122=Parametres!$G$3),K122,E122)</f>
        <v>19532.55</v>
      </c>
      <c r="Q122" s="610" t="str">
        <f t="shared" si="12"/>
        <v>2-Actifs</v>
      </c>
      <c r="R122" s="609" t="str">
        <f t="shared" si="13"/>
        <v>1700</v>
      </c>
      <c r="S122" s="610" t="str">
        <f t="shared" si="14"/>
        <v>_</v>
      </c>
      <c r="T122" s="612" t="str">
        <f>+VLOOKUP($L122,Data_Validation!$A:$D,1,0)</f>
        <v>1734</v>
      </c>
      <c r="U122" s="612" t="str">
        <f>+VLOOKUP($L122,Data_Validation!$A:$D,3,0)</f>
        <v>Bilan</v>
      </c>
      <c r="V122" s="612" t="str">
        <f>+VLOOKUP($L122,Data_Validation!$A:$D,4,0)</f>
        <v>Améliorations Locatives</v>
      </c>
      <c r="W122" s="612" t="str">
        <f>+VLOOKUP($L122,Data_Validation!$A:$E,5,0)</f>
        <v>$</v>
      </c>
      <c r="X122" s="612">
        <f>+VLOOKUP($L122,Data_Validation!$A:$F,6,0)</f>
        <v>0</v>
      </c>
    </row>
    <row r="123" spans="1:24" ht="15.75" customHeight="1">
      <c r="A123" s="1188" t="s">
        <v>3832</v>
      </c>
      <c r="B123" s="1188" t="s">
        <v>3833</v>
      </c>
      <c r="C123" s="1190">
        <v>-4361.1400000000003</v>
      </c>
      <c r="D123" s="1190">
        <v>0</v>
      </c>
      <c r="E123" s="1190">
        <v>-4361.1400000000003</v>
      </c>
      <c r="F123" s="1188" t="s">
        <v>761</v>
      </c>
      <c r="G123" s="1188" t="s">
        <v>830</v>
      </c>
      <c r="H123" s="1188" t="s">
        <v>3845</v>
      </c>
      <c r="I123" s="607"/>
      <c r="J123" s="607"/>
      <c r="K123" s="607"/>
      <c r="L123" s="609" t="str">
        <f t="shared" si="11"/>
        <v>1735</v>
      </c>
      <c r="M123" s="610" t="str">
        <f t="shared" si="0"/>
        <v>AMORT. CUM. AMEL. LOCAT. CPO</v>
      </c>
      <c r="N123" s="611">
        <f>+IF(OR($Q123=Parametres!$G$2,$Q123=Parametres!$G$3),I123,C123)</f>
        <v>-4361.1400000000003</v>
      </c>
      <c r="O123" s="615">
        <f>+IF(OR($Q123=Parametres!$G$2,$Q123=Parametres!$G$3),J123,D123)</f>
        <v>0</v>
      </c>
      <c r="P123" s="611">
        <f>+IF(OR($Q123=Parametres!$G$2,$Q123=Parametres!$G$3),K123,E123)</f>
        <v>-4361.1400000000003</v>
      </c>
      <c r="Q123" s="610" t="str">
        <f t="shared" si="12"/>
        <v>2-Actifs</v>
      </c>
      <c r="R123" s="609" t="str">
        <f t="shared" si="13"/>
        <v>1700</v>
      </c>
      <c r="S123" s="610" t="str">
        <f t="shared" si="14"/>
        <v>_</v>
      </c>
      <c r="T123" s="612" t="str">
        <f>+VLOOKUP($L123,Data_Validation!$A:$D,1,0)</f>
        <v>1735</v>
      </c>
      <c r="U123" s="612" t="str">
        <f>+VLOOKUP($L123,Data_Validation!$A:$D,3,0)</f>
        <v>Bilan</v>
      </c>
      <c r="V123" s="612" t="str">
        <f>+VLOOKUP($L123,Data_Validation!$A:$D,4,0)</f>
        <v>Améliorations Locatives</v>
      </c>
      <c r="W123" s="612" t="str">
        <f>+VLOOKUP($L123,Data_Validation!$A:$E,5,0)</f>
        <v>$</v>
      </c>
      <c r="X123" s="612">
        <f>+VLOOKUP($L123,Data_Validation!$A:$F,6,0)</f>
        <v>0</v>
      </c>
    </row>
    <row r="124" spans="1:24" ht="15" customHeight="1">
      <c r="A124" s="1188" t="s">
        <v>832</v>
      </c>
      <c r="B124" s="1188" t="s">
        <v>1536</v>
      </c>
      <c r="C124" s="1190">
        <v>1301260.98</v>
      </c>
      <c r="D124" s="1190">
        <v>0</v>
      </c>
      <c r="E124" s="1190">
        <v>1301260.98</v>
      </c>
      <c r="F124" s="1188" t="s">
        <v>761</v>
      </c>
      <c r="G124" s="1188" t="s">
        <v>830</v>
      </c>
      <c r="H124" s="1188" t="s">
        <v>3845</v>
      </c>
      <c r="I124" s="608"/>
      <c r="J124" s="608"/>
      <c r="K124" s="608"/>
      <c r="L124" s="609" t="str">
        <f t="shared" si="11"/>
        <v>1742</v>
      </c>
      <c r="M124" s="610" t="str">
        <f t="shared" si="0"/>
        <v>MACHINERIE &amp; EQUIPEMENT</v>
      </c>
      <c r="N124" s="611">
        <f>+IF(OR($Q124=Parametres!$G$2,$Q124=Parametres!$G$3),I124,C124)</f>
        <v>1301260.98</v>
      </c>
      <c r="O124" s="611">
        <f>+IF(OR($Q124=Parametres!$G$2,$Q124=Parametres!$G$3),J124,D124)</f>
        <v>0</v>
      </c>
      <c r="P124" s="611">
        <f>+IF(OR($Q124=Parametres!$G$2,$Q124=Parametres!$G$3),K124,E124)</f>
        <v>1301260.98</v>
      </c>
      <c r="Q124" s="610" t="str">
        <f t="shared" si="12"/>
        <v>2-Actifs</v>
      </c>
      <c r="R124" s="609" t="str">
        <f t="shared" si="13"/>
        <v>1700</v>
      </c>
      <c r="S124" s="610" t="str">
        <f t="shared" si="14"/>
        <v>_</v>
      </c>
      <c r="T124" s="612" t="str">
        <f>+VLOOKUP($L124,Data_Validation!$A:$D,1,0)</f>
        <v>1742</v>
      </c>
      <c r="U124" s="612" t="str">
        <f>+VLOOKUP($L124,Data_Validation!$A:$D,3,0)</f>
        <v>Bilan</v>
      </c>
      <c r="V124" s="612" t="str">
        <f>+VLOOKUP($L124,Data_Validation!$A:$D,4,0)</f>
        <v>Équipements Service</v>
      </c>
      <c r="W124" s="612" t="str">
        <f>+VLOOKUP($L124,Data_Validation!$A:$E,5,0)</f>
        <v>$</v>
      </c>
      <c r="X124" s="612">
        <f>+VLOOKUP($L124,Data_Validation!$A:$F,6,0)</f>
        <v>0</v>
      </c>
    </row>
    <row r="125" spans="1:24" ht="15" customHeight="1">
      <c r="A125" s="1188" t="s">
        <v>833</v>
      </c>
      <c r="B125" s="1188" t="s">
        <v>1539</v>
      </c>
      <c r="C125" s="1190">
        <v>-1023246.59</v>
      </c>
      <c r="D125" s="1190">
        <v>-9517</v>
      </c>
      <c r="E125" s="1190">
        <v>-1032763.59</v>
      </c>
      <c r="F125" s="1188" t="s">
        <v>761</v>
      </c>
      <c r="G125" s="1188" t="s">
        <v>830</v>
      </c>
      <c r="H125" s="1188" t="s">
        <v>3845</v>
      </c>
      <c r="I125" s="607"/>
      <c r="J125" s="607"/>
      <c r="K125" s="607"/>
      <c r="L125" s="609" t="str">
        <f t="shared" si="11"/>
        <v>1743</v>
      </c>
      <c r="M125" s="610" t="str">
        <f t="shared" si="0"/>
        <v>AMORTISS.MACHINERIE &amp; EQUIP.</v>
      </c>
      <c r="N125" s="611">
        <f>+IF(OR($Q125=Parametres!$G$2,$Q125=Parametres!$G$3),I125,C125)</f>
        <v>-1023246.59</v>
      </c>
      <c r="O125" s="611">
        <f>+IF(OR($Q125=Parametres!$G$2,$Q125=Parametres!$G$3),J125,D125)</f>
        <v>-9517</v>
      </c>
      <c r="P125" s="611">
        <f>+IF(OR($Q125=Parametres!$G$2,$Q125=Parametres!$G$3),K125,E125)</f>
        <v>-1032763.59</v>
      </c>
      <c r="Q125" s="610" t="str">
        <f t="shared" si="12"/>
        <v>2-Actifs</v>
      </c>
      <c r="R125" s="609" t="str">
        <f t="shared" si="13"/>
        <v>1700</v>
      </c>
      <c r="S125" s="610" t="str">
        <f t="shared" si="14"/>
        <v>_</v>
      </c>
      <c r="T125" s="612" t="str">
        <f>+VLOOKUP($L125,Data_Validation!$A:$D,1,0)</f>
        <v>1743</v>
      </c>
      <c r="U125" s="612" t="str">
        <f>+VLOOKUP($L125,Data_Validation!$A:$D,3,0)</f>
        <v>Bilan</v>
      </c>
      <c r="V125" s="612" t="str">
        <f>+VLOOKUP($L125,Data_Validation!$A:$D,4,0)</f>
        <v>Équipements Service</v>
      </c>
      <c r="W125" s="612" t="str">
        <f>+VLOOKUP($L125,Data_Validation!$A:$E,5,0)</f>
        <v>$</v>
      </c>
      <c r="X125" s="612">
        <f>+VLOOKUP($L125,Data_Validation!$A:$F,6,0)</f>
        <v>0</v>
      </c>
    </row>
    <row r="126" spans="1:24" ht="15" customHeight="1">
      <c r="A126" s="1188" t="s">
        <v>834</v>
      </c>
      <c r="B126" s="1188" t="s">
        <v>1542</v>
      </c>
      <c r="C126" s="1190">
        <v>47461.59</v>
      </c>
      <c r="D126" s="1190">
        <v>0</v>
      </c>
      <c r="E126" s="1190">
        <v>47461.59</v>
      </c>
      <c r="F126" s="1188" t="s">
        <v>761</v>
      </c>
      <c r="G126" s="1188" t="s">
        <v>830</v>
      </c>
      <c r="H126" s="1188" t="s">
        <v>3845</v>
      </c>
      <c r="I126" s="608"/>
      <c r="J126" s="608"/>
      <c r="K126" s="608"/>
      <c r="L126" s="609" t="str">
        <f t="shared" si="11"/>
        <v>1744</v>
      </c>
      <c r="M126" s="610" t="str">
        <f t="shared" si="0"/>
        <v>EQUIPEMENT PIECES</v>
      </c>
      <c r="N126" s="611">
        <f>+IF(OR($Q126=Parametres!$G$2,$Q126=Parametres!$G$3),I126,C126)</f>
        <v>47461.59</v>
      </c>
      <c r="O126" s="611">
        <f>+IF(OR($Q126=Parametres!$G$2,$Q126=Parametres!$G$3),J126,D126)</f>
        <v>0</v>
      </c>
      <c r="P126" s="611">
        <f>+IF(OR($Q126=Parametres!$G$2,$Q126=Parametres!$G$3),K126,E126)</f>
        <v>47461.59</v>
      </c>
      <c r="Q126" s="610" t="str">
        <f t="shared" si="12"/>
        <v>2-Actifs</v>
      </c>
      <c r="R126" s="609" t="str">
        <f t="shared" si="13"/>
        <v>1700</v>
      </c>
      <c r="S126" s="610" t="str">
        <f t="shared" si="14"/>
        <v>_</v>
      </c>
      <c r="T126" s="612" t="str">
        <f>+VLOOKUP($L126,Data_Validation!$A:$D,1,0)</f>
        <v>1744</v>
      </c>
      <c r="U126" s="612" t="str">
        <f>+VLOOKUP($L126,Data_Validation!$A:$D,3,0)</f>
        <v>Bilan</v>
      </c>
      <c r="V126" s="612" t="str">
        <f>+VLOOKUP($L126,Data_Validation!$A:$D,4,0)</f>
        <v>Équipements Service</v>
      </c>
      <c r="W126" s="612" t="str">
        <f>+VLOOKUP($L126,Data_Validation!$A:$E,5,0)</f>
        <v>$</v>
      </c>
      <c r="X126" s="612">
        <f>+VLOOKUP($L126,Data_Validation!$A:$F,6,0)</f>
        <v>0</v>
      </c>
    </row>
    <row r="127" spans="1:24" ht="15" customHeight="1">
      <c r="A127" s="1188" t="s">
        <v>835</v>
      </c>
      <c r="B127" s="1188" t="s">
        <v>1545</v>
      </c>
      <c r="C127" s="1190">
        <v>-47461.59</v>
      </c>
      <c r="D127" s="1190">
        <v>0</v>
      </c>
      <c r="E127" s="1190">
        <v>-47461.59</v>
      </c>
      <c r="F127" s="1188" t="s">
        <v>761</v>
      </c>
      <c r="G127" s="1188" t="s">
        <v>830</v>
      </c>
      <c r="H127" s="1188" t="s">
        <v>3845</v>
      </c>
      <c r="I127" s="619"/>
      <c r="J127" s="619"/>
      <c r="K127" s="619"/>
      <c r="L127" s="609" t="str">
        <f t="shared" si="11"/>
        <v>1745</v>
      </c>
      <c r="M127" s="610" t="str">
        <f t="shared" si="0"/>
        <v>AMORTISS.EQUIPEMENTS PIECES</v>
      </c>
      <c r="N127" s="611">
        <f>+IF(OR($Q127=Parametres!$G$2,$Q127=Parametres!$G$3),I127,C127)</f>
        <v>-47461.59</v>
      </c>
      <c r="O127" s="611">
        <f>+IF(OR($Q127=Parametres!$G$2,$Q127=Parametres!$G$3),J127,D127)</f>
        <v>0</v>
      </c>
      <c r="P127" s="611">
        <f>+IF(OR($Q127=Parametres!$G$2,$Q127=Parametres!$G$3),K127,E127)</f>
        <v>-47461.59</v>
      </c>
      <c r="Q127" s="610" t="str">
        <f t="shared" si="12"/>
        <v>2-Actifs</v>
      </c>
      <c r="R127" s="609" t="str">
        <f t="shared" si="13"/>
        <v>1700</v>
      </c>
      <c r="S127" s="610" t="str">
        <f t="shared" si="14"/>
        <v>_</v>
      </c>
      <c r="T127" s="612" t="str">
        <f>+VLOOKUP($L127,Data_Validation!$A:$D,1,0)</f>
        <v>1745</v>
      </c>
      <c r="U127" s="612" t="str">
        <f>+VLOOKUP($L127,Data_Validation!$A:$D,3,0)</f>
        <v>Bilan</v>
      </c>
      <c r="V127" s="612" t="str">
        <f>+VLOOKUP($L127,Data_Validation!$A:$D,4,0)</f>
        <v>Équipements Service</v>
      </c>
      <c r="W127" s="612" t="str">
        <f>+VLOOKUP($L127,Data_Validation!$A:$E,5,0)</f>
        <v>$</v>
      </c>
      <c r="X127" s="612">
        <f>+VLOOKUP($L127,Data_Validation!$A:$F,6,0)</f>
        <v>0</v>
      </c>
    </row>
    <row r="128" spans="1:24" ht="15" customHeight="1">
      <c r="A128" s="1188" t="s">
        <v>836</v>
      </c>
      <c r="B128" s="1188" t="s">
        <v>1554</v>
      </c>
      <c r="C128" s="1190">
        <v>456874.49</v>
      </c>
      <c r="D128" s="1190">
        <v>165</v>
      </c>
      <c r="E128" s="1190">
        <v>457039.49</v>
      </c>
      <c r="F128" s="1188" t="s">
        <v>761</v>
      </c>
      <c r="G128" s="1188" t="s">
        <v>830</v>
      </c>
      <c r="H128" s="1188" t="s">
        <v>3845</v>
      </c>
      <c r="I128" s="608"/>
      <c r="J128" s="608"/>
      <c r="K128" s="608"/>
      <c r="L128" s="609" t="str">
        <f t="shared" si="11"/>
        <v>1762</v>
      </c>
      <c r="M128" s="610" t="str">
        <f t="shared" si="0"/>
        <v>AMEUBLEMENT &amp; INSTR.</v>
      </c>
      <c r="N128" s="611">
        <f>+IF(OR($Q128=Parametres!$G$2,$Q128=Parametres!$G$3),I128,C128)</f>
        <v>456874.49</v>
      </c>
      <c r="O128" s="611">
        <f>+IF(OR($Q128=Parametres!$G$2,$Q128=Parametres!$G$3),J128,D128)</f>
        <v>165</v>
      </c>
      <c r="P128" s="611">
        <f>+IF(OR($Q128=Parametres!$G$2,$Q128=Parametres!$G$3),K128,E128)</f>
        <v>457039.49</v>
      </c>
      <c r="Q128" s="610" t="str">
        <f t="shared" si="12"/>
        <v>2-Actifs</v>
      </c>
      <c r="R128" s="609" t="str">
        <f t="shared" si="13"/>
        <v>1700</v>
      </c>
      <c r="S128" s="610" t="str">
        <f t="shared" si="14"/>
        <v>_</v>
      </c>
      <c r="T128" s="612" t="str">
        <f>+VLOOKUP($L128,Data_Validation!$A:$D,1,0)</f>
        <v>1762</v>
      </c>
      <c r="U128" s="612" t="str">
        <f>+VLOOKUP($L128,Data_Validation!$A:$D,3,0)</f>
        <v>Bilan</v>
      </c>
      <c r="V128" s="612" t="str">
        <f>+VLOOKUP($L128,Data_Validation!$A:$D,4,0)</f>
        <v>Mobilier</v>
      </c>
      <c r="W128" s="612" t="str">
        <f>+VLOOKUP($L128,Data_Validation!$A:$E,5,0)</f>
        <v>$</v>
      </c>
      <c r="X128" s="612">
        <f>+VLOOKUP($L128,Data_Validation!$A:$F,6,0)</f>
        <v>0</v>
      </c>
    </row>
    <row r="129" spans="1:24" ht="15" customHeight="1">
      <c r="A129" s="1188" t="s">
        <v>837</v>
      </c>
      <c r="B129" s="1188" t="s">
        <v>1557</v>
      </c>
      <c r="C129" s="1190">
        <v>-428060.27</v>
      </c>
      <c r="D129" s="1190">
        <v>0</v>
      </c>
      <c r="E129" s="1190">
        <v>-428060.27</v>
      </c>
      <c r="F129" s="1188" t="s">
        <v>761</v>
      </c>
      <c r="G129" s="1188" t="s">
        <v>830</v>
      </c>
      <c r="H129" s="1188" t="s">
        <v>3845</v>
      </c>
      <c r="I129" s="619"/>
      <c r="J129" s="619"/>
      <c r="K129" s="619"/>
      <c r="L129" s="609" t="str">
        <f t="shared" si="11"/>
        <v>1763</v>
      </c>
      <c r="M129" s="610" t="str">
        <f t="shared" si="0"/>
        <v>AMORTISS.AMEUBL.INSTR.</v>
      </c>
      <c r="N129" s="611">
        <f>+IF(OR($Q129=Parametres!$G$2,$Q129=Parametres!$G$3),I129,C129)</f>
        <v>-428060.27</v>
      </c>
      <c r="O129" s="611">
        <f>+IF(OR($Q129=Parametres!$G$2,$Q129=Parametres!$G$3),J129,D129)</f>
        <v>0</v>
      </c>
      <c r="P129" s="611">
        <f>+IF(OR($Q129=Parametres!$G$2,$Q129=Parametres!$G$3),K129,E129)</f>
        <v>-428060.27</v>
      </c>
      <c r="Q129" s="610" t="str">
        <f t="shared" si="12"/>
        <v>2-Actifs</v>
      </c>
      <c r="R129" s="609" t="str">
        <f t="shared" si="13"/>
        <v>1700</v>
      </c>
      <c r="S129" s="610" t="str">
        <f t="shared" si="14"/>
        <v>_</v>
      </c>
      <c r="T129" s="612" t="str">
        <f>+VLOOKUP($L129,Data_Validation!$A:$D,1,0)</f>
        <v>1763</v>
      </c>
      <c r="U129" s="612" t="str">
        <f>+VLOOKUP($L129,Data_Validation!$A:$D,3,0)</f>
        <v>Bilan</v>
      </c>
      <c r="V129" s="612" t="str">
        <f>+VLOOKUP($L129,Data_Validation!$A:$D,4,0)</f>
        <v>Mobilier</v>
      </c>
      <c r="W129" s="612" t="str">
        <f>+VLOOKUP($L129,Data_Validation!$A:$E,5,0)</f>
        <v>$</v>
      </c>
      <c r="X129" s="612">
        <f>+VLOOKUP($L129,Data_Validation!$A:$F,6,0)</f>
        <v>0</v>
      </c>
    </row>
    <row r="130" spans="1:24" ht="15" customHeight="1">
      <c r="A130" s="1188" t="s">
        <v>838</v>
      </c>
      <c r="B130" s="1188" t="s">
        <v>1560</v>
      </c>
      <c r="C130" s="1190">
        <v>3987.88</v>
      </c>
      <c r="D130" s="1190">
        <v>0</v>
      </c>
      <c r="E130" s="1190">
        <v>3987.88</v>
      </c>
      <c r="F130" s="1188" t="s">
        <v>761</v>
      </c>
      <c r="G130" s="1188" t="s">
        <v>830</v>
      </c>
      <c r="H130" s="1188" t="s">
        <v>3845</v>
      </c>
      <c r="I130" s="607"/>
      <c r="J130" s="607"/>
      <c r="K130" s="607"/>
      <c r="L130" s="609" t="str">
        <f t="shared" si="11"/>
        <v>1772</v>
      </c>
      <c r="M130" s="610" t="str">
        <f t="shared" si="0"/>
        <v>VEHICULES DE CIE</v>
      </c>
      <c r="N130" s="611">
        <f>+IF(OR($Q130=Parametres!$G$2,$Q130=Parametres!$G$3),I130,C130)</f>
        <v>3987.88</v>
      </c>
      <c r="O130" s="611">
        <f>+IF(OR($Q130=Parametres!$G$2,$Q130=Parametres!$G$3),J130,D130)</f>
        <v>0</v>
      </c>
      <c r="P130" s="611">
        <f>+IF(OR($Q130=Parametres!$G$2,$Q130=Parametres!$G$3),K130,E130)</f>
        <v>3987.88</v>
      </c>
      <c r="Q130" s="610" t="str">
        <f t="shared" ref="Q130:Q135" si="15">+F130</f>
        <v>2-Actifs</v>
      </c>
      <c r="R130" s="609" t="str">
        <f t="shared" ref="R130:R135" si="16">+G130</f>
        <v>1700</v>
      </c>
      <c r="S130" s="610" t="str">
        <f t="shared" ref="S130:S135" si="17">+H130</f>
        <v>_</v>
      </c>
      <c r="T130" s="612" t="str">
        <f>+VLOOKUP($L130,Data_Validation!$A:$D,1,0)</f>
        <v>1772</v>
      </c>
      <c r="U130" s="612" t="str">
        <f>+VLOOKUP($L130,Data_Validation!$A:$D,3,0)</f>
        <v>Bilan</v>
      </c>
      <c r="V130" s="612" t="str">
        <f>+VLOOKUP($L130,Data_Validation!$A:$D,4,0)</f>
        <v>Équipements Service</v>
      </c>
      <c r="W130" s="612" t="str">
        <f>+VLOOKUP($L130,Data_Validation!$A:$E,5,0)</f>
        <v>$</v>
      </c>
      <c r="X130" s="612">
        <f>+VLOOKUP($L130,Data_Validation!$A:$F,6,0)</f>
        <v>0</v>
      </c>
    </row>
    <row r="131" spans="1:24" ht="15.75" customHeight="1">
      <c r="A131" s="1188" t="s">
        <v>839</v>
      </c>
      <c r="B131" s="1188" t="s">
        <v>1563</v>
      </c>
      <c r="C131" s="1190">
        <v>-3987.88</v>
      </c>
      <c r="D131" s="1190">
        <v>0</v>
      </c>
      <c r="E131" s="1190">
        <v>-3987.88</v>
      </c>
      <c r="F131" s="1188" t="s">
        <v>761</v>
      </c>
      <c r="G131" s="1188" t="s">
        <v>830</v>
      </c>
      <c r="H131" s="1188" t="s">
        <v>3845</v>
      </c>
      <c r="I131" s="607"/>
      <c r="J131" s="607"/>
      <c r="K131" s="607"/>
      <c r="L131" s="609" t="str">
        <f t="shared" ref="L131:L179" si="18">TEXT(B131,0)</f>
        <v>1773</v>
      </c>
      <c r="M131" s="610" t="str">
        <f t="shared" si="0"/>
        <v>DEPRECIATION &amp; AMORT.</v>
      </c>
      <c r="N131" s="611">
        <f>+IF(OR($Q131=Parametres!$G$2,$Q131=Parametres!$G$3),I131,C131)</f>
        <v>-3987.88</v>
      </c>
      <c r="O131" s="615">
        <f>+IF(OR($Q131=Parametres!$G$2,$Q131=Parametres!$G$3),J131,D131)</f>
        <v>0</v>
      </c>
      <c r="P131" s="611">
        <f>+IF(OR($Q131=Parametres!$G$2,$Q131=Parametres!$G$3),K131,E131)</f>
        <v>-3987.88</v>
      </c>
      <c r="Q131" s="610" t="str">
        <f t="shared" si="15"/>
        <v>2-Actifs</v>
      </c>
      <c r="R131" s="609" t="str">
        <f t="shared" si="16"/>
        <v>1700</v>
      </c>
      <c r="S131" s="610" t="str">
        <f t="shared" si="17"/>
        <v>_</v>
      </c>
      <c r="T131" s="612" t="str">
        <f>+VLOOKUP($L131,Data_Validation!$A:$D,1,0)</f>
        <v>1773</v>
      </c>
      <c r="U131" s="612" t="str">
        <f>+VLOOKUP($L131,Data_Validation!$A:$D,3,0)</f>
        <v>Bilan</v>
      </c>
      <c r="V131" s="612" t="str">
        <f>+VLOOKUP($L131,Data_Validation!$A:$D,4,0)</f>
        <v>Équipements Service</v>
      </c>
      <c r="W131" s="612" t="str">
        <f>+VLOOKUP($L131,Data_Validation!$A:$E,5,0)</f>
        <v>$</v>
      </c>
      <c r="X131" s="612">
        <f>+VLOOKUP($L131,Data_Validation!$A:$F,6,0)</f>
        <v>0</v>
      </c>
    </row>
    <row r="132" spans="1:24" ht="15" customHeight="1">
      <c r="A132" s="1188" t="s">
        <v>840</v>
      </c>
      <c r="B132" s="1188" t="s">
        <v>1566</v>
      </c>
      <c r="C132" s="1190">
        <v>189957.05</v>
      </c>
      <c r="D132" s="1190">
        <v>5172.95</v>
      </c>
      <c r="E132" s="1190">
        <v>195130</v>
      </c>
      <c r="F132" s="1188" t="s">
        <v>761</v>
      </c>
      <c r="G132" s="1188" t="s">
        <v>830</v>
      </c>
      <c r="H132" s="1188" t="s">
        <v>3845</v>
      </c>
      <c r="I132" s="607"/>
      <c r="J132" s="607"/>
      <c r="K132" s="607"/>
      <c r="L132" s="609" t="str">
        <f t="shared" si="18"/>
        <v>1786</v>
      </c>
      <c r="M132" s="610" t="str">
        <f t="shared" si="0"/>
        <v>EQUIPEMENT INFORMATIQUE</v>
      </c>
      <c r="N132" s="611">
        <f>+IF(OR($Q132=Parametres!$G$2,$Q132=Parametres!$G$3),I132,C132)</f>
        <v>189957.05</v>
      </c>
      <c r="O132" s="611">
        <f>+IF(OR($Q132=Parametres!$G$2,$Q132=Parametres!$G$3),J132,D132)</f>
        <v>5172.95</v>
      </c>
      <c r="P132" s="611">
        <f>+IF(OR($Q132=Parametres!$G$2,$Q132=Parametres!$G$3),K132,E132)</f>
        <v>195130</v>
      </c>
      <c r="Q132" s="610" t="str">
        <f t="shared" si="15"/>
        <v>2-Actifs</v>
      </c>
      <c r="R132" s="609" t="str">
        <f t="shared" si="16"/>
        <v>1700</v>
      </c>
      <c r="S132" s="610" t="str">
        <f t="shared" si="17"/>
        <v>_</v>
      </c>
      <c r="T132" s="612" t="str">
        <f>+VLOOKUP($L132,Data_Validation!$A:$D,1,0)</f>
        <v>1786</v>
      </c>
      <c r="U132" s="612" t="str">
        <f>+VLOOKUP($L132,Data_Validation!$A:$D,3,0)</f>
        <v>Bilan</v>
      </c>
      <c r="V132" s="612" t="str">
        <f>+VLOOKUP($L132,Data_Validation!$A:$D,4,0)</f>
        <v>Équipements Informatique</v>
      </c>
      <c r="W132" s="612" t="str">
        <f>+VLOOKUP($L132,Data_Validation!$A:$E,5,0)</f>
        <v>$</v>
      </c>
      <c r="X132" s="612">
        <f>+VLOOKUP($L132,Data_Validation!$A:$F,6,0)</f>
        <v>0</v>
      </c>
    </row>
    <row r="133" spans="1:24" ht="15" customHeight="1">
      <c r="A133" s="1188" t="s">
        <v>841</v>
      </c>
      <c r="B133" s="1188" t="s">
        <v>1569</v>
      </c>
      <c r="C133" s="1190">
        <v>-166618.79</v>
      </c>
      <c r="D133" s="1190">
        <v>0</v>
      </c>
      <c r="E133" s="1190">
        <v>-166618.79</v>
      </c>
      <c r="F133" s="1188" t="s">
        <v>761</v>
      </c>
      <c r="G133" s="1188" t="s">
        <v>830</v>
      </c>
      <c r="H133" s="1188" t="s">
        <v>3845</v>
      </c>
      <c r="I133" s="608"/>
      <c r="J133" s="608"/>
      <c r="K133" s="608"/>
      <c r="L133" s="609" t="str">
        <f t="shared" si="18"/>
        <v>1787</v>
      </c>
      <c r="M133" s="610" t="str">
        <f t="shared" si="0"/>
        <v>AMORTISS.EQUIP.INFORMATIQUES</v>
      </c>
      <c r="N133" s="611">
        <f>+IF(OR($Q133=Parametres!$G$2,$Q133=Parametres!$G$3),I133,C133)</f>
        <v>-166618.79</v>
      </c>
      <c r="O133" s="611">
        <f>+IF(OR($Q133=Parametres!$G$2,$Q133=Parametres!$G$3),J133,D133)</f>
        <v>0</v>
      </c>
      <c r="P133" s="611">
        <f>+IF(OR($Q133=Parametres!$G$2,$Q133=Parametres!$G$3),K133,E133)</f>
        <v>-166618.79</v>
      </c>
      <c r="Q133" s="610" t="str">
        <f t="shared" si="15"/>
        <v>2-Actifs</v>
      </c>
      <c r="R133" s="609" t="str">
        <f t="shared" si="16"/>
        <v>1700</v>
      </c>
      <c r="S133" s="610" t="str">
        <f t="shared" si="17"/>
        <v>_</v>
      </c>
      <c r="T133" s="612" t="str">
        <f>+VLOOKUP($L133,Data_Validation!$A:$D,1,0)</f>
        <v>1787</v>
      </c>
      <c r="U133" s="612" t="str">
        <f>+VLOOKUP($L133,Data_Validation!$A:$D,3,0)</f>
        <v>Bilan</v>
      </c>
      <c r="V133" s="612" t="str">
        <f>+VLOOKUP($L133,Data_Validation!$A:$D,4,0)</f>
        <v>Équipements Informatique</v>
      </c>
      <c r="W133" s="612" t="str">
        <f>+VLOOKUP($L133,Data_Validation!$A:$E,5,0)</f>
        <v>$</v>
      </c>
      <c r="X133" s="612">
        <f>+VLOOKUP($L133,Data_Validation!$A:$F,6,0)</f>
        <v>0</v>
      </c>
    </row>
    <row r="134" spans="1:24" ht="15" customHeight="1">
      <c r="A134" s="1188" t="s">
        <v>842</v>
      </c>
      <c r="B134" s="1188" t="s">
        <v>1572</v>
      </c>
      <c r="C134" s="1190">
        <v>137120.13</v>
      </c>
      <c r="D134" s="1190">
        <v>0</v>
      </c>
      <c r="E134" s="1190">
        <v>137120.13</v>
      </c>
      <c r="F134" s="1188" t="s">
        <v>761</v>
      </c>
      <c r="G134" s="1188" t="s">
        <v>830</v>
      </c>
      <c r="H134" s="1188" t="s">
        <v>3845</v>
      </c>
      <c r="I134" s="608"/>
      <c r="J134" s="608"/>
      <c r="K134" s="608"/>
      <c r="L134" s="609" t="str">
        <f t="shared" si="18"/>
        <v>1792</v>
      </c>
      <c r="M134" s="610" t="str">
        <f t="shared" si="0"/>
        <v>ENSEIGNES</v>
      </c>
      <c r="N134" s="611">
        <f>+IF(OR($Q134=Parametres!$G$2,$Q134=Parametres!$G$3),I134,C134)</f>
        <v>137120.13</v>
      </c>
      <c r="O134" s="611">
        <f>+IF(OR($Q134=Parametres!$G$2,$Q134=Parametres!$G$3),J134,D134)</f>
        <v>0</v>
      </c>
      <c r="P134" s="611">
        <f>+IF(OR($Q134=Parametres!$G$2,$Q134=Parametres!$G$3),K134,E134)</f>
        <v>137120.13</v>
      </c>
      <c r="Q134" s="610" t="str">
        <f t="shared" si="15"/>
        <v>2-Actifs</v>
      </c>
      <c r="R134" s="609" t="str">
        <f t="shared" si="16"/>
        <v>1700</v>
      </c>
      <c r="S134" s="610" t="str">
        <f t="shared" si="17"/>
        <v>_</v>
      </c>
      <c r="T134" s="612" t="str">
        <f>+VLOOKUP($L134,Data_Validation!$A:$D,1,0)</f>
        <v>1792</v>
      </c>
      <c r="U134" s="612" t="str">
        <f>+VLOOKUP($L134,Data_Validation!$A:$D,3,0)</f>
        <v>Bilan</v>
      </c>
      <c r="V134" s="612" t="str">
        <f>+VLOOKUP($L134,Data_Validation!$A:$D,4,0)</f>
        <v>Enseigne</v>
      </c>
      <c r="W134" s="612" t="str">
        <f>+VLOOKUP($L134,Data_Validation!$A:$E,5,0)</f>
        <v>$</v>
      </c>
      <c r="X134" s="612">
        <f>+VLOOKUP($L134,Data_Validation!$A:$F,6,0)</f>
        <v>0</v>
      </c>
    </row>
    <row r="135" spans="1:24" ht="15.75" customHeight="1">
      <c r="A135" s="1188" t="s">
        <v>843</v>
      </c>
      <c r="B135" s="1188" t="s">
        <v>1575</v>
      </c>
      <c r="C135" s="1190">
        <v>-119700.42</v>
      </c>
      <c r="D135" s="1190">
        <v>0</v>
      </c>
      <c r="E135" s="1190">
        <v>-119700.42</v>
      </c>
      <c r="F135" s="1188" t="s">
        <v>761</v>
      </c>
      <c r="G135" s="1188" t="s">
        <v>830</v>
      </c>
      <c r="H135" s="1188" t="s">
        <v>3845</v>
      </c>
      <c r="I135" s="608"/>
      <c r="J135" s="608"/>
      <c r="K135" s="608"/>
      <c r="L135" s="609" t="str">
        <f t="shared" si="18"/>
        <v>1793</v>
      </c>
      <c r="M135" s="610" t="str">
        <f t="shared" si="0"/>
        <v>AMORT. CUM. ENSEIGNES</v>
      </c>
      <c r="N135" s="611">
        <f>+IF(OR($Q135=Parametres!$G$2,$Q135=Parametres!$G$3),I135,C135)</f>
        <v>-119700.42</v>
      </c>
      <c r="O135" s="611">
        <f>+IF(OR($Q135=Parametres!$G$2,$Q135=Parametres!$G$3),J135,D135)</f>
        <v>0</v>
      </c>
      <c r="P135" s="611">
        <f>+IF(OR($Q135=Parametres!$G$2,$Q135=Parametres!$G$3),K135,E135)</f>
        <v>-119700.42</v>
      </c>
      <c r="Q135" s="610" t="str">
        <f t="shared" si="15"/>
        <v>2-Actifs</v>
      </c>
      <c r="R135" s="609" t="str">
        <f t="shared" si="16"/>
        <v>1700</v>
      </c>
      <c r="S135" s="610" t="str">
        <f t="shared" si="17"/>
        <v>_</v>
      </c>
      <c r="T135" s="612" t="str">
        <f>+VLOOKUP($L135,Data_Validation!$A:$D,1,0)</f>
        <v>1793</v>
      </c>
      <c r="U135" s="612" t="str">
        <f>+VLOOKUP($L135,Data_Validation!$A:$D,3,0)</f>
        <v>Bilan</v>
      </c>
      <c r="V135" s="612" t="str">
        <f>+VLOOKUP($L135,Data_Validation!$A:$D,4,0)</f>
        <v>Avances à Recevoir Long Terme</v>
      </c>
      <c r="W135" s="612" t="str">
        <f>+VLOOKUP($L135,Data_Validation!$A:$E,5,0)</f>
        <v>$</v>
      </c>
      <c r="X135" s="612">
        <f>+VLOOKUP($L135,Data_Validation!$A:$F,6,0)</f>
        <v>0</v>
      </c>
    </row>
    <row r="136" spans="1:24" ht="15" customHeight="1">
      <c r="A136" s="1188" t="s">
        <v>3869</v>
      </c>
      <c r="B136" s="1188" t="s">
        <v>3870</v>
      </c>
      <c r="C136" s="1190">
        <v>250000</v>
      </c>
      <c r="D136" s="1190">
        <v>0</v>
      </c>
      <c r="E136" s="1190">
        <v>250000</v>
      </c>
      <c r="F136" s="1188" t="s">
        <v>761</v>
      </c>
      <c r="G136" s="1188" t="s">
        <v>3871</v>
      </c>
      <c r="H136" s="1188" t="s">
        <v>3845</v>
      </c>
      <c r="I136" s="608"/>
      <c r="J136" s="608"/>
      <c r="K136" s="608"/>
      <c r="L136" s="609" t="str">
        <f t="shared" ref="L136:L151" si="19">TEXT(B136,0)</f>
        <v>1801</v>
      </c>
      <c r="M136" s="610" t="str">
        <f t="shared" ref="M136:M151" si="20">+A136</f>
        <v>AVANCES 9509</v>
      </c>
      <c r="N136" s="611">
        <f>+IF(OR($Q136=Parametres!$G$2,$Q136=Parametres!$G$3),I136,C136)</f>
        <v>250000</v>
      </c>
      <c r="O136" s="611">
        <f>+IF(OR($Q136=Parametres!$G$2,$Q136=Parametres!$G$3),J136,D136)</f>
        <v>0</v>
      </c>
      <c r="P136" s="611">
        <f>+IF(OR($Q136=Parametres!$G$2,$Q136=Parametres!$G$3),K136,E136)</f>
        <v>250000</v>
      </c>
      <c r="Q136" s="610" t="str">
        <f t="shared" ref="Q136:Q151" si="21">+F136</f>
        <v>2-Actifs</v>
      </c>
      <c r="R136" s="609" t="str">
        <f t="shared" ref="R136:R151" si="22">+G136</f>
        <v>180</v>
      </c>
      <c r="S136" s="610" t="str">
        <f t="shared" ref="S136:S151" si="23">+H136</f>
        <v>_</v>
      </c>
      <c r="T136" s="612" t="str">
        <f>+VLOOKUP($L136,Data_Validation!$A:$D,1,0)</f>
        <v>1801</v>
      </c>
      <c r="U136" s="612" t="str">
        <f>+VLOOKUP($L136,Data_Validation!$A:$D,3,0)</f>
        <v>Bilan</v>
      </c>
      <c r="V136" s="612" t="str">
        <f>+VLOOKUP($L136,Data_Validation!$A:$D,4,0)</f>
        <v>Avances à Recevoir Long Terme</v>
      </c>
      <c r="W136" s="612" t="str">
        <f>+VLOOKUP($L136,Data_Validation!$A:$E,5,0)</f>
        <v>$</v>
      </c>
      <c r="X136" s="612">
        <f>+VLOOKUP($L136,Data_Validation!$A:$F,6,0)</f>
        <v>0</v>
      </c>
    </row>
    <row r="137" spans="1:24" ht="15" customHeight="1">
      <c r="A137" s="1188" t="s">
        <v>3867</v>
      </c>
      <c r="B137" s="1188" t="s">
        <v>844</v>
      </c>
      <c r="C137" s="1190">
        <v>7731885.2300000004</v>
      </c>
      <c r="D137" s="1190">
        <v>24745.119999999999</v>
      </c>
      <c r="E137" s="1190">
        <v>7756630.3499999996</v>
      </c>
      <c r="F137" s="1188" t="s">
        <v>761</v>
      </c>
      <c r="G137" s="1188" t="s">
        <v>844</v>
      </c>
      <c r="H137" s="1188" t="s">
        <v>3845</v>
      </c>
      <c r="I137" s="608"/>
      <c r="J137" s="608"/>
      <c r="K137" s="608"/>
      <c r="L137" s="609" t="str">
        <f t="shared" si="19"/>
        <v>1804</v>
      </c>
      <c r="M137" s="610" t="str">
        <f t="shared" si="20"/>
        <v>AVANCES 17089147</v>
      </c>
      <c r="N137" s="611">
        <f>+IF(OR($Q137=Parametres!$G$2,$Q137=Parametres!$G$3),I137,C137)</f>
        <v>7731885.2300000004</v>
      </c>
      <c r="O137" s="611">
        <f>+IF(OR($Q137=Parametres!$G$2,$Q137=Parametres!$G$3),J137,D137)</f>
        <v>24745.119999999999</v>
      </c>
      <c r="P137" s="611">
        <f>+IF(OR($Q137=Parametres!$G$2,$Q137=Parametres!$G$3),K137,E137)</f>
        <v>7756630.3499999996</v>
      </c>
      <c r="Q137" s="610" t="str">
        <f t="shared" si="21"/>
        <v>2-Actifs</v>
      </c>
      <c r="R137" s="609" t="str">
        <f t="shared" si="22"/>
        <v>1804</v>
      </c>
      <c r="S137" s="610" t="str">
        <f t="shared" si="23"/>
        <v>_</v>
      </c>
      <c r="T137" s="612" t="str">
        <f>+VLOOKUP($L137,Data_Validation!$A:$D,1,0)</f>
        <v>1804</v>
      </c>
      <c r="U137" s="612" t="str">
        <f>+VLOOKUP($L137,Data_Validation!$A:$D,3,0)</f>
        <v>Bilan</v>
      </c>
      <c r="V137" s="612" t="str">
        <f>+VLOOKUP($L137,Data_Validation!$A:$D,4,0)</f>
        <v>Avances à Recevoir Long Terme</v>
      </c>
      <c r="W137" s="612" t="str">
        <f>+VLOOKUP($L137,Data_Validation!$A:$E,5,0)</f>
        <v>$</v>
      </c>
      <c r="X137" s="612">
        <f>+VLOOKUP($L137,Data_Validation!$A:$F,6,0)</f>
        <v>0</v>
      </c>
    </row>
    <row r="138" spans="1:24" ht="15" customHeight="1">
      <c r="A138" s="1188" t="s">
        <v>3868</v>
      </c>
      <c r="B138" s="1188" t="s">
        <v>3317</v>
      </c>
      <c r="C138" s="1190">
        <v>1071156</v>
      </c>
      <c r="D138" s="1190">
        <v>0</v>
      </c>
      <c r="E138" s="1190">
        <v>1071156</v>
      </c>
      <c r="F138" s="1188" t="s">
        <v>761</v>
      </c>
      <c r="G138" s="1188" t="s">
        <v>844</v>
      </c>
      <c r="H138" s="1188" t="s">
        <v>3845</v>
      </c>
      <c r="I138" s="619"/>
      <c r="J138" s="619"/>
      <c r="K138" s="619"/>
      <c r="L138" s="609" t="str">
        <f t="shared" si="19"/>
        <v>1805</v>
      </c>
      <c r="M138" s="610" t="str">
        <f t="shared" si="20"/>
        <v>AVANCES - STM</v>
      </c>
      <c r="N138" s="611">
        <f>+IF(OR($Q138=Parametres!$G$2,$Q138=Parametres!$G$3),I138,C138)</f>
        <v>1071156</v>
      </c>
      <c r="O138" s="611">
        <f>+IF(OR($Q138=Parametres!$G$2,$Q138=Parametres!$G$3),J138,D138)</f>
        <v>0</v>
      </c>
      <c r="P138" s="611">
        <f>+IF(OR($Q138=Parametres!$G$2,$Q138=Parametres!$G$3),K138,E138)</f>
        <v>1071156</v>
      </c>
      <c r="Q138" s="610" t="str">
        <f t="shared" si="21"/>
        <v>2-Actifs</v>
      </c>
      <c r="R138" s="609" t="str">
        <f t="shared" si="22"/>
        <v>1804</v>
      </c>
      <c r="S138" s="610" t="str">
        <f t="shared" si="23"/>
        <v>_</v>
      </c>
      <c r="T138" s="612" t="str">
        <f>+VLOOKUP($L138,Data_Validation!$A:$D,1,0)</f>
        <v>1805</v>
      </c>
      <c r="U138" s="612" t="str">
        <f>+VLOOKUP($L138,Data_Validation!$A:$D,3,0)</f>
        <v>Bilan</v>
      </c>
      <c r="V138" s="612" t="str">
        <f>+VLOOKUP($L138,Data_Validation!$A:$D,4,0)</f>
        <v>Avances à Recevoir Long Terme</v>
      </c>
      <c r="W138" s="612" t="str">
        <f>+VLOOKUP($L138,Data_Validation!$A:$E,5,0)</f>
        <v>$</v>
      </c>
      <c r="X138" s="612">
        <f>+VLOOKUP($L138,Data_Validation!$A:$F,6,0)</f>
        <v>0</v>
      </c>
    </row>
    <row r="139" spans="1:24" ht="15.75" customHeight="1">
      <c r="A139" s="1188" t="s">
        <v>845</v>
      </c>
      <c r="B139" s="1188" t="s">
        <v>1580</v>
      </c>
      <c r="C139" s="1190">
        <v>4178.8500000000004</v>
      </c>
      <c r="D139" s="1190">
        <v>-350.79</v>
      </c>
      <c r="E139" s="1190">
        <v>3828.06</v>
      </c>
      <c r="F139" s="1188" t="s">
        <v>761</v>
      </c>
      <c r="G139" s="1188" t="s">
        <v>766</v>
      </c>
      <c r="H139" s="1188" t="s">
        <v>3845</v>
      </c>
      <c r="I139" s="608"/>
      <c r="J139" s="608"/>
      <c r="K139" s="608"/>
      <c r="L139" s="609" t="str">
        <f t="shared" si="19"/>
        <v>1806</v>
      </c>
      <c r="M139" s="610" t="str">
        <f t="shared" si="20"/>
        <v>FINANCEMENT RECEVABLE</v>
      </c>
      <c r="N139" s="611">
        <f>+IF(OR($Q139=Parametres!$G$2,$Q139=Parametres!$G$3),I139,C139)</f>
        <v>4178.8500000000004</v>
      </c>
      <c r="O139" s="611">
        <f>+IF(OR($Q139=Parametres!$G$2,$Q139=Parametres!$G$3),J139,D139)</f>
        <v>-350.79</v>
      </c>
      <c r="P139" s="611">
        <f>+IF(OR($Q139=Parametres!$G$2,$Q139=Parametres!$G$3),K139,E139)</f>
        <v>3828.06</v>
      </c>
      <c r="Q139" s="610" t="str">
        <f t="shared" si="21"/>
        <v>2-Actifs</v>
      </c>
      <c r="R139" s="609" t="str">
        <f t="shared" si="22"/>
        <v>1382</v>
      </c>
      <c r="S139" s="610" t="str">
        <f t="shared" si="23"/>
        <v>_</v>
      </c>
      <c r="T139" s="612" t="str">
        <f>+VLOOKUP($L139,Data_Validation!$A:$D,1,0)</f>
        <v>1806</v>
      </c>
      <c r="U139" s="612" t="str">
        <f>+VLOOKUP($L139,Data_Validation!$A:$D,3,0)</f>
        <v>Bilan</v>
      </c>
      <c r="V139" s="612" t="str">
        <f>+VLOOKUP($L139,Data_Validation!$A:$D,4,0)</f>
        <v>Recevables Autres</v>
      </c>
      <c r="W139" s="612" t="str">
        <f>+VLOOKUP($L139,Data_Validation!$A:$E,5,0)</f>
        <v>$</v>
      </c>
      <c r="X139" s="612">
        <f>+VLOOKUP($L139,Data_Validation!$A:$F,6,0)</f>
        <v>0</v>
      </c>
    </row>
    <row r="140" spans="1:24" ht="15" customHeight="1">
      <c r="A140" s="1188" t="s">
        <v>846</v>
      </c>
      <c r="B140" s="1188" t="s">
        <v>848</v>
      </c>
      <c r="C140" s="1190">
        <v>-7374626.2699999996</v>
      </c>
      <c r="D140" s="1190">
        <v>1949152.06</v>
      </c>
      <c r="E140" s="1190">
        <v>-5425474.21</v>
      </c>
      <c r="F140" s="1188" t="s">
        <v>847</v>
      </c>
      <c r="G140" s="1188" t="s">
        <v>848</v>
      </c>
      <c r="H140" s="1188" t="s">
        <v>3845</v>
      </c>
      <c r="I140" s="608"/>
      <c r="J140" s="608"/>
      <c r="K140" s="608"/>
      <c r="L140" s="609" t="str">
        <f t="shared" si="19"/>
        <v>2101</v>
      </c>
      <c r="M140" s="610" t="str">
        <f t="shared" si="20"/>
        <v>NOTE A PAYER VEH. NEUFS VOLKS</v>
      </c>
      <c r="N140" s="611">
        <f>+IF(OR($Q140=Parametres!$G$2,$Q140=Parametres!$G$3),I140,C140)</f>
        <v>-7374626.2699999996</v>
      </c>
      <c r="O140" s="611">
        <f>+IF(OR($Q140=Parametres!$G$2,$Q140=Parametres!$G$3),J140,D140)</f>
        <v>1949152.06</v>
      </c>
      <c r="P140" s="611">
        <f>+IF(OR($Q140=Parametres!$G$2,$Q140=Parametres!$G$3),K140,E140)</f>
        <v>-5425474.21</v>
      </c>
      <c r="Q140" s="610" t="str">
        <f t="shared" si="21"/>
        <v>3-Passifs</v>
      </c>
      <c r="R140" s="609" t="str">
        <f t="shared" si="22"/>
        <v>2101</v>
      </c>
      <c r="S140" s="610" t="str">
        <f t="shared" si="23"/>
        <v>_</v>
      </c>
      <c r="T140" s="612" t="str">
        <f>+VLOOKUP($L140,Data_Validation!$A:$D,1,0)</f>
        <v>2101</v>
      </c>
      <c r="U140" s="612" t="str">
        <f>+VLOOKUP($L140,Data_Validation!$A:$D,3,0)</f>
        <v>Bilan</v>
      </c>
      <c r="V140" s="612" t="str">
        <f>+VLOOKUP($L140,Data_Validation!$A:$D,4,0)</f>
        <v>Effet à Payer Véhicules Neufs</v>
      </c>
      <c r="W140" s="612" t="str">
        <f>+VLOOKUP($L140,Data_Validation!$A:$E,5,0)</f>
        <v>$</v>
      </c>
      <c r="X140" s="612">
        <f>+VLOOKUP($L140,Data_Validation!$A:$F,6,0)</f>
        <v>0</v>
      </c>
    </row>
    <row r="141" spans="1:24" ht="15" customHeight="1">
      <c r="A141" s="1188" t="s">
        <v>849</v>
      </c>
      <c r="B141" s="1188" t="s">
        <v>850</v>
      </c>
      <c r="C141" s="1190">
        <v>-730210.5</v>
      </c>
      <c r="D141" s="1190">
        <v>-27629</v>
      </c>
      <c r="E141" s="1190">
        <v>-757839.5</v>
      </c>
      <c r="F141" s="1188" t="s">
        <v>847</v>
      </c>
      <c r="G141" s="1188" t="s">
        <v>850</v>
      </c>
      <c r="H141" s="1188" t="s">
        <v>3845</v>
      </c>
      <c r="I141" s="619"/>
      <c r="J141" s="619"/>
      <c r="K141" s="619"/>
      <c r="L141" s="609" t="str">
        <f t="shared" si="19"/>
        <v>2103</v>
      </c>
      <c r="M141" s="610" t="str">
        <f t="shared" si="20"/>
        <v>NOTE PAYABLE-FIN. VEH. USAG.</v>
      </c>
      <c r="N141" s="611">
        <f>+IF(OR($Q141=Parametres!$G$2,$Q141=Parametres!$G$3),I141,C141)</f>
        <v>-730210.5</v>
      </c>
      <c r="O141" s="611">
        <f>+IF(OR($Q141=Parametres!$G$2,$Q141=Parametres!$G$3),J141,D141)</f>
        <v>-27629</v>
      </c>
      <c r="P141" s="611">
        <f>+IF(OR($Q141=Parametres!$G$2,$Q141=Parametres!$G$3),K141,E141)</f>
        <v>-757839.5</v>
      </c>
      <c r="Q141" s="610" t="str">
        <f t="shared" si="21"/>
        <v>3-Passifs</v>
      </c>
      <c r="R141" s="609" t="str">
        <f t="shared" si="22"/>
        <v>2103</v>
      </c>
      <c r="S141" s="610" t="str">
        <f t="shared" si="23"/>
        <v>_</v>
      </c>
      <c r="T141" s="612" t="str">
        <f>+VLOOKUP($L141,Data_Validation!$A:$D,1,0)</f>
        <v>2103</v>
      </c>
      <c r="U141" s="612" t="str">
        <f>+VLOOKUP($L141,Data_Validation!$A:$D,3,0)</f>
        <v>Bilan</v>
      </c>
      <c r="V141" s="612" t="str">
        <f>+VLOOKUP($L141,Data_Validation!$A:$D,4,0)</f>
        <v>Effet à Payer Véhicules Usagés</v>
      </c>
      <c r="W141" s="612" t="str">
        <f>+VLOOKUP($L141,Data_Validation!$A:$E,5,0)</f>
        <v>$</v>
      </c>
      <c r="X141" s="612">
        <f>+VLOOKUP($L141,Data_Validation!$A:$F,6,0)</f>
        <v>0</v>
      </c>
    </row>
    <row r="142" spans="1:24" ht="15" customHeight="1">
      <c r="A142" s="1188" t="s">
        <v>851</v>
      </c>
      <c r="B142" s="1188" t="s">
        <v>852</v>
      </c>
      <c r="C142" s="1190">
        <v>-155000</v>
      </c>
      <c r="D142" s="1190">
        <v>155000</v>
      </c>
      <c r="E142" s="1190">
        <v>0</v>
      </c>
      <c r="F142" s="1188" t="s">
        <v>847</v>
      </c>
      <c r="G142" s="1188" t="s">
        <v>852</v>
      </c>
      <c r="H142" s="1188" t="s">
        <v>3845</v>
      </c>
      <c r="I142" s="619"/>
      <c r="J142" s="619"/>
      <c r="K142" s="619"/>
      <c r="L142" s="609" t="str">
        <f t="shared" si="19"/>
        <v>2131</v>
      </c>
      <c r="M142" s="610" t="str">
        <f t="shared" si="20"/>
        <v>PORTION COURANTE PRET</v>
      </c>
      <c r="N142" s="611">
        <f>+IF(OR($Q142=Parametres!$G$2,$Q142=Parametres!$G$3),I142,C142)</f>
        <v>-155000</v>
      </c>
      <c r="O142" s="611">
        <f>+IF(OR($Q142=Parametres!$G$2,$Q142=Parametres!$G$3),J142,D142)</f>
        <v>155000</v>
      </c>
      <c r="P142" s="611">
        <f>+IF(OR($Q142=Parametres!$G$2,$Q142=Parametres!$G$3),K142,E142)</f>
        <v>0</v>
      </c>
      <c r="Q142" s="610" t="str">
        <f t="shared" si="21"/>
        <v>3-Passifs</v>
      </c>
      <c r="R142" s="609" t="str">
        <f t="shared" si="22"/>
        <v>2131</v>
      </c>
      <c r="S142" s="610" t="str">
        <f t="shared" si="23"/>
        <v>_</v>
      </c>
      <c r="T142" s="612" t="str">
        <f>+VLOOKUP($L142,Data_Validation!$A:$D,1,0)</f>
        <v>2131</v>
      </c>
      <c r="U142" s="612" t="str">
        <f>+VLOOKUP($L142,Data_Validation!$A:$D,3,0)</f>
        <v>Bilan</v>
      </c>
      <c r="V142" s="612" t="str">
        <f>+VLOOKUP($L142,Data_Validation!$A:$D,4,0)</f>
        <v>Portion Court Terme de la Dette Long Terme</v>
      </c>
      <c r="W142" s="612" t="str">
        <f>+VLOOKUP($L142,Data_Validation!$A:$E,5,0)</f>
        <v>$</v>
      </c>
      <c r="X142" s="612">
        <f>+VLOOKUP($L142,Data_Validation!$A:$F,6,0)</f>
        <v>0</v>
      </c>
    </row>
    <row r="143" spans="1:24" ht="15.75" customHeight="1">
      <c r="A143" s="1188" t="s">
        <v>853</v>
      </c>
      <c r="B143" s="1188" t="s">
        <v>854</v>
      </c>
      <c r="C143" s="1190">
        <v>-125.59</v>
      </c>
      <c r="D143" s="1190">
        <v>-462.77</v>
      </c>
      <c r="E143" s="1190">
        <v>-588.36</v>
      </c>
      <c r="F143" s="1188" t="s">
        <v>847</v>
      </c>
      <c r="G143" s="1188" t="s">
        <v>854</v>
      </c>
      <c r="H143" s="1188" t="s">
        <v>3845</v>
      </c>
      <c r="I143" s="608"/>
      <c r="J143" s="608"/>
      <c r="K143" s="608"/>
      <c r="L143" s="609" t="str">
        <f t="shared" si="19"/>
        <v>2220</v>
      </c>
      <c r="M143" s="610" t="str">
        <f t="shared" si="20"/>
        <v>TPA A PAYER</v>
      </c>
      <c r="N143" s="611">
        <f>+IF(OR($Q143=Parametres!$G$2,$Q143=Parametres!$G$3),I143,C143)</f>
        <v>-125.59</v>
      </c>
      <c r="O143" s="611">
        <f>+IF(OR($Q143=Parametres!$G$2,$Q143=Parametres!$G$3),J143,D143)</f>
        <v>-462.77</v>
      </c>
      <c r="P143" s="611">
        <f>+IF(OR($Q143=Parametres!$G$2,$Q143=Parametres!$G$3),K143,E143)</f>
        <v>-588.36</v>
      </c>
      <c r="Q143" s="610" t="str">
        <f t="shared" si="21"/>
        <v>3-Passifs</v>
      </c>
      <c r="R143" s="609" t="str">
        <f t="shared" si="22"/>
        <v>2220</v>
      </c>
      <c r="S143" s="610" t="str">
        <f t="shared" si="23"/>
        <v>_</v>
      </c>
      <c r="T143" s="612" t="str">
        <f>+VLOOKUP($L143,Data_Validation!$A:$D,1,0)</f>
        <v>2220</v>
      </c>
      <c r="U143" s="612" t="str">
        <f>+VLOOKUP($L143,Data_Validation!$A:$D,3,0)</f>
        <v>Bilan</v>
      </c>
      <c r="V143" s="612" t="str">
        <f>+VLOOKUP($L143,Data_Validation!$A:$D,4,0)</f>
        <v>Taxes de Vente à Payer</v>
      </c>
      <c r="W143" s="612" t="str">
        <f>+VLOOKUP($L143,Data_Validation!$A:$E,5,0)</f>
        <v>$</v>
      </c>
      <c r="X143" s="612">
        <f>+VLOOKUP($L143,Data_Validation!$A:$F,6,0)</f>
        <v>0</v>
      </c>
    </row>
    <row r="144" spans="1:24" ht="15" customHeight="1">
      <c r="A144" s="1188" t="s">
        <v>855</v>
      </c>
      <c r="B144" s="1188" t="s">
        <v>856</v>
      </c>
      <c r="C144" s="1190">
        <v>-105677.7</v>
      </c>
      <c r="D144" s="1190">
        <v>-6883.33</v>
      </c>
      <c r="E144" s="1190">
        <v>-112561.03</v>
      </c>
      <c r="F144" s="1188" t="s">
        <v>847</v>
      </c>
      <c r="G144" s="1188" t="s">
        <v>856</v>
      </c>
      <c r="H144" s="1188" t="s">
        <v>3845</v>
      </c>
      <c r="I144" s="608"/>
      <c r="J144" s="608"/>
      <c r="K144" s="608"/>
      <c r="L144" s="609" t="str">
        <f t="shared" si="19"/>
        <v>2221</v>
      </c>
      <c r="M144" s="610" t="str">
        <f t="shared" si="20"/>
        <v>TVQ A PAYER</v>
      </c>
      <c r="N144" s="611">
        <f>+IF(OR($Q144=Parametres!$G$2,$Q144=Parametres!$G$3),I144,C144)</f>
        <v>-105677.7</v>
      </c>
      <c r="O144" s="611">
        <f>+IF(OR($Q144=Parametres!$G$2,$Q144=Parametres!$G$3),J144,D144)</f>
        <v>-6883.33</v>
      </c>
      <c r="P144" s="611">
        <f>+IF(OR($Q144=Parametres!$G$2,$Q144=Parametres!$G$3),K144,E144)</f>
        <v>-112561.03</v>
      </c>
      <c r="Q144" s="610" t="str">
        <f t="shared" si="21"/>
        <v>3-Passifs</v>
      </c>
      <c r="R144" s="609" t="str">
        <f t="shared" si="22"/>
        <v>2221</v>
      </c>
      <c r="S144" s="610" t="str">
        <f t="shared" si="23"/>
        <v>_</v>
      </c>
      <c r="T144" s="612" t="str">
        <f>+VLOOKUP($L144,Data_Validation!$A:$D,1,0)</f>
        <v>2221</v>
      </c>
      <c r="U144" s="612" t="str">
        <f>+VLOOKUP($L144,Data_Validation!$A:$D,3,0)</f>
        <v>Bilan</v>
      </c>
      <c r="V144" s="612" t="str">
        <f>+VLOOKUP($L144,Data_Validation!$A:$D,4,0)</f>
        <v>Taxes de Vente à Payer</v>
      </c>
      <c r="W144" s="612" t="str">
        <f>+VLOOKUP($L144,Data_Validation!$A:$E,5,0)</f>
        <v>$</v>
      </c>
      <c r="X144" s="612">
        <f>+VLOOKUP($L144,Data_Validation!$A:$F,6,0)</f>
        <v>0</v>
      </c>
    </row>
    <row r="145" spans="1:24" ht="15" customHeight="1">
      <c r="A145" s="1188" t="s">
        <v>857</v>
      </c>
      <c r="B145" s="1188" t="s">
        <v>1597</v>
      </c>
      <c r="C145" s="1190">
        <v>74897.210000000006</v>
      </c>
      <c r="D145" s="1190">
        <v>-17831.27</v>
      </c>
      <c r="E145" s="1190">
        <v>57065.94</v>
      </c>
      <c r="F145" s="1188" t="s">
        <v>847</v>
      </c>
      <c r="G145" s="1188" t="s">
        <v>856</v>
      </c>
      <c r="H145" s="1188" t="s">
        <v>3845</v>
      </c>
      <c r="I145" s="608"/>
      <c r="J145" s="608"/>
      <c r="K145" s="608"/>
      <c r="L145" s="609" t="str">
        <f t="shared" si="19"/>
        <v>2222</v>
      </c>
      <c r="M145" s="610" t="str">
        <f t="shared" si="20"/>
        <v>TVQ A RECEVOIR</v>
      </c>
      <c r="N145" s="611">
        <f>+IF(OR($Q145=Parametres!$G$2,$Q145=Parametres!$G$3),I145,C145)</f>
        <v>74897.210000000006</v>
      </c>
      <c r="O145" s="611">
        <f>+IF(OR($Q145=Parametres!$G$2,$Q145=Parametres!$G$3),J145,D145)</f>
        <v>-17831.27</v>
      </c>
      <c r="P145" s="611">
        <f>+IF(OR($Q145=Parametres!$G$2,$Q145=Parametres!$G$3),K145,E145)</f>
        <v>57065.94</v>
      </c>
      <c r="Q145" s="610" t="str">
        <f t="shared" si="21"/>
        <v>3-Passifs</v>
      </c>
      <c r="R145" s="609" t="str">
        <f t="shared" si="22"/>
        <v>2221</v>
      </c>
      <c r="S145" s="610" t="str">
        <f t="shared" si="23"/>
        <v>_</v>
      </c>
      <c r="T145" s="612" t="str">
        <f>+VLOOKUP($L145,Data_Validation!$A:$D,1,0)</f>
        <v>2222</v>
      </c>
      <c r="U145" s="612" t="str">
        <f>+VLOOKUP($L145,Data_Validation!$A:$D,3,0)</f>
        <v>Bilan</v>
      </c>
      <c r="V145" s="612" t="str">
        <f>+VLOOKUP($L145,Data_Validation!$A:$D,4,0)</f>
        <v>Taxes de Vente à Payer</v>
      </c>
      <c r="W145" s="612" t="str">
        <f>+VLOOKUP($L145,Data_Validation!$A:$E,5,0)</f>
        <v>$</v>
      </c>
      <c r="X145" s="612">
        <f>+VLOOKUP($L145,Data_Validation!$A:$F,6,0)</f>
        <v>0</v>
      </c>
    </row>
    <row r="146" spans="1:24" ht="15" customHeight="1">
      <c r="A146" s="1188" t="s">
        <v>858</v>
      </c>
      <c r="B146" s="1188" t="s">
        <v>859</v>
      </c>
      <c r="C146" s="1190">
        <v>-237085.63</v>
      </c>
      <c r="D146" s="1190">
        <v>-68124.36</v>
      </c>
      <c r="E146" s="1190">
        <v>-305209.99</v>
      </c>
      <c r="F146" s="1188" t="s">
        <v>847</v>
      </c>
      <c r="G146" s="1188" t="s">
        <v>859</v>
      </c>
      <c r="H146" s="1188" t="s">
        <v>3845</v>
      </c>
      <c r="I146" s="608"/>
      <c r="J146" s="608"/>
      <c r="K146" s="608"/>
      <c r="L146" s="609" t="str">
        <f t="shared" si="19"/>
        <v>2223</v>
      </c>
      <c r="M146" s="610" t="str">
        <f t="shared" si="20"/>
        <v>TPS A PAYER</v>
      </c>
      <c r="N146" s="611">
        <f>+IF(OR($Q146=Parametres!$G$2,$Q146=Parametres!$G$3),I146,C146)</f>
        <v>-237085.63</v>
      </c>
      <c r="O146" s="611">
        <f>+IF(OR($Q146=Parametres!$G$2,$Q146=Parametres!$G$3),J146,D146)</f>
        <v>-68124.36</v>
      </c>
      <c r="P146" s="611">
        <f>+IF(OR($Q146=Parametres!$G$2,$Q146=Parametres!$G$3),K146,E146)</f>
        <v>-305209.99</v>
      </c>
      <c r="Q146" s="610" t="str">
        <f t="shared" si="21"/>
        <v>3-Passifs</v>
      </c>
      <c r="R146" s="609" t="str">
        <f t="shared" si="22"/>
        <v>2223</v>
      </c>
      <c r="S146" s="610" t="str">
        <f t="shared" si="23"/>
        <v>_</v>
      </c>
      <c r="T146" s="612" t="str">
        <f>+VLOOKUP($L146,Data_Validation!$A:$D,1,0)</f>
        <v>2223</v>
      </c>
      <c r="U146" s="612" t="str">
        <f>+VLOOKUP($L146,Data_Validation!$A:$D,3,0)</f>
        <v>Bilan</v>
      </c>
      <c r="V146" s="612" t="str">
        <f>+VLOOKUP($L146,Data_Validation!$A:$D,4,0)</f>
        <v>Taxes de Vente à Payer</v>
      </c>
      <c r="W146" s="612" t="str">
        <f>+VLOOKUP($L146,Data_Validation!$A:$E,5,0)</f>
        <v>$</v>
      </c>
      <c r="X146" s="612">
        <f>+VLOOKUP($L146,Data_Validation!$A:$F,6,0)</f>
        <v>0</v>
      </c>
    </row>
    <row r="147" spans="1:24" ht="15" customHeight="1">
      <c r="A147" s="1188" t="s">
        <v>860</v>
      </c>
      <c r="B147" s="1188" t="s">
        <v>1602</v>
      </c>
      <c r="C147" s="1190">
        <v>168202.33</v>
      </c>
      <c r="D147" s="1190">
        <v>-3076.92</v>
      </c>
      <c r="E147" s="1190">
        <v>165125.41</v>
      </c>
      <c r="F147" s="1188" t="s">
        <v>847</v>
      </c>
      <c r="G147" s="1188" t="s">
        <v>859</v>
      </c>
      <c r="H147" s="1188" t="s">
        <v>3845</v>
      </c>
      <c r="I147" s="608"/>
      <c r="J147" s="608"/>
      <c r="K147" s="608"/>
      <c r="L147" s="609" t="str">
        <f t="shared" si="19"/>
        <v>2224</v>
      </c>
      <c r="M147" s="610" t="str">
        <f t="shared" si="20"/>
        <v>TPS A RECEVOIR</v>
      </c>
      <c r="N147" s="611">
        <f>+IF(OR($Q147=Parametres!$G$2,$Q147=Parametres!$G$3),I147,C147)</f>
        <v>168202.33</v>
      </c>
      <c r="O147" s="611">
        <f>+IF(OR($Q147=Parametres!$G$2,$Q147=Parametres!$G$3),J147,D147)</f>
        <v>-3076.92</v>
      </c>
      <c r="P147" s="611">
        <f>+IF(OR($Q147=Parametres!$G$2,$Q147=Parametres!$G$3),K147,E147)</f>
        <v>165125.41</v>
      </c>
      <c r="Q147" s="610" t="str">
        <f t="shared" si="21"/>
        <v>3-Passifs</v>
      </c>
      <c r="R147" s="609" t="str">
        <f t="shared" si="22"/>
        <v>2223</v>
      </c>
      <c r="S147" s="610" t="str">
        <f t="shared" si="23"/>
        <v>_</v>
      </c>
      <c r="T147" s="612" t="str">
        <f>+VLOOKUP($L147,Data_Validation!$A:$D,1,0)</f>
        <v>2224</v>
      </c>
      <c r="U147" s="612" t="str">
        <f>+VLOOKUP($L147,Data_Validation!$A:$D,3,0)</f>
        <v>Bilan</v>
      </c>
      <c r="V147" s="612" t="str">
        <f>+VLOOKUP($L147,Data_Validation!$A:$D,4,0)</f>
        <v>Taxes de Vente à Payer</v>
      </c>
      <c r="W147" s="612" t="str">
        <f>+VLOOKUP($L147,Data_Validation!$A:$E,5,0)</f>
        <v>$</v>
      </c>
      <c r="X147" s="612">
        <f>+VLOOKUP($L147,Data_Validation!$A:$F,6,0)</f>
        <v>0</v>
      </c>
    </row>
    <row r="148" spans="1:24" ht="15" customHeight="1">
      <c r="A148" s="1188" t="s">
        <v>861</v>
      </c>
      <c r="B148" s="1188" t="s">
        <v>1605</v>
      </c>
      <c r="C148" s="1190">
        <v>-1230.5</v>
      </c>
      <c r="D148" s="1190">
        <v>-270</v>
      </c>
      <c r="E148" s="1190">
        <v>-1500.5</v>
      </c>
      <c r="F148" s="1188" t="s">
        <v>847</v>
      </c>
      <c r="G148" s="1188" t="s">
        <v>856</v>
      </c>
      <c r="H148" s="1188" t="s">
        <v>3845</v>
      </c>
      <c r="I148" s="619"/>
      <c r="J148" s="619"/>
      <c r="K148" s="619"/>
      <c r="L148" s="609" t="str">
        <f t="shared" si="19"/>
        <v>2225</v>
      </c>
      <c r="M148" s="610" t="str">
        <f t="shared" si="20"/>
        <v>DROIT SUR PNEUS</v>
      </c>
      <c r="N148" s="611">
        <f>+IF(OR($Q148=Parametres!$G$2,$Q148=Parametres!$G$3),I148,C148)</f>
        <v>-1230.5</v>
      </c>
      <c r="O148" s="611">
        <f>+IF(OR($Q148=Parametres!$G$2,$Q148=Parametres!$G$3),J148,D148)</f>
        <v>-270</v>
      </c>
      <c r="P148" s="611">
        <f>+IF(OR($Q148=Parametres!$G$2,$Q148=Parametres!$G$3),K148,E148)</f>
        <v>-1500.5</v>
      </c>
      <c r="Q148" s="610" t="str">
        <f t="shared" si="21"/>
        <v>3-Passifs</v>
      </c>
      <c r="R148" s="609" t="str">
        <f t="shared" si="22"/>
        <v>2221</v>
      </c>
      <c r="S148" s="610" t="str">
        <f t="shared" si="23"/>
        <v>_</v>
      </c>
      <c r="T148" s="612" t="str">
        <f>+VLOOKUP($L148,Data_Validation!$A:$D,1,0)</f>
        <v>2225</v>
      </c>
      <c r="U148" s="612" t="str">
        <f>+VLOOKUP($L148,Data_Validation!$A:$D,3,0)</f>
        <v>Bilan</v>
      </c>
      <c r="V148" s="612" t="str">
        <f>+VLOOKUP($L148,Data_Validation!$A:$D,4,0)</f>
        <v>Taxes de Vente à Payer</v>
      </c>
      <c r="W148" s="612" t="str">
        <f>+VLOOKUP($L148,Data_Validation!$A:$E,5,0)</f>
        <v>$</v>
      </c>
      <c r="X148" s="612">
        <f>+VLOOKUP($L148,Data_Validation!$A:$F,6,0)</f>
        <v>0</v>
      </c>
    </row>
    <row r="149" spans="1:24" ht="15" customHeight="1">
      <c r="A149" s="1188" t="s">
        <v>862</v>
      </c>
      <c r="B149" s="1188" t="s">
        <v>1608</v>
      </c>
      <c r="C149" s="1190">
        <v>-118380.65</v>
      </c>
      <c r="D149" s="1190">
        <v>-33363.15</v>
      </c>
      <c r="E149" s="1190">
        <v>-151743.79999999999</v>
      </c>
      <c r="F149" s="1188" t="s">
        <v>847</v>
      </c>
      <c r="G149" s="1188" t="s">
        <v>863</v>
      </c>
      <c r="H149" s="1188" t="s">
        <v>3845</v>
      </c>
      <c r="I149" s="619"/>
      <c r="J149" s="619"/>
      <c r="K149" s="619"/>
      <c r="L149" s="609" t="str">
        <f t="shared" si="19"/>
        <v>2281</v>
      </c>
      <c r="M149" s="610" t="str">
        <f t="shared" si="20"/>
        <v>LIEN A PAYER</v>
      </c>
      <c r="N149" s="611">
        <f>+IF(OR($Q149=Parametres!$G$2,$Q149=Parametres!$G$3),I149,C149)</f>
        <v>-118380.65</v>
      </c>
      <c r="O149" s="611">
        <f>+IF(OR($Q149=Parametres!$G$2,$Q149=Parametres!$G$3),J149,D149)</f>
        <v>-33363.15</v>
      </c>
      <c r="P149" s="611">
        <f>+IF(OR($Q149=Parametres!$G$2,$Q149=Parametres!$G$3),K149,E149)</f>
        <v>-151743.79999999999</v>
      </c>
      <c r="Q149" s="610" t="str">
        <f t="shared" si="21"/>
        <v>3-Passifs</v>
      </c>
      <c r="R149" s="609" t="str">
        <f t="shared" si="22"/>
        <v>2283</v>
      </c>
      <c r="S149" s="610" t="str">
        <f t="shared" si="23"/>
        <v>_</v>
      </c>
      <c r="T149" s="612" t="str">
        <f>+VLOOKUP($L149,Data_Validation!$A:$D,1,0)</f>
        <v>2281</v>
      </c>
      <c r="U149" s="612" t="str">
        <f>+VLOOKUP($L149,Data_Validation!$A:$D,3,0)</f>
        <v>Bilan</v>
      </c>
      <c r="V149" s="612" t="str">
        <f>+VLOOKUP($L149,Data_Validation!$A:$D,4,0)</f>
        <v>Autres Comptes à Payer</v>
      </c>
      <c r="W149" s="612" t="str">
        <f>+VLOOKUP($L149,Data_Validation!$A:$E,5,0)</f>
        <v>$</v>
      </c>
      <c r="X149" s="612">
        <f>+VLOOKUP($L149,Data_Validation!$A:$F,6,0)</f>
        <v>0</v>
      </c>
    </row>
    <row r="150" spans="1:24" ht="15" customHeight="1">
      <c r="A150" s="1188" t="s">
        <v>864</v>
      </c>
      <c r="B150" s="1188" t="s">
        <v>863</v>
      </c>
      <c r="C150" s="1190">
        <v>-4490</v>
      </c>
      <c r="D150" s="1190">
        <v>-910</v>
      </c>
      <c r="E150" s="1190">
        <v>-5400</v>
      </c>
      <c r="F150" s="1188" t="s">
        <v>847</v>
      </c>
      <c r="G150" s="1188" t="s">
        <v>863</v>
      </c>
      <c r="H150" s="1188" t="s">
        <v>3845</v>
      </c>
      <c r="I150" s="608"/>
      <c r="J150" s="608"/>
      <c r="K150" s="608"/>
      <c r="L150" s="609" t="str">
        <f t="shared" si="19"/>
        <v>2283</v>
      </c>
      <c r="M150" s="610" t="str">
        <f t="shared" si="20"/>
        <v>PLAQUE A PAYER</v>
      </c>
      <c r="N150" s="611">
        <f>+IF(OR($Q150=Parametres!$G$2,$Q150=Parametres!$G$3),I150,C150)</f>
        <v>-4490</v>
      </c>
      <c r="O150" s="611">
        <f>+IF(OR($Q150=Parametres!$G$2,$Q150=Parametres!$G$3),J150,D150)</f>
        <v>-910</v>
      </c>
      <c r="P150" s="611">
        <f>+IF(OR($Q150=Parametres!$G$2,$Q150=Parametres!$G$3),K150,E150)</f>
        <v>-5400</v>
      </c>
      <c r="Q150" s="610" t="str">
        <f t="shared" si="21"/>
        <v>3-Passifs</v>
      </c>
      <c r="R150" s="609" t="str">
        <f t="shared" si="22"/>
        <v>2283</v>
      </c>
      <c r="S150" s="610" t="str">
        <f t="shared" si="23"/>
        <v>_</v>
      </c>
      <c r="T150" s="612" t="str">
        <f>+VLOOKUP($L150,Data_Validation!$A:$D,1,0)</f>
        <v>2283</v>
      </c>
      <c r="U150" s="612" t="str">
        <f>+VLOOKUP($L150,Data_Validation!$A:$D,3,0)</f>
        <v>Bilan</v>
      </c>
      <c r="V150" s="612" t="str">
        <f>+VLOOKUP($L150,Data_Validation!$A:$D,4,0)</f>
        <v>Autres Comptes à Payer</v>
      </c>
      <c r="W150" s="612" t="str">
        <f>+VLOOKUP($L150,Data_Validation!$A:$E,5,0)</f>
        <v>$</v>
      </c>
      <c r="X150" s="612">
        <f>+VLOOKUP($L150,Data_Validation!$A:$F,6,0)</f>
        <v>0</v>
      </c>
    </row>
    <row r="151" spans="1:24" ht="15.75" customHeight="1">
      <c r="A151" s="1188" t="s">
        <v>865</v>
      </c>
      <c r="B151" s="1188" t="s">
        <v>1613</v>
      </c>
      <c r="C151" s="1190">
        <v>3253.53</v>
      </c>
      <c r="D151" s="1190">
        <v>-88134.83</v>
      </c>
      <c r="E151" s="1190">
        <v>-84881.3</v>
      </c>
      <c r="F151" s="1188" t="s">
        <v>847</v>
      </c>
      <c r="G151" s="1188" t="s">
        <v>863</v>
      </c>
      <c r="H151" s="1188" t="s">
        <v>3845</v>
      </c>
      <c r="I151" s="608"/>
      <c r="J151" s="608"/>
      <c r="K151" s="608"/>
      <c r="L151" s="609" t="str">
        <f t="shared" si="19"/>
        <v>2285</v>
      </c>
      <c r="M151" s="610" t="str">
        <f t="shared" si="20"/>
        <v>PROTECTIONS A PAYER</v>
      </c>
      <c r="N151" s="611">
        <f>+IF(OR($Q151=Parametres!$G$2,$Q151=Parametres!$G$3),I151,C151)</f>
        <v>3253.53</v>
      </c>
      <c r="O151" s="611">
        <f>+IF(OR($Q151=Parametres!$G$2,$Q151=Parametres!$G$3),J151,D151)</f>
        <v>-88134.83</v>
      </c>
      <c r="P151" s="611">
        <f>+IF(OR($Q151=Parametres!$G$2,$Q151=Parametres!$G$3),K151,E151)</f>
        <v>-84881.3</v>
      </c>
      <c r="Q151" s="610" t="str">
        <f t="shared" si="21"/>
        <v>3-Passifs</v>
      </c>
      <c r="R151" s="609" t="str">
        <f t="shared" si="22"/>
        <v>2283</v>
      </c>
      <c r="S151" s="610" t="str">
        <f t="shared" si="23"/>
        <v>_</v>
      </c>
      <c r="T151" s="612" t="str">
        <f>+VLOOKUP($L151,Data_Validation!$A:$D,1,0)</f>
        <v>2285</v>
      </c>
      <c r="U151" s="612" t="str">
        <f>+VLOOKUP($L151,Data_Validation!$A:$D,3,0)</f>
        <v>Bilan</v>
      </c>
      <c r="V151" s="612" t="str">
        <f>+VLOOKUP($L151,Data_Validation!$A:$D,4,0)</f>
        <v>Autres Comptes à Payer</v>
      </c>
      <c r="W151" s="612" t="str">
        <f>+VLOOKUP($L151,Data_Validation!$A:$E,5,0)</f>
        <v>$</v>
      </c>
      <c r="X151" s="612">
        <f>+VLOOKUP($L151,Data_Validation!$A:$F,6,0)</f>
        <v>0</v>
      </c>
    </row>
    <row r="152" spans="1:24" ht="15" customHeight="1">
      <c r="A152" s="1188" t="s">
        <v>866</v>
      </c>
      <c r="B152" s="1188" t="s">
        <v>1616</v>
      </c>
      <c r="C152" s="1190">
        <v>-2210.37</v>
      </c>
      <c r="D152" s="1190">
        <v>-3387.22</v>
      </c>
      <c r="E152" s="1190">
        <v>-5597.59</v>
      </c>
      <c r="F152" s="1188" t="s">
        <v>847</v>
      </c>
      <c r="G152" s="1188" t="s">
        <v>863</v>
      </c>
      <c r="H152" s="1188" t="s">
        <v>3845</v>
      </c>
      <c r="I152" s="607"/>
      <c r="J152" s="607"/>
      <c r="K152" s="607"/>
      <c r="L152" s="609" t="str">
        <f t="shared" si="18"/>
        <v>2287</v>
      </c>
      <c r="M152" s="610" t="str">
        <f t="shared" si="0"/>
        <v>A PAYER INVAPLAN</v>
      </c>
      <c r="N152" s="611">
        <f>+IF(OR($Q152=Parametres!$G$2,$Q152=Parametres!$G$3),I152,C152)</f>
        <v>-2210.37</v>
      </c>
      <c r="O152" s="611">
        <f>+IF(OR($Q152=Parametres!$G$2,$Q152=Parametres!$G$3),J152,D152)</f>
        <v>-3387.22</v>
      </c>
      <c r="P152" s="611">
        <f>+IF(OR($Q152=Parametres!$G$2,$Q152=Parametres!$G$3),K152,E152)</f>
        <v>-5597.59</v>
      </c>
      <c r="Q152" s="610" t="str">
        <f t="shared" ref="Q152:Q179" si="24">+F152</f>
        <v>3-Passifs</v>
      </c>
      <c r="R152" s="609" t="str">
        <f t="shared" ref="R152:R179" si="25">+G152</f>
        <v>2283</v>
      </c>
      <c r="S152" s="610" t="str">
        <f t="shared" ref="S152:S179" si="26">+H152</f>
        <v>_</v>
      </c>
      <c r="T152" s="612" t="str">
        <f>+VLOOKUP($L152,Data_Validation!$A:$D,1,0)</f>
        <v>2287</v>
      </c>
      <c r="U152" s="612" t="str">
        <f>+VLOOKUP($L152,Data_Validation!$A:$D,3,0)</f>
        <v>Bilan</v>
      </c>
      <c r="V152" s="612" t="str">
        <f>+VLOOKUP($L152,Data_Validation!$A:$D,4,0)</f>
        <v>Autres Comptes à Payer</v>
      </c>
      <c r="W152" s="612" t="str">
        <f>+VLOOKUP($L152,Data_Validation!$A:$E,5,0)</f>
        <v>$</v>
      </c>
      <c r="X152" s="612">
        <f>+VLOOKUP($L152,Data_Validation!$A:$F,6,0)</f>
        <v>0</v>
      </c>
    </row>
    <row r="153" spans="1:24" ht="15" customHeight="1">
      <c r="A153" s="1188" t="s">
        <v>867</v>
      </c>
      <c r="B153" s="1188" t="s">
        <v>868</v>
      </c>
      <c r="C153" s="1190">
        <v>-441455.97</v>
      </c>
      <c r="D153" s="1190">
        <v>-52140.89</v>
      </c>
      <c r="E153" s="1190">
        <v>-493596.86</v>
      </c>
      <c r="F153" s="1188" t="s">
        <v>847</v>
      </c>
      <c r="G153" s="1188" t="s">
        <v>868</v>
      </c>
      <c r="H153" s="1188" t="s">
        <v>3845</v>
      </c>
      <c r="I153" s="608"/>
      <c r="J153" s="608"/>
      <c r="K153" s="608"/>
      <c r="L153" s="609" t="str">
        <f t="shared" si="18"/>
        <v>2291</v>
      </c>
      <c r="M153" s="610" t="str">
        <f t="shared" si="0"/>
        <v>COMPTES FOURNISSEURS</v>
      </c>
      <c r="N153" s="611">
        <f>+IF(OR($Q153=Parametres!$G$2,$Q153=Parametres!$G$3),I153,C153)</f>
        <v>-441455.97</v>
      </c>
      <c r="O153" s="611">
        <f>+IF(OR($Q153=Parametres!$G$2,$Q153=Parametres!$G$3),J153,D153)</f>
        <v>-52140.89</v>
      </c>
      <c r="P153" s="611">
        <f>+IF(OR($Q153=Parametres!$G$2,$Q153=Parametres!$G$3),K153,E153)</f>
        <v>-493596.86</v>
      </c>
      <c r="Q153" s="610" t="str">
        <f t="shared" si="24"/>
        <v>3-Passifs</v>
      </c>
      <c r="R153" s="609" t="str">
        <f t="shared" si="25"/>
        <v>2291</v>
      </c>
      <c r="S153" s="610" t="str">
        <f t="shared" si="26"/>
        <v>_</v>
      </c>
      <c r="T153" s="612" t="str">
        <f>+VLOOKUP($L153,Data_Validation!$A:$D,1,0)</f>
        <v>2291</v>
      </c>
      <c r="U153" s="612" t="str">
        <f>+VLOOKUP($L153,Data_Validation!$A:$D,3,0)</f>
        <v>Bilan</v>
      </c>
      <c r="V153" s="612" t="str">
        <f>+VLOOKUP($L153,Data_Validation!$A:$D,4,0)</f>
        <v>Comptes à Payer Fournisseurs</v>
      </c>
      <c r="W153" s="612" t="str">
        <f>+VLOOKUP($L153,Data_Validation!$A:$E,5,0)</f>
        <v>$</v>
      </c>
      <c r="X153" s="612">
        <f>+VLOOKUP($L153,Data_Validation!$A:$F,6,0)</f>
        <v>0</v>
      </c>
    </row>
    <row r="154" spans="1:24" ht="15" customHeight="1">
      <c r="A154" s="1188" t="s">
        <v>869</v>
      </c>
      <c r="B154" s="1188" t="s">
        <v>1624</v>
      </c>
      <c r="C154" s="1190">
        <v>0</v>
      </c>
      <c r="D154" s="1190">
        <v>51837.45</v>
      </c>
      <c r="E154" s="1190">
        <v>51837.45</v>
      </c>
      <c r="F154" s="1188" t="s">
        <v>847</v>
      </c>
      <c r="G154" s="1188" t="s">
        <v>868</v>
      </c>
      <c r="H154" s="1188" t="s">
        <v>3845</v>
      </c>
      <c r="I154" s="607"/>
      <c r="J154" s="607"/>
      <c r="K154" s="607"/>
      <c r="L154" s="609" t="str">
        <f t="shared" si="18"/>
        <v>2292</v>
      </c>
      <c r="M154" s="610" t="str">
        <f t="shared" si="0"/>
        <v>ECHANGE ENTRE CONCESSIONNAIRES</v>
      </c>
      <c r="N154" s="611">
        <f>+IF(OR($Q154=Parametres!$G$2,$Q154=Parametres!$G$3),I154,C154)</f>
        <v>0</v>
      </c>
      <c r="O154" s="611">
        <f>+IF(OR($Q154=Parametres!$G$2,$Q154=Parametres!$G$3),J154,D154)</f>
        <v>51837.45</v>
      </c>
      <c r="P154" s="611">
        <f>+IF(OR($Q154=Parametres!$G$2,$Q154=Parametres!$G$3),K154,E154)</f>
        <v>51837.45</v>
      </c>
      <c r="Q154" s="610" t="str">
        <f t="shared" si="24"/>
        <v>3-Passifs</v>
      </c>
      <c r="R154" s="609" t="str">
        <f t="shared" si="25"/>
        <v>2291</v>
      </c>
      <c r="S154" s="610" t="str">
        <f t="shared" si="26"/>
        <v>_</v>
      </c>
      <c r="T154" s="612" t="str">
        <f>+VLOOKUP($L154,Data_Validation!$A:$D,1,0)</f>
        <v>2292</v>
      </c>
      <c r="U154" s="612" t="str">
        <f>+VLOOKUP($L154,Data_Validation!$A:$D,3,0)</f>
        <v>Bilan</v>
      </c>
      <c r="V154" s="612" t="str">
        <f>+VLOOKUP($L154,Data_Validation!$A:$D,4,0)</f>
        <v>Autres Comptes à Payer</v>
      </c>
      <c r="W154" s="612" t="str">
        <f>+VLOOKUP($L154,Data_Validation!$A:$E,5,0)</f>
        <v>$</v>
      </c>
      <c r="X154" s="612">
        <f>+VLOOKUP($L154,Data_Validation!$A:$F,6,0)</f>
        <v>0</v>
      </c>
    </row>
    <row r="155" spans="1:24" ht="15.75" customHeight="1">
      <c r="A155" s="1188" t="s">
        <v>870</v>
      </c>
      <c r="B155" s="1188" t="s">
        <v>873</v>
      </c>
      <c r="C155" s="1190">
        <v>-10703.4</v>
      </c>
      <c r="D155" s="1190">
        <v>624.58000000000004</v>
      </c>
      <c r="E155" s="1190">
        <v>-10078.82</v>
      </c>
      <c r="F155" s="1188" t="s">
        <v>847</v>
      </c>
      <c r="G155" s="1188" t="s">
        <v>863</v>
      </c>
      <c r="H155" s="1188" t="s">
        <v>3845</v>
      </c>
      <c r="I155" s="608"/>
      <c r="J155" s="608"/>
      <c r="K155" s="608"/>
      <c r="L155" s="609" t="str">
        <f t="shared" si="18"/>
        <v>2293</v>
      </c>
      <c r="M155" s="610" t="str">
        <f t="shared" si="0"/>
        <v>PROVISIONS GARANTIES USAGEES</v>
      </c>
      <c r="N155" s="611">
        <f>+IF(OR($Q155=Parametres!$G$2,$Q155=Parametres!$G$3),I155,C155)</f>
        <v>-10703.4</v>
      </c>
      <c r="O155" s="611">
        <f>+IF(OR($Q155=Parametres!$G$2,$Q155=Parametres!$G$3),J155,D155)</f>
        <v>624.58000000000004</v>
      </c>
      <c r="P155" s="611">
        <f>+IF(OR($Q155=Parametres!$G$2,$Q155=Parametres!$G$3),K155,E155)</f>
        <v>-10078.82</v>
      </c>
      <c r="Q155" s="610" t="str">
        <f t="shared" si="24"/>
        <v>3-Passifs</v>
      </c>
      <c r="R155" s="609" t="str">
        <f t="shared" si="25"/>
        <v>2283</v>
      </c>
      <c r="S155" s="610" t="str">
        <f t="shared" si="26"/>
        <v>_</v>
      </c>
      <c r="T155" s="612" t="str">
        <f>+VLOOKUP($L155,Data_Validation!$A:$D,1,0)</f>
        <v>2293</v>
      </c>
      <c r="U155" s="612" t="str">
        <f>+VLOOKUP($L155,Data_Validation!$A:$D,3,0)</f>
        <v>Bilan</v>
      </c>
      <c r="V155" s="612" t="str">
        <f>+VLOOKUP($L155,Data_Validation!$A:$D,4,0)</f>
        <v>Autres Courus</v>
      </c>
      <c r="W155" s="612" t="str">
        <f>+VLOOKUP($L155,Data_Validation!$A:$E,5,0)</f>
        <v>$</v>
      </c>
      <c r="X155" s="612">
        <f>+VLOOKUP($L155,Data_Validation!$A:$F,6,0)</f>
        <v>0</v>
      </c>
    </row>
    <row r="156" spans="1:24" ht="15" customHeight="1">
      <c r="A156" s="1188" t="s">
        <v>875</v>
      </c>
      <c r="B156" s="1188" t="s">
        <v>1632</v>
      </c>
      <c r="C156" s="1190">
        <v>0</v>
      </c>
      <c r="D156" s="1190">
        <v>-1000</v>
      </c>
      <c r="E156" s="1190">
        <v>-1000</v>
      </c>
      <c r="F156" s="1188" t="s">
        <v>847</v>
      </c>
      <c r="G156" s="1188" t="s">
        <v>863</v>
      </c>
      <c r="H156" s="1188" t="s">
        <v>3845</v>
      </c>
      <c r="I156" s="607"/>
      <c r="J156" s="607"/>
      <c r="K156" s="607"/>
      <c r="L156" s="609" t="str">
        <f t="shared" si="18"/>
        <v>2297</v>
      </c>
      <c r="M156" s="610" t="str">
        <f t="shared" si="0"/>
        <v>RESERVE RENOUVELLEMENT</v>
      </c>
      <c r="N156" s="611">
        <f>+IF(OR($Q156=Parametres!$G$2,$Q156=Parametres!$G$3),I156,C156)</f>
        <v>0</v>
      </c>
      <c r="O156" s="611">
        <f>+IF(OR($Q156=Parametres!$G$2,$Q156=Parametres!$G$3),J156,D156)</f>
        <v>-1000</v>
      </c>
      <c r="P156" s="611">
        <f>+IF(OR($Q156=Parametres!$G$2,$Q156=Parametres!$G$3),K156,E156)</f>
        <v>-1000</v>
      </c>
      <c r="Q156" s="610" t="str">
        <f t="shared" si="24"/>
        <v>3-Passifs</v>
      </c>
      <c r="R156" s="609" t="str">
        <f t="shared" si="25"/>
        <v>2283</v>
      </c>
      <c r="S156" s="610" t="str">
        <f t="shared" si="26"/>
        <v>_</v>
      </c>
      <c r="T156" s="612" t="str">
        <f>+VLOOKUP($L156,Data_Validation!$A:$D,1,0)</f>
        <v>2297</v>
      </c>
      <c r="U156" s="612" t="str">
        <f>+VLOOKUP($L156,Data_Validation!$A:$D,3,0)</f>
        <v>Bilan</v>
      </c>
      <c r="V156" s="612" t="str">
        <f>+VLOOKUP($L156,Data_Validation!$A:$D,4,0)</f>
        <v>Autres Courus</v>
      </c>
      <c r="W156" s="612" t="str">
        <f>+VLOOKUP($L156,Data_Validation!$A:$E,5,0)</f>
        <v>$</v>
      </c>
      <c r="X156" s="612">
        <f>+VLOOKUP($L156,Data_Validation!$A:$F,6,0)</f>
        <v>0</v>
      </c>
    </row>
    <row r="157" spans="1:24" ht="15" customHeight="1">
      <c r="A157" s="1188" t="s">
        <v>3280</v>
      </c>
      <c r="B157" s="1188" t="s">
        <v>3281</v>
      </c>
      <c r="C157" s="1190">
        <v>27.79</v>
      </c>
      <c r="D157" s="1190">
        <v>0</v>
      </c>
      <c r="E157" s="1190">
        <v>27.79</v>
      </c>
      <c r="F157" s="1188" t="s">
        <v>847</v>
      </c>
      <c r="G157" s="1188" t="s">
        <v>3281</v>
      </c>
      <c r="H157" s="1188" t="s">
        <v>3845</v>
      </c>
      <c r="I157" s="608"/>
      <c r="J157" s="608"/>
      <c r="K157" s="608"/>
      <c r="L157" s="609" t="str">
        <f t="shared" si="18"/>
        <v>2305</v>
      </c>
      <c r="M157" s="610" t="str">
        <f t="shared" si="0"/>
        <v>FUTA ASSURANCE EMPLOYE</v>
      </c>
      <c r="N157" s="611">
        <f>+IF(OR($Q157=Parametres!$G$2,$Q157=Parametres!$G$3),I157,C157)</f>
        <v>27.79</v>
      </c>
      <c r="O157" s="611">
        <f>+IF(OR($Q157=Parametres!$G$2,$Q157=Parametres!$G$3),J157,D157)</f>
        <v>0</v>
      </c>
      <c r="P157" s="611">
        <f>+IF(OR($Q157=Parametres!$G$2,$Q157=Parametres!$G$3),K157,E157)</f>
        <v>27.79</v>
      </c>
      <c r="Q157" s="610" t="str">
        <f t="shared" si="24"/>
        <v>3-Passifs</v>
      </c>
      <c r="R157" s="609" t="str">
        <f t="shared" si="25"/>
        <v>2305</v>
      </c>
      <c r="S157" s="610" t="str">
        <f t="shared" si="26"/>
        <v>_</v>
      </c>
      <c r="T157" s="612" t="str">
        <f>+VLOOKUP($L157,Data_Validation!$A:$D,1,0)</f>
        <v>2305</v>
      </c>
      <c r="U157" s="612" t="str">
        <f>+VLOOKUP($L157,Data_Validation!$A:$D,3,0)</f>
        <v>Bilan</v>
      </c>
      <c r="V157" s="612" t="str">
        <f>+VLOOKUP($L157,Data_Validation!$A:$D,4,0)</f>
        <v>DAS à Payer</v>
      </c>
      <c r="W157" s="612" t="str">
        <f>+VLOOKUP($L157,Data_Validation!$A:$E,5,0)</f>
        <v>$</v>
      </c>
      <c r="X157" s="612">
        <f>+VLOOKUP($L157,Data_Validation!$A:$F,6,0)</f>
        <v>0</v>
      </c>
    </row>
    <row r="158" spans="1:24" ht="15" customHeight="1">
      <c r="A158" s="1188" t="s">
        <v>876</v>
      </c>
      <c r="B158" s="1188" t="s">
        <v>877</v>
      </c>
      <c r="C158" s="1190">
        <v>28701.01</v>
      </c>
      <c r="D158" s="1190">
        <v>-6372.83</v>
      </c>
      <c r="E158" s="1190">
        <v>22328.18</v>
      </c>
      <c r="F158" s="1188" t="s">
        <v>847</v>
      </c>
      <c r="G158" s="1188" t="s">
        <v>877</v>
      </c>
      <c r="H158" s="1188" t="s">
        <v>3845</v>
      </c>
      <c r="I158" s="619"/>
      <c r="J158" s="619"/>
      <c r="K158" s="619"/>
      <c r="L158" s="609" t="str">
        <f t="shared" si="18"/>
        <v>2315</v>
      </c>
      <c r="M158" s="610" t="str">
        <f t="shared" si="0"/>
        <v>PRIME ASSURANCE GROUPE</v>
      </c>
      <c r="N158" s="611">
        <f>+IF(OR($Q158=Parametres!$G$2,$Q158=Parametres!$G$3),I158,C158)</f>
        <v>28701.01</v>
      </c>
      <c r="O158" s="611">
        <f>+IF(OR($Q158=Parametres!$G$2,$Q158=Parametres!$G$3),J158,D158)</f>
        <v>-6372.83</v>
      </c>
      <c r="P158" s="611">
        <f>+IF(OR($Q158=Parametres!$G$2,$Q158=Parametres!$G$3),K158,E158)</f>
        <v>22328.18</v>
      </c>
      <c r="Q158" s="610" t="str">
        <f t="shared" si="24"/>
        <v>3-Passifs</v>
      </c>
      <c r="R158" s="609" t="str">
        <f t="shared" si="25"/>
        <v>2315</v>
      </c>
      <c r="S158" s="610" t="str">
        <f t="shared" si="26"/>
        <v>_</v>
      </c>
      <c r="T158" s="612" t="str">
        <f>+VLOOKUP($L158,Data_Validation!$A:$D,1,0)</f>
        <v>2315</v>
      </c>
      <c r="U158" s="612" t="str">
        <f>+VLOOKUP($L158,Data_Validation!$A:$D,3,0)</f>
        <v>Bilan</v>
      </c>
      <c r="V158" s="612" t="str">
        <f>+VLOOKUP($L158,Data_Validation!$A:$D,4,0)</f>
        <v>DAS à Payer</v>
      </c>
      <c r="W158" s="612" t="str">
        <f>+VLOOKUP($L158,Data_Validation!$A:$E,5,0)</f>
        <v>$</v>
      </c>
      <c r="X158" s="612">
        <f>+VLOOKUP($L158,Data_Validation!$A:$F,6,0)</f>
        <v>0</v>
      </c>
    </row>
    <row r="159" spans="1:24" ht="15.75" customHeight="1">
      <c r="A159" s="1188" t="s">
        <v>878</v>
      </c>
      <c r="B159" s="1188" t="s">
        <v>1640</v>
      </c>
      <c r="C159" s="1190">
        <v>52.35</v>
      </c>
      <c r="D159" s="1190">
        <v>0</v>
      </c>
      <c r="E159" s="1190">
        <v>52.35</v>
      </c>
      <c r="F159" s="1188" t="s">
        <v>847</v>
      </c>
      <c r="G159" s="1188" t="s">
        <v>877</v>
      </c>
      <c r="H159" s="1188" t="s">
        <v>3845</v>
      </c>
      <c r="I159" s="620"/>
      <c r="J159" s="620"/>
      <c r="K159" s="620"/>
      <c r="L159" s="609" t="str">
        <f t="shared" si="18"/>
        <v>2335</v>
      </c>
      <c r="M159" s="610" t="str">
        <f t="shared" si="0"/>
        <v>COMITE SOCIAL</v>
      </c>
      <c r="N159" s="611">
        <f>+IF(OR($Q159=Parametres!$G$2,$Q159=Parametres!$G$3),I159,C159)</f>
        <v>52.35</v>
      </c>
      <c r="O159" s="611">
        <f>+IF(OR($Q159=Parametres!$G$2,$Q159=Parametres!$G$3),J159,D159)</f>
        <v>0</v>
      </c>
      <c r="P159" s="611">
        <f>+IF(OR($Q159=Parametres!$G$2,$Q159=Parametres!$G$3),K159,E159)</f>
        <v>52.35</v>
      </c>
      <c r="Q159" s="610" t="str">
        <f t="shared" si="24"/>
        <v>3-Passifs</v>
      </c>
      <c r="R159" s="609" t="str">
        <f t="shared" si="25"/>
        <v>2315</v>
      </c>
      <c r="S159" s="610" t="str">
        <f t="shared" si="26"/>
        <v>_</v>
      </c>
      <c r="T159" s="612" t="str">
        <f>+VLOOKUP($L159,Data_Validation!$A:$D,1,0)</f>
        <v>2335</v>
      </c>
      <c r="U159" s="612" t="str">
        <f>+VLOOKUP($L159,Data_Validation!$A:$D,3,0)</f>
        <v>Bilan</v>
      </c>
      <c r="V159" s="612" t="str">
        <f>+VLOOKUP($L159,Data_Validation!$A:$D,4,0)</f>
        <v>DAS à Payer</v>
      </c>
      <c r="W159" s="612" t="str">
        <f>+VLOOKUP($L159,Data_Validation!$A:$E,5,0)</f>
        <v>$</v>
      </c>
      <c r="X159" s="612">
        <f>+VLOOKUP($L159,Data_Validation!$A:$F,6,0)</f>
        <v>0</v>
      </c>
    </row>
    <row r="160" spans="1:24" ht="15" customHeight="1">
      <c r="A160" s="1188" t="s">
        <v>880</v>
      </c>
      <c r="B160" s="1188" t="s">
        <v>1649</v>
      </c>
      <c r="C160" s="1190">
        <v>-756.77</v>
      </c>
      <c r="D160" s="1190">
        <v>-91.58</v>
      </c>
      <c r="E160" s="1190">
        <v>-848.35</v>
      </c>
      <c r="F160" s="1188" t="s">
        <v>847</v>
      </c>
      <c r="G160" s="1188" t="s">
        <v>877</v>
      </c>
      <c r="H160" s="1188" t="s">
        <v>3845</v>
      </c>
      <c r="I160" s="619"/>
      <c r="J160" s="619"/>
      <c r="K160" s="619"/>
      <c r="L160" s="609" t="str">
        <f t="shared" si="18"/>
        <v>2343</v>
      </c>
      <c r="M160" s="610" t="str">
        <f t="shared" si="0"/>
        <v>COMITE PARITAIRE</v>
      </c>
      <c r="N160" s="611">
        <f>+IF(OR($Q160=Parametres!$G$2,$Q160=Parametres!$G$3),I160,C160)</f>
        <v>-756.77</v>
      </c>
      <c r="O160" s="611">
        <f>+IF(OR($Q160=Parametres!$G$2,$Q160=Parametres!$G$3),J160,D160)</f>
        <v>-91.58</v>
      </c>
      <c r="P160" s="611">
        <f>+IF(OR($Q160=Parametres!$G$2,$Q160=Parametres!$G$3),K160,E160)</f>
        <v>-848.35</v>
      </c>
      <c r="Q160" s="610" t="str">
        <f t="shared" si="24"/>
        <v>3-Passifs</v>
      </c>
      <c r="R160" s="609" t="str">
        <f t="shared" si="25"/>
        <v>2315</v>
      </c>
      <c r="S160" s="610" t="str">
        <f t="shared" si="26"/>
        <v>_</v>
      </c>
      <c r="T160" s="612" t="str">
        <f>+VLOOKUP($L160,Data_Validation!$A:$D,1,0)</f>
        <v>2343</v>
      </c>
      <c r="U160" s="612" t="str">
        <f>+VLOOKUP($L160,Data_Validation!$A:$D,3,0)</f>
        <v>Bilan</v>
      </c>
      <c r="V160" s="612" t="str">
        <f>+VLOOKUP($L160,Data_Validation!$A:$D,4,0)</f>
        <v>DAS à Payer</v>
      </c>
      <c r="W160" s="612" t="str">
        <f>+VLOOKUP($L160,Data_Validation!$A:$E,5,0)</f>
        <v>$</v>
      </c>
      <c r="X160" s="612">
        <f>+VLOOKUP($L160,Data_Validation!$A:$F,6,0)</f>
        <v>0</v>
      </c>
    </row>
    <row r="161" spans="1:24" ht="15" customHeight="1">
      <c r="A161" s="1188" t="s">
        <v>882</v>
      </c>
      <c r="B161" s="1188" t="s">
        <v>883</v>
      </c>
      <c r="C161" s="1190">
        <v>-9200</v>
      </c>
      <c r="D161" s="1190">
        <v>1500</v>
      </c>
      <c r="E161" s="1190">
        <v>-7700</v>
      </c>
      <c r="F161" s="1188" t="s">
        <v>847</v>
      </c>
      <c r="G161" s="1188" t="s">
        <v>883</v>
      </c>
      <c r="H161" s="1188" t="s">
        <v>3845</v>
      </c>
      <c r="I161" s="620"/>
      <c r="J161" s="620"/>
      <c r="K161" s="620"/>
      <c r="L161" s="609" t="str">
        <f t="shared" si="18"/>
        <v>2401</v>
      </c>
      <c r="M161" s="610" t="str">
        <f t="shared" si="0"/>
        <v>DEPOTS FIDUCIE-VENTE CLIENTS</v>
      </c>
      <c r="N161" s="611">
        <f>+IF(OR($Q161=Parametres!$G$2,$Q161=Parametres!$G$3),I161,C161)</f>
        <v>-9200</v>
      </c>
      <c r="O161" s="611">
        <f>+IF(OR($Q161=Parametres!$G$2,$Q161=Parametres!$G$3),J161,D161)</f>
        <v>1500</v>
      </c>
      <c r="P161" s="611">
        <f>+IF(OR($Q161=Parametres!$G$2,$Q161=Parametres!$G$3),K161,E161)</f>
        <v>-7700</v>
      </c>
      <c r="Q161" s="610" t="str">
        <f t="shared" si="24"/>
        <v>3-Passifs</v>
      </c>
      <c r="R161" s="609" t="str">
        <f t="shared" si="25"/>
        <v>2401</v>
      </c>
      <c r="S161" s="610" t="str">
        <f t="shared" si="26"/>
        <v>_</v>
      </c>
      <c r="T161" s="612" t="str">
        <f>+VLOOKUP($L161,Data_Validation!$A:$D,1,0)</f>
        <v>2401</v>
      </c>
      <c r="U161" s="612" t="str">
        <f>+VLOOKUP($L161,Data_Validation!$A:$D,3,0)</f>
        <v>Bilan</v>
      </c>
      <c r="V161" s="612" t="str">
        <f>+VLOOKUP($L161,Data_Validation!$A:$D,4,0)</f>
        <v>Dépôts de Client</v>
      </c>
      <c r="W161" s="612" t="str">
        <f>+VLOOKUP($L161,Data_Validation!$A:$E,5,0)</f>
        <v>$</v>
      </c>
      <c r="X161" s="612">
        <f>+VLOOKUP($L161,Data_Validation!$A:$F,6,0)</f>
        <v>0</v>
      </c>
    </row>
    <row r="162" spans="1:24" ht="15" customHeight="1">
      <c r="A162" s="1188" t="s">
        <v>884</v>
      </c>
      <c r="B162" s="1188" t="s">
        <v>885</v>
      </c>
      <c r="C162" s="1190">
        <v>-22489.85</v>
      </c>
      <c r="D162" s="1190">
        <v>-3945.33</v>
      </c>
      <c r="E162" s="1190">
        <v>-26435.18</v>
      </c>
      <c r="F162" s="1188" t="s">
        <v>847</v>
      </c>
      <c r="G162" s="1188" t="s">
        <v>885</v>
      </c>
      <c r="H162" s="1188" t="s">
        <v>3845</v>
      </c>
      <c r="I162" s="608"/>
      <c r="J162" s="608"/>
      <c r="K162" s="608"/>
      <c r="L162" s="609" t="str">
        <f t="shared" si="18"/>
        <v>2501</v>
      </c>
      <c r="M162" s="610" t="str">
        <f t="shared" si="0"/>
        <v>COMMISSION A PAYER</v>
      </c>
      <c r="N162" s="611">
        <f>+IF(OR($Q162=Parametres!$G$2,$Q162=Parametres!$G$3),I162,C162)</f>
        <v>-22489.85</v>
      </c>
      <c r="O162" s="611">
        <f>+IF(OR($Q162=Parametres!$G$2,$Q162=Parametres!$G$3),J162,D162)</f>
        <v>-3945.33</v>
      </c>
      <c r="P162" s="611">
        <f>+IF(OR($Q162=Parametres!$G$2,$Q162=Parametres!$G$3),K162,E162)</f>
        <v>-26435.18</v>
      </c>
      <c r="Q162" s="610" t="str">
        <f t="shared" si="24"/>
        <v>3-Passifs</v>
      </c>
      <c r="R162" s="609" t="str">
        <f t="shared" si="25"/>
        <v>2501</v>
      </c>
      <c r="S162" s="610" t="str">
        <f t="shared" si="26"/>
        <v>_</v>
      </c>
      <c r="T162" s="612" t="str">
        <f>+VLOOKUP($L162,Data_Validation!$A:$D,1,0)</f>
        <v>2501</v>
      </c>
      <c r="U162" s="612" t="str">
        <f>+VLOOKUP($L162,Data_Validation!$A:$D,3,0)</f>
        <v>Bilan</v>
      </c>
      <c r="V162" s="612" t="str">
        <f>+VLOOKUP($L162,Data_Validation!$A:$D,4,0)</f>
        <v>Salaires à Payer</v>
      </c>
      <c r="W162" s="612" t="str">
        <f>+VLOOKUP($L162,Data_Validation!$A:$E,5,0)</f>
        <v>$</v>
      </c>
      <c r="X162" s="612">
        <f>+VLOOKUP($L162,Data_Validation!$A:$F,6,0)</f>
        <v>0</v>
      </c>
    </row>
    <row r="163" spans="1:24" ht="15.75" customHeight="1">
      <c r="A163" s="1188" t="s">
        <v>886</v>
      </c>
      <c r="B163" s="1188" t="s">
        <v>3322</v>
      </c>
      <c r="C163" s="1190">
        <v>0</v>
      </c>
      <c r="D163" s="1190">
        <v>-59.15</v>
      </c>
      <c r="E163" s="1190">
        <v>-59.15</v>
      </c>
      <c r="F163" s="1188" t="s">
        <v>847</v>
      </c>
      <c r="G163" s="1188" t="s">
        <v>887</v>
      </c>
      <c r="H163" s="1188" t="s">
        <v>3845</v>
      </c>
      <c r="I163" s="616"/>
      <c r="J163" s="607"/>
      <c r="K163" s="616"/>
      <c r="L163" s="609" t="str">
        <f t="shared" si="18"/>
        <v>2502</v>
      </c>
      <c r="M163" s="610" t="str">
        <f t="shared" si="0"/>
        <v>Compte de depense a payer</v>
      </c>
      <c r="N163" s="611">
        <f>+IF(OR($Q163=Parametres!$G$2,$Q163=Parametres!$G$3),I163,C163)</f>
        <v>0</v>
      </c>
      <c r="O163" s="611">
        <f>+IF(OR($Q163=Parametres!$G$2,$Q163=Parametres!$G$3),J163,D163)</f>
        <v>-59.15</v>
      </c>
      <c r="P163" s="611">
        <f>+IF(OR($Q163=Parametres!$G$2,$Q163=Parametres!$G$3),K163,E163)</f>
        <v>-59.15</v>
      </c>
      <c r="Q163" s="610" t="str">
        <f t="shared" si="24"/>
        <v>3-Passifs</v>
      </c>
      <c r="R163" s="609" t="str">
        <f t="shared" si="25"/>
        <v>250</v>
      </c>
      <c r="S163" s="610" t="str">
        <f t="shared" si="26"/>
        <v>_</v>
      </c>
      <c r="T163" s="612" t="str">
        <f>+VLOOKUP($L163,Data_Validation!$A:$D,1,0)</f>
        <v>2502</v>
      </c>
      <c r="U163" s="612" t="str">
        <f>+VLOOKUP($L163,Data_Validation!$A:$D,3,0)</f>
        <v>Bilan</v>
      </c>
      <c r="V163" s="612" t="str">
        <f>+VLOOKUP($L163,Data_Validation!$A:$D,4,0)</f>
        <v>Salaires à Payer</v>
      </c>
      <c r="W163" s="612" t="str">
        <f>+VLOOKUP($L163,Data_Validation!$A:$E,5,0)</f>
        <v>$</v>
      </c>
      <c r="X163" s="612">
        <f>+VLOOKUP($L163,Data_Validation!$A:$F,6,0)</f>
        <v>0</v>
      </c>
    </row>
    <row r="164" spans="1:24" ht="15" customHeight="1">
      <c r="A164" s="1188" t="s">
        <v>888</v>
      </c>
      <c r="B164" s="1188" t="s">
        <v>889</v>
      </c>
      <c r="C164" s="1190">
        <v>-86431.19</v>
      </c>
      <c r="D164" s="1190">
        <v>14168.75</v>
      </c>
      <c r="E164" s="1190">
        <v>-72262.44</v>
      </c>
      <c r="F164" s="1188" t="s">
        <v>847</v>
      </c>
      <c r="G164" s="1188" t="s">
        <v>889</v>
      </c>
      <c r="H164" s="1188" t="s">
        <v>3845</v>
      </c>
      <c r="I164" s="607"/>
      <c r="J164" s="607"/>
      <c r="K164" s="607"/>
      <c r="L164" s="609" t="str">
        <f t="shared" si="18"/>
        <v>2503</v>
      </c>
      <c r="M164" s="610" t="str">
        <f t="shared" si="0"/>
        <v>SALAIRES DES EMPLOYES</v>
      </c>
      <c r="N164" s="611">
        <f>+IF(OR($Q164=Parametres!$G$2,$Q164=Parametres!$G$3),I164,C164)</f>
        <v>-86431.19</v>
      </c>
      <c r="O164" s="611">
        <f>+IF(OR($Q164=Parametres!$G$2,$Q164=Parametres!$G$3),J164,D164)</f>
        <v>14168.75</v>
      </c>
      <c r="P164" s="611">
        <f>+IF(OR($Q164=Parametres!$G$2,$Q164=Parametres!$G$3),K164,E164)</f>
        <v>-72262.44</v>
      </c>
      <c r="Q164" s="610" t="str">
        <f t="shared" si="24"/>
        <v>3-Passifs</v>
      </c>
      <c r="R164" s="609" t="str">
        <f t="shared" si="25"/>
        <v>2503</v>
      </c>
      <c r="S164" s="610" t="str">
        <f t="shared" si="26"/>
        <v>_</v>
      </c>
      <c r="T164" s="612" t="str">
        <f>+VLOOKUP($L164,Data_Validation!$A:$D,1,0)</f>
        <v>2503</v>
      </c>
      <c r="U164" s="612" t="str">
        <f>+VLOOKUP($L164,Data_Validation!$A:$D,3,0)</f>
        <v>Bilan</v>
      </c>
      <c r="V164" s="612" t="str">
        <f>+VLOOKUP($L164,Data_Validation!$A:$D,4,0)</f>
        <v>Salaires à Payer</v>
      </c>
      <c r="W164" s="612" t="str">
        <f>+VLOOKUP($L164,Data_Validation!$A:$E,5,0)</f>
        <v>$</v>
      </c>
      <c r="X164" s="612">
        <f>+VLOOKUP($L164,Data_Validation!$A:$F,6,0)</f>
        <v>0</v>
      </c>
    </row>
    <row r="165" spans="1:24" ht="15" customHeight="1">
      <c r="A165" s="1188" t="s">
        <v>891</v>
      </c>
      <c r="B165" s="1188" t="s">
        <v>1685</v>
      </c>
      <c r="C165" s="1190">
        <v>-246218.8</v>
      </c>
      <c r="D165" s="1190">
        <v>14835.75</v>
      </c>
      <c r="E165" s="1190">
        <v>-231383.05</v>
      </c>
      <c r="F165" s="1188" t="s">
        <v>847</v>
      </c>
      <c r="G165" s="1188" t="s">
        <v>889</v>
      </c>
      <c r="H165" s="1188" t="s">
        <v>3845</v>
      </c>
      <c r="I165" s="616"/>
      <c r="J165" s="616"/>
      <c r="K165" s="616"/>
      <c r="L165" s="609" t="str">
        <f t="shared" si="18"/>
        <v>2509</v>
      </c>
      <c r="M165" s="610" t="str">
        <f t="shared" si="0"/>
        <v>SALAIRES DE VACANCES</v>
      </c>
      <c r="N165" s="611">
        <f>+IF(OR($Q165=Parametres!$G$2,$Q165=Parametres!$G$3),I165,C165)</f>
        <v>-246218.8</v>
      </c>
      <c r="O165" s="611">
        <f>+IF(OR($Q165=Parametres!$G$2,$Q165=Parametres!$G$3),J165,D165)</f>
        <v>14835.75</v>
      </c>
      <c r="P165" s="611">
        <f>+IF(OR($Q165=Parametres!$G$2,$Q165=Parametres!$G$3),K165,E165)</f>
        <v>-231383.05</v>
      </c>
      <c r="Q165" s="610" t="str">
        <f t="shared" si="24"/>
        <v>3-Passifs</v>
      </c>
      <c r="R165" s="609" t="str">
        <f t="shared" si="25"/>
        <v>2503</v>
      </c>
      <c r="S165" s="610" t="str">
        <f t="shared" si="26"/>
        <v>_</v>
      </c>
      <c r="T165" s="612" t="str">
        <f>+VLOOKUP($L165,Data_Validation!$A:$D,1,0)</f>
        <v>2509</v>
      </c>
      <c r="U165" s="612" t="str">
        <f>+VLOOKUP($L165,Data_Validation!$A:$D,3,0)</f>
        <v>Bilan</v>
      </c>
      <c r="V165" s="612" t="str">
        <f>+VLOOKUP($L165,Data_Validation!$A:$D,4,0)</f>
        <v>Salaires à Payer</v>
      </c>
      <c r="W165" s="612" t="str">
        <f>+VLOOKUP($L165,Data_Validation!$A:$E,5,0)</f>
        <v>$</v>
      </c>
      <c r="X165" s="612">
        <f>+VLOOKUP($L165,Data_Validation!$A:$F,6,0)</f>
        <v>0</v>
      </c>
    </row>
    <row r="166" spans="1:24" ht="15" customHeight="1">
      <c r="A166" s="1188" t="s">
        <v>892</v>
      </c>
      <c r="B166" s="1188" t="s">
        <v>1688</v>
      </c>
      <c r="C166" s="1190">
        <v>-2027.95</v>
      </c>
      <c r="D166" s="1190">
        <v>0</v>
      </c>
      <c r="E166" s="1190">
        <v>-2027.95</v>
      </c>
      <c r="F166" s="1188" t="s">
        <v>847</v>
      </c>
      <c r="G166" s="1188" t="s">
        <v>889</v>
      </c>
      <c r="H166" s="1188" t="s">
        <v>3845</v>
      </c>
      <c r="I166" s="621"/>
      <c r="J166" s="621"/>
      <c r="K166" s="621"/>
      <c r="L166" s="609" t="str">
        <f t="shared" si="18"/>
        <v>2511</v>
      </c>
      <c r="M166" s="610" t="str">
        <f t="shared" si="0"/>
        <v>JOURNEE MALADIE</v>
      </c>
      <c r="N166" s="611">
        <f>+IF(OR($Q166=Parametres!$G$2,$Q166=Parametres!$G$3),I166,C166)</f>
        <v>-2027.95</v>
      </c>
      <c r="O166" s="611">
        <f>+IF(OR($Q166=Parametres!$G$2,$Q166=Parametres!$G$3),J166,D166)</f>
        <v>0</v>
      </c>
      <c r="P166" s="611">
        <f>+IF(OR($Q166=Parametres!$G$2,$Q166=Parametres!$G$3),K166,E166)</f>
        <v>-2027.95</v>
      </c>
      <c r="Q166" s="610" t="str">
        <f t="shared" si="24"/>
        <v>3-Passifs</v>
      </c>
      <c r="R166" s="609" t="str">
        <f t="shared" si="25"/>
        <v>2503</v>
      </c>
      <c r="S166" s="610" t="str">
        <f t="shared" si="26"/>
        <v>_</v>
      </c>
      <c r="T166" s="612" t="str">
        <f>+VLOOKUP($L166,Data_Validation!$A:$D,1,0)</f>
        <v>2511</v>
      </c>
      <c r="U166" s="612" t="str">
        <f>+VLOOKUP($L166,Data_Validation!$A:$D,3,0)</f>
        <v>Bilan</v>
      </c>
      <c r="V166" s="612" t="str">
        <f>+VLOOKUP($L166,Data_Validation!$A:$D,4,0)</f>
        <v>Salaires à Payer</v>
      </c>
      <c r="W166" s="612" t="str">
        <f>+VLOOKUP($L166,Data_Validation!$A:$E,5,0)</f>
        <v>$</v>
      </c>
      <c r="X166" s="612">
        <f>+VLOOKUP($L166,Data_Validation!$A:$F,6,0)</f>
        <v>0</v>
      </c>
    </row>
    <row r="167" spans="1:24" ht="15" customHeight="1">
      <c r="A167" s="1188" t="s">
        <v>893</v>
      </c>
      <c r="B167" s="1188" t="s">
        <v>894</v>
      </c>
      <c r="C167" s="1190">
        <v>-196610</v>
      </c>
      <c r="D167" s="1190">
        <v>60053</v>
      </c>
      <c r="E167" s="1190">
        <v>-136557</v>
      </c>
      <c r="F167" s="1188" t="s">
        <v>847</v>
      </c>
      <c r="G167" s="1188" t="s">
        <v>894</v>
      </c>
      <c r="H167" s="1188" t="s">
        <v>3845</v>
      </c>
      <c r="I167" s="621"/>
      <c r="J167" s="621"/>
      <c r="K167" s="621"/>
      <c r="L167" s="609" t="str">
        <f t="shared" si="18"/>
        <v>2561</v>
      </c>
      <c r="M167" s="610" t="str">
        <f t="shared" si="0"/>
        <v>REVENUE HOLDBACK DIFFERE</v>
      </c>
      <c r="N167" s="611">
        <f>+IF(OR($Q167=Parametres!$G$2,$Q167=Parametres!$G$3),I167,C167)</f>
        <v>-196610</v>
      </c>
      <c r="O167" s="611">
        <f>+IF(OR($Q167=Parametres!$G$2,$Q167=Parametres!$G$3),J167,D167)</f>
        <v>60053</v>
      </c>
      <c r="P167" s="611">
        <f>+IF(OR($Q167=Parametres!$G$2,$Q167=Parametres!$G$3),K167,E167)</f>
        <v>-136557</v>
      </c>
      <c r="Q167" s="610" t="str">
        <f t="shared" si="24"/>
        <v>3-Passifs</v>
      </c>
      <c r="R167" s="609" t="str">
        <f t="shared" si="25"/>
        <v>2561</v>
      </c>
      <c r="S167" s="610" t="str">
        <f t="shared" si="26"/>
        <v>_</v>
      </c>
      <c r="T167" s="612" t="str">
        <f>+VLOOKUP($L167,Data_Validation!$A:$D,1,0)</f>
        <v>2561</v>
      </c>
      <c r="U167" s="612" t="str">
        <f>+VLOOKUP($L167,Data_Validation!$A:$D,3,0)</f>
        <v>Bilan</v>
      </c>
      <c r="V167" s="612" t="str">
        <f>+VLOOKUP($L167,Data_Validation!$A:$D,4,0)</f>
        <v>Autres Courus</v>
      </c>
      <c r="W167" s="612" t="str">
        <f>+VLOOKUP($L167,Data_Validation!$A:$E,5,0)</f>
        <v>$</v>
      </c>
      <c r="X167" s="612">
        <f>+VLOOKUP($L167,Data_Validation!$A:$F,6,0)</f>
        <v>0</v>
      </c>
    </row>
    <row r="168" spans="1:24" ht="15.75" customHeight="1">
      <c r="A168" s="1188" t="s">
        <v>897</v>
      </c>
      <c r="B168" s="1188" t="s">
        <v>898</v>
      </c>
      <c r="C168" s="1190">
        <v>-5710412</v>
      </c>
      <c r="D168" s="1190">
        <v>38412</v>
      </c>
      <c r="E168" s="1190">
        <v>-5672000</v>
      </c>
      <c r="F168" s="1188" t="s">
        <v>847</v>
      </c>
      <c r="G168" s="1188" t="s">
        <v>898</v>
      </c>
      <c r="H168" s="1188" t="s">
        <v>3845</v>
      </c>
      <c r="I168" s="621"/>
      <c r="J168" s="621"/>
      <c r="K168" s="621"/>
      <c r="L168" s="609" t="str">
        <f t="shared" si="18"/>
        <v>2801</v>
      </c>
      <c r="M168" s="610" t="str">
        <f t="shared" si="0"/>
        <v>PRET CIBC</v>
      </c>
      <c r="N168" s="611">
        <f>+IF(OR($Q168=Parametres!$G$2,$Q168=Parametres!$G$3),I168,C168)</f>
        <v>-5710412</v>
      </c>
      <c r="O168" s="611">
        <f>+IF(OR($Q168=Parametres!$G$2,$Q168=Parametres!$G$3),J168,D168)</f>
        <v>38412</v>
      </c>
      <c r="P168" s="611">
        <f>+IF(OR($Q168=Parametres!$G$2,$Q168=Parametres!$G$3),K168,E168)</f>
        <v>-5672000</v>
      </c>
      <c r="Q168" s="610" t="str">
        <f t="shared" si="24"/>
        <v>3-Passifs</v>
      </c>
      <c r="R168" s="609" t="str">
        <f t="shared" si="25"/>
        <v>2801</v>
      </c>
      <c r="S168" s="610" t="str">
        <f t="shared" si="26"/>
        <v>_</v>
      </c>
      <c r="T168" s="612" t="str">
        <f>+VLOOKUP($L168,Data_Validation!$A:$D,1,0)</f>
        <v>2801</v>
      </c>
      <c r="U168" s="612" t="str">
        <f>+VLOOKUP($L168,Data_Validation!$A:$D,3,0)</f>
        <v>Bilan</v>
      </c>
      <c r="V168" s="612" t="str">
        <f>+VLOOKUP($L168,Data_Validation!$A:$D,4,0)</f>
        <v>Dette à Long Terme</v>
      </c>
      <c r="W168" s="612" t="str">
        <f>+VLOOKUP($L168,Data_Validation!$A:$E,5,0)</f>
        <v>$</v>
      </c>
      <c r="X168" s="612">
        <f>+VLOOKUP($L168,Data_Validation!$A:$F,6,0)</f>
        <v>0</v>
      </c>
    </row>
    <row r="169" spans="1:24" ht="15" customHeight="1">
      <c r="A169" s="1188" t="s">
        <v>901</v>
      </c>
      <c r="B169" s="1188" t="s">
        <v>903</v>
      </c>
      <c r="C169" s="1190">
        <v>-2350000</v>
      </c>
      <c r="D169" s="1190">
        <v>0</v>
      </c>
      <c r="E169" s="1190">
        <v>-2350000</v>
      </c>
      <c r="F169" s="1188" t="s">
        <v>902</v>
      </c>
      <c r="G169" s="1188" t="s">
        <v>903</v>
      </c>
      <c r="H169" s="1188" t="s">
        <v>3845</v>
      </c>
      <c r="I169" s="622"/>
      <c r="J169" s="622"/>
      <c r="K169" s="622"/>
      <c r="L169" s="609" t="str">
        <f t="shared" si="18"/>
        <v>3001</v>
      </c>
      <c r="M169" s="610" t="str">
        <f t="shared" si="0"/>
        <v>ACTIONS CATEGORIE 1</v>
      </c>
      <c r="N169" s="611">
        <f>+IF(OR($Q169=Parametres!$G$2,$Q169=Parametres!$G$3),I169,C169)</f>
        <v>-2350000</v>
      </c>
      <c r="O169" s="611">
        <f>+IF(OR($Q169=Parametres!$G$2,$Q169=Parametres!$G$3),J169,D169)</f>
        <v>0</v>
      </c>
      <c r="P169" s="611">
        <f>+IF(OR($Q169=Parametres!$G$2,$Q169=Parametres!$G$3),K169,E169)</f>
        <v>-2350000</v>
      </c>
      <c r="Q169" s="610" t="str">
        <f t="shared" si="24"/>
        <v>4-Valeur nette</v>
      </c>
      <c r="R169" s="609" t="str">
        <f t="shared" si="25"/>
        <v>3001</v>
      </c>
      <c r="S169" s="610" t="str">
        <f t="shared" si="26"/>
        <v>_</v>
      </c>
      <c r="T169" s="612" t="str">
        <f>+VLOOKUP($L169,Data_Validation!$A:$D,1,0)</f>
        <v>3001</v>
      </c>
      <c r="U169" s="612" t="str">
        <f>+VLOOKUP($L169,Data_Validation!$A:$D,3,0)</f>
        <v>Bilan</v>
      </c>
      <c r="V169" s="612" t="str">
        <f>+VLOOKUP($L169,Data_Validation!$A:$D,4,0)</f>
        <v>Capital Actions</v>
      </c>
      <c r="W169" s="612" t="str">
        <f>+VLOOKUP($L169,Data_Validation!$A:$E,5,0)</f>
        <v>$</v>
      </c>
      <c r="X169" s="612">
        <f>+VLOOKUP($L169,Data_Validation!$A:$F,6,0)</f>
        <v>0</v>
      </c>
    </row>
    <row r="170" spans="1:24" ht="15" customHeight="1">
      <c r="A170" s="1188" t="s">
        <v>904</v>
      </c>
      <c r="B170" s="1188" t="s">
        <v>1713</v>
      </c>
      <c r="C170" s="1190">
        <v>-1723617</v>
      </c>
      <c r="D170" s="1190">
        <v>0</v>
      </c>
      <c r="E170" s="1190">
        <v>-1723617</v>
      </c>
      <c r="F170" s="1188" t="s">
        <v>902</v>
      </c>
      <c r="G170" s="1188" t="s">
        <v>903</v>
      </c>
      <c r="H170" s="1188" t="s">
        <v>3845</v>
      </c>
      <c r="I170" s="622"/>
      <c r="J170" s="622"/>
      <c r="K170" s="622"/>
      <c r="L170" s="609" t="str">
        <f t="shared" si="18"/>
        <v>3003</v>
      </c>
      <c r="M170" s="610" t="str">
        <f t="shared" si="0"/>
        <v>APPORT / RETRAIT</v>
      </c>
      <c r="N170" s="611">
        <f>+IF(OR($Q170=Parametres!$G$2,$Q170=Parametres!$G$3),I170,C170)</f>
        <v>-1723617</v>
      </c>
      <c r="O170" s="611">
        <f>+IF(OR($Q170=Parametres!$G$2,$Q170=Parametres!$G$3),J170,D170)</f>
        <v>0</v>
      </c>
      <c r="P170" s="611">
        <f>+IF(OR($Q170=Parametres!$G$2,$Q170=Parametres!$G$3),K170,E170)</f>
        <v>-1723617</v>
      </c>
      <c r="Q170" s="610" t="str">
        <f t="shared" si="24"/>
        <v>4-Valeur nette</v>
      </c>
      <c r="R170" s="609" t="str">
        <f t="shared" si="25"/>
        <v>3001</v>
      </c>
      <c r="S170" s="610" t="str">
        <f t="shared" si="26"/>
        <v>_</v>
      </c>
      <c r="T170" s="612" t="str">
        <f>+VLOOKUP($L170,Data_Validation!$A:$D,1,0)</f>
        <v>3003</v>
      </c>
      <c r="U170" s="612" t="str">
        <f>+VLOOKUP($L170,Data_Validation!$A:$D,3,0)</f>
        <v>Bilan</v>
      </c>
      <c r="V170" s="612" t="str">
        <f>+VLOOKUP($L170,Data_Validation!$A:$D,4,0)</f>
        <v>Apport</v>
      </c>
      <c r="W170" s="612" t="str">
        <f>+VLOOKUP($L170,Data_Validation!$A:$E,5,0)</f>
        <v>$</v>
      </c>
      <c r="X170" s="612">
        <f>+VLOOKUP($L170,Data_Validation!$A:$F,6,0)</f>
        <v>0</v>
      </c>
    </row>
    <row r="171" spans="1:24" ht="15" customHeight="1">
      <c r="A171" s="1188" t="s">
        <v>905</v>
      </c>
      <c r="B171" s="1188" t="s">
        <v>1716</v>
      </c>
      <c r="C171" s="1190">
        <v>-347547.5</v>
      </c>
      <c r="D171" s="1190">
        <v>0</v>
      </c>
      <c r="E171" s="1190">
        <v>-347547.5</v>
      </c>
      <c r="F171" s="1188" t="s">
        <v>902</v>
      </c>
      <c r="G171" s="1188" t="s">
        <v>903</v>
      </c>
      <c r="H171" s="1188" t="s">
        <v>3845</v>
      </c>
      <c r="I171" s="622"/>
      <c r="J171" s="622"/>
      <c r="K171" s="622"/>
      <c r="L171" s="609" t="str">
        <f t="shared" si="18"/>
        <v>3007</v>
      </c>
      <c r="M171" s="610" t="str">
        <f t="shared" si="0"/>
        <v>ACTIONS PARTICIPANTES</v>
      </c>
      <c r="N171" s="611">
        <f>+IF(OR($Q171=Parametres!$G$2,$Q171=Parametres!$G$3),I171,C171)</f>
        <v>-347547.5</v>
      </c>
      <c r="O171" s="611">
        <f>+IF(OR($Q171=Parametres!$G$2,$Q171=Parametres!$G$3),J171,D171)</f>
        <v>0</v>
      </c>
      <c r="P171" s="611">
        <f>+IF(OR($Q171=Parametres!$G$2,$Q171=Parametres!$G$3),K171,E171)</f>
        <v>-347547.5</v>
      </c>
      <c r="Q171" s="610" t="str">
        <f t="shared" si="24"/>
        <v>4-Valeur nette</v>
      </c>
      <c r="R171" s="609" t="str">
        <f t="shared" si="25"/>
        <v>3001</v>
      </c>
      <c r="S171" s="610" t="str">
        <f t="shared" si="26"/>
        <v>_</v>
      </c>
      <c r="T171" s="612" t="str">
        <f>+VLOOKUP($L171,Data_Validation!$A:$D,1,0)</f>
        <v>3007</v>
      </c>
      <c r="U171" s="612" t="str">
        <f>+VLOOKUP($L171,Data_Validation!$A:$D,3,0)</f>
        <v>Bilan</v>
      </c>
      <c r="V171" s="612" t="str">
        <f>+VLOOKUP($L171,Data_Validation!$A:$D,4,0)</f>
        <v>Capital Actions</v>
      </c>
      <c r="W171" s="612">
        <f>+VLOOKUP($L171,Data_Validation!$A:$E,5,0)</f>
        <v>0</v>
      </c>
      <c r="X171" s="612">
        <f>+VLOOKUP($L171,Data_Validation!$A:$F,6,0)</f>
        <v>0</v>
      </c>
    </row>
    <row r="172" spans="1:24" ht="15.75" customHeight="1">
      <c r="A172" s="1188" t="s">
        <v>906</v>
      </c>
      <c r="B172" s="1188" t="s">
        <v>1740</v>
      </c>
      <c r="C172" s="1190">
        <v>410359.41</v>
      </c>
      <c r="D172" s="1190">
        <v>0</v>
      </c>
      <c r="E172" s="1190">
        <v>410359.41</v>
      </c>
      <c r="F172" s="1188" t="s">
        <v>902</v>
      </c>
      <c r="G172" s="1188" t="s">
        <v>903</v>
      </c>
      <c r="H172" s="1188" t="s">
        <v>3845</v>
      </c>
      <c r="I172" s="622"/>
      <c r="J172" s="622"/>
      <c r="K172" s="622"/>
      <c r="L172" s="609" t="str">
        <f t="shared" si="18"/>
        <v>3201</v>
      </c>
      <c r="M172" s="610" t="str">
        <f t="shared" si="0"/>
        <v>BENEFICES NON-REPARTIS</v>
      </c>
      <c r="N172" s="611">
        <f>+IF(OR($Q172=Parametres!$G$2,$Q172=Parametres!$G$3),I172,C172)</f>
        <v>410359.41</v>
      </c>
      <c r="O172" s="611">
        <f>+IF(OR($Q172=Parametres!$G$2,$Q172=Parametres!$G$3),J172,D172)</f>
        <v>0</v>
      </c>
      <c r="P172" s="611">
        <f>+IF(OR($Q172=Parametres!$G$2,$Q172=Parametres!$G$3),K172,E172)</f>
        <v>410359.41</v>
      </c>
      <c r="Q172" s="610" t="str">
        <f t="shared" si="24"/>
        <v>4-Valeur nette</v>
      </c>
      <c r="R172" s="609" t="str">
        <f t="shared" si="25"/>
        <v>3001</v>
      </c>
      <c r="S172" s="610" t="str">
        <f t="shared" si="26"/>
        <v>_</v>
      </c>
      <c r="T172" s="612" t="str">
        <f>+VLOOKUP($L172,Data_Validation!$A:$D,1,0)</f>
        <v>3201</v>
      </c>
      <c r="U172" s="612" t="str">
        <f>+VLOOKUP($L172,Data_Validation!$A:$D,3,0)</f>
        <v>Bilan</v>
      </c>
      <c r="V172" s="612" t="str">
        <f>+VLOOKUP($L172,Data_Validation!$A:$D,4,0)</f>
        <v>Bénéfices non répartis</v>
      </c>
      <c r="W172" s="612" t="str">
        <f>+VLOOKUP($L172,Data_Validation!$A:$E,5,0)</f>
        <v>$</v>
      </c>
      <c r="X172" s="612">
        <f>+VLOOKUP($L172,Data_Validation!$A:$F,6,0)</f>
        <v>0</v>
      </c>
    </row>
    <row r="173" spans="1:24" ht="15" customHeight="1">
      <c r="A173" s="1188" t="s">
        <v>907</v>
      </c>
      <c r="B173" s="1188" t="s">
        <v>909</v>
      </c>
      <c r="C173" s="1190">
        <v>-1226839.48</v>
      </c>
      <c r="D173" s="1190">
        <v>-453066.05</v>
      </c>
      <c r="E173" s="1190">
        <v>-1679905.53</v>
      </c>
      <c r="F173" s="1188" t="s">
        <v>908</v>
      </c>
      <c r="G173" s="1188" t="s">
        <v>909</v>
      </c>
      <c r="H173" s="1188" t="s">
        <v>3845</v>
      </c>
      <c r="I173" s="622"/>
      <c r="J173" s="622"/>
      <c r="K173" s="622"/>
      <c r="L173" s="609" t="str">
        <f t="shared" si="18"/>
        <v>4100</v>
      </c>
      <c r="M173" s="610" t="str">
        <f t="shared" si="0"/>
        <v>VTE - RACHAT BAIL VW</v>
      </c>
      <c r="N173" s="611">
        <f>+IF(OR($Q173=Parametres!$G$2,$Q173=Parametres!$G$3),I173,C173)</f>
        <v>-1226839.48</v>
      </c>
      <c r="O173" s="611">
        <f>+IF(OR($Q173=Parametres!$G$2,$Q173=Parametres!$G$3),J173,D173)</f>
        <v>-453066.05</v>
      </c>
      <c r="P173" s="611">
        <f>+IF(OR($Q173=Parametres!$G$2,$Q173=Parametres!$G$3),K173,E173)</f>
        <v>-1679905.53</v>
      </c>
      <c r="Q173" s="610" t="str">
        <f t="shared" si="24"/>
        <v>5-Ventes</v>
      </c>
      <c r="R173" s="609" t="str">
        <f t="shared" si="25"/>
        <v>4100</v>
      </c>
      <c r="S173" s="610" t="str">
        <f t="shared" si="26"/>
        <v>_</v>
      </c>
      <c r="T173" s="612" t="str">
        <f>+VLOOKUP($L173,Data_Validation!$A:$D,1,0)</f>
        <v>4100</v>
      </c>
      <c r="U173" s="612" t="str">
        <f>+VLOOKUP($L173,Data_Validation!$A:$D,3,0)</f>
        <v>Véhicules usagés</v>
      </c>
      <c r="V173" s="612" t="str">
        <f>+VLOOKUP($L173,Data_Validation!$A:$D,4,0)</f>
        <v>Rachat bail</v>
      </c>
      <c r="W173" s="612" t="str">
        <f>+VLOOKUP($L173,Data_Validation!$A:$E,5,0)</f>
        <v>$</v>
      </c>
      <c r="X173" s="612" t="str">
        <f>+VLOOKUP($L173,Data_Validation!$A:$F,6,0)</f>
        <v>Oui</v>
      </c>
    </row>
    <row r="174" spans="1:24" ht="15" customHeight="1">
      <c r="A174" s="1188" t="s">
        <v>912</v>
      </c>
      <c r="B174" s="1188" t="s">
        <v>913</v>
      </c>
      <c r="C174" s="1190">
        <v>-684183.67</v>
      </c>
      <c r="D174" s="1190">
        <v>-58774.95</v>
      </c>
      <c r="E174" s="1190">
        <v>-742958.62</v>
      </c>
      <c r="F174" s="1188" t="s">
        <v>908</v>
      </c>
      <c r="G174" s="1188" t="s">
        <v>913</v>
      </c>
      <c r="H174" s="1188" t="s">
        <v>3845</v>
      </c>
      <c r="I174" s="622"/>
      <c r="J174" s="622"/>
      <c r="K174" s="622"/>
      <c r="L174" s="609" t="str">
        <f t="shared" si="18"/>
        <v>4109</v>
      </c>
      <c r="M174" s="610" t="str">
        <f t="shared" si="0"/>
        <v>VTE - GOLF R</v>
      </c>
      <c r="N174" s="611">
        <f>+IF(OR($Q174=Parametres!$G$2,$Q174=Parametres!$G$3),I174,C174)</f>
        <v>-684183.67</v>
      </c>
      <c r="O174" s="611">
        <f>+IF(OR($Q174=Parametres!$G$2,$Q174=Parametres!$G$3),J174,D174)</f>
        <v>-58774.95</v>
      </c>
      <c r="P174" s="611">
        <f>+IF(OR($Q174=Parametres!$G$2,$Q174=Parametres!$G$3),K174,E174)</f>
        <v>-742958.62</v>
      </c>
      <c r="Q174" s="610" t="str">
        <f t="shared" si="24"/>
        <v>5-Ventes</v>
      </c>
      <c r="R174" s="609" t="str">
        <f t="shared" si="25"/>
        <v>4109</v>
      </c>
      <c r="S174" s="610" t="str">
        <f t="shared" si="26"/>
        <v>_</v>
      </c>
      <c r="T174" s="612" t="str">
        <f>+VLOOKUP($L174,Data_Validation!$A:$D,1,0)</f>
        <v>4109</v>
      </c>
      <c r="U174" s="612" t="str">
        <f>+VLOOKUP($L174,Data_Validation!$A:$D,3,0)</f>
        <v>Véhicules neufs</v>
      </c>
      <c r="V174" s="612" t="str">
        <f>+VLOOKUP($L174,Data_Validation!$A:$D,4,0)</f>
        <v>Autos détail</v>
      </c>
      <c r="W174" s="612" t="str">
        <f>+VLOOKUP($L174,Data_Validation!$A:$E,5,0)</f>
        <v>$</v>
      </c>
      <c r="X174" s="612" t="str">
        <f>+VLOOKUP($L174,Data_Validation!$A:$F,6,0)</f>
        <v>Oui</v>
      </c>
    </row>
    <row r="175" spans="1:24" ht="15" customHeight="1">
      <c r="A175" s="1188" t="s">
        <v>916</v>
      </c>
      <c r="B175" s="1188" t="s">
        <v>917</v>
      </c>
      <c r="C175" s="1190">
        <v>-993683.05</v>
      </c>
      <c r="D175" s="1190">
        <v>-496749.61</v>
      </c>
      <c r="E175" s="1190">
        <v>-1490432.66</v>
      </c>
      <c r="F175" s="1188" t="s">
        <v>908</v>
      </c>
      <c r="G175" s="1188" t="s">
        <v>917</v>
      </c>
      <c r="H175" s="1188" t="s">
        <v>3845</v>
      </c>
      <c r="I175" s="621"/>
      <c r="J175" s="621"/>
      <c r="K175" s="621"/>
      <c r="L175" s="609" t="str">
        <f t="shared" si="18"/>
        <v>4111</v>
      </c>
      <c r="M175" s="610" t="str">
        <f t="shared" si="0"/>
        <v>JETTA/ JETTA GLI</v>
      </c>
      <c r="N175" s="611">
        <f>+IF(OR($Q175=Parametres!$G$2,$Q175=Parametres!$G$3),I175,C175)</f>
        <v>-993683.05</v>
      </c>
      <c r="O175" s="611">
        <f>+IF(OR($Q175=Parametres!$G$2,$Q175=Parametres!$G$3),J175,D175)</f>
        <v>-496749.61</v>
      </c>
      <c r="P175" s="611">
        <f>+IF(OR($Q175=Parametres!$G$2,$Q175=Parametres!$G$3),K175,E175)</f>
        <v>-1490432.66</v>
      </c>
      <c r="Q175" s="610" t="str">
        <f t="shared" si="24"/>
        <v>5-Ventes</v>
      </c>
      <c r="R175" s="609" t="str">
        <f t="shared" si="25"/>
        <v>4111</v>
      </c>
      <c r="S175" s="610" t="str">
        <f t="shared" si="26"/>
        <v>_</v>
      </c>
      <c r="T175" s="612" t="str">
        <f>+VLOOKUP($L175,Data_Validation!$A:$D,1,0)</f>
        <v>4111</v>
      </c>
      <c r="U175" s="612" t="str">
        <f>+VLOOKUP($L175,Data_Validation!$A:$D,3,0)</f>
        <v>Véhicules neufs</v>
      </c>
      <c r="V175" s="612" t="str">
        <f>+VLOOKUP($L175,Data_Validation!$A:$D,4,0)</f>
        <v>Autos détail</v>
      </c>
      <c r="W175" s="612" t="str">
        <f>+VLOOKUP($L175,Data_Validation!$A:$E,5,0)</f>
        <v>$</v>
      </c>
      <c r="X175" s="612" t="str">
        <f>+VLOOKUP($L175,Data_Validation!$A:$F,6,0)</f>
        <v>Oui</v>
      </c>
    </row>
    <row r="176" spans="1:24" ht="15.75" customHeight="1">
      <c r="A176" s="1188" t="s">
        <v>919</v>
      </c>
      <c r="B176" s="1188" t="s">
        <v>3324</v>
      </c>
      <c r="C176" s="1190">
        <v>-3507638.53</v>
      </c>
      <c r="D176" s="1190">
        <v>-291288.02</v>
      </c>
      <c r="E176" s="1190">
        <v>-3798926.55</v>
      </c>
      <c r="F176" s="1188" t="s">
        <v>908</v>
      </c>
      <c r="G176" s="1188" t="s">
        <v>920</v>
      </c>
      <c r="H176" s="1188" t="s">
        <v>3845</v>
      </c>
      <c r="I176" s="623"/>
      <c r="J176" s="623"/>
      <c r="K176" s="623"/>
      <c r="L176" s="609" t="str">
        <f t="shared" si="18"/>
        <v>4118</v>
      </c>
      <c r="M176" s="610" t="str">
        <f t="shared" si="0"/>
        <v>VTES -TAOS</v>
      </c>
      <c r="N176" s="611">
        <f>+IF(OR($Q176=Parametres!$G$2,$Q176=Parametres!$G$3),I176,C176)</f>
        <v>-3507638.53</v>
      </c>
      <c r="O176" s="611">
        <f>+IF(OR($Q176=Parametres!$G$2,$Q176=Parametres!$G$3),J176,D176)</f>
        <v>-291288.02</v>
      </c>
      <c r="P176" s="611">
        <f>+IF(OR($Q176=Parametres!$G$2,$Q176=Parametres!$G$3),K176,E176)</f>
        <v>-3798926.55</v>
      </c>
      <c r="Q176" s="610" t="str">
        <f t="shared" si="24"/>
        <v>5-Ventes</v>
      </c>
      <c r="R176" s="609" t="str">
        <f t="shared" si="25"/>
        <v>4117</v>
      </c>
      <c r="S176" s="610" t="str">
        <f t="shared" si="26"/>
        <v>_</v>
      </c>
      <c r="T176" s="612" t="str">
        <f>+VLOOKUP($L176,Data_Validation!$A:$D,1,0)</f>
        <v>4118</v>
      </c>
      <c r="U176" s="612" t="str">
        <f>+VLOOKUP($L176,Data_Validation!$A:$D,3,0)</f>
        <v>Véhicules neufs</v>
      </c>
      <c r="V176" s="612" t="str">
        <f>+VLOOKUP($L176,Data_Validation!$A:$D,4,0)</f>
        <v>Camions détail</v>
      </c>
      <c r="W176" s="612" t="str">
        <f>+VLOOKUP($L176,Data_Validation!$A:$E,5,0)</f>
        <v>$</v>
      </c>
      <c r="X176" s="612" t="str">
        <f>+VLOOKUP($L176,Data_Validation!$A:$F,6,0)</f>
        <v>Oui</v>
      </c>
    </row>
    <row r="177" spans="1:24" ht="15" customHeight="1">
      <c r="A177" s="1188" t="s">
        <v>924</v>
      </c>
      <c r="B177" s="1188" t="s">
        <v>925</v>
      </c>
      <c r="C177" s="1190">
        <v>-1871834.57</v>
      </c>
      <c r="D177" s="1190">
        <v>-549266.06999999995</v>
      </c>
      <c r="E177" s="1190">
        <v>-2421100.64</v>
      </c>
      <c r="F177" s="1188" t="s">
        <v>908</v>
      </c>
      <c r="G177" s="1188" t="s">
        <v>925</v>
      </c>
      <c r="H177" s="1188" t="s">
        <v>3845</v>
      </c>
      <c r="I177" s="622"/>
      <c r="J177" s="622"/>
      <c r="K177" s="622"/>
      <c r="L177" s="609" t="str">
        <f t="shared" si="18"/>
        <v>4119</v>
      </c>
      <c r="M177" s="610" t="str">
        <f t="shared" si="0"/>
        <v>VTE - ATLAS</v>
      </c>
      <c r="N177" s="611">
        <f>+IF(OR($Q177=Parametres!$G$2,$Q177=Parametres!$G$3),I177,C177)</f>
        <v>-1871834.57</v>
      </c>
      <c r="O177" s="611">
        <f>+IF(OR($Q177=Parametres!$G$2,$Q177=Parametres!$G$3),J177,D177)</f>
        <v>-549266.06999999995</v>
      </c>
      <c r="P177" s="611">
        <f>+IF(OR($Q177=Parametres!$G$2,$Q177=Parametres!$G$3),K177,E177)</f>
        <v>-2421100.64</v>
      </c>
      <c r="Q177" s="610" t="str">
        <f t="shared" si="24"/>
        <v>5-Ventes</v>
      </c>
      <c r="R177" s="609" t="str">
        <f t="shared" si="25"/>
        <v>4119</v>
      </c>
      <c r="S177" s="610" t="str">
        <f t="shared" si="26"/>
        <v>_</v>
      </c>
      <c r="T177" s="612" t="str">
        <f>+VLOOKUP($L177,Data_Validation!$A:$D,1,0)</f>
        <v>4119</v>
      </c>
      <c r="U177" s="612" t="str">
        <f>+VLOOKUP($L177,Data_Validation!$A:$D,3,0)</f>
        <v>Véhicules neufs</v>
      </c>
      <c r="V177" s="612" t="str">
        <f>+VLOOKUP($L177,Data_Validation!$A:$D,4,0)</f>
        <v>Camions détail</v>
      </c>
      <c r="W177" s="612" t="str">
        <f>+VLOOKUP($L177,Data_Validation!$A:$E,5,0)</f>
        <v>$</v>
      </c>
      <c r="X177" s="612" t="str">
        <f>+VLOOKUP($L177,Data_Validation!$A:$F,6,0)</f>
        <v>Oui</v>
      </c>
    </row>
    <row r="178" spans="1:24" ht="15" customHeight="1">
      <c r="A178" s="1188" t="s">
        <v>928</v>
      </c>
      <c r="B178" s="1188" t="s">
        <v>3293</v>
      </c>
      <c r="C178" s="1190">
        <v>-509004.35</v>
      </c>
      <c r="D178" s="1190">
        <v>0</v>
      </c>
      <c r="E178" s="1190">
        <v>-509004.35</v>
      </c>
      <c r="F178" s="1188" t="s">
        <v>908</v>
      </c>
      <c r="G178" s="1188" t="s">
        <v>3293</v>
      </c>
      <c r="H178" s="1188" t="s">
        <v>3845</v>
      </c>
      <c r="I178" s="622"/>
      <c r="J178" s="622"/>
      <c r="K178" s="622"/>
      <c r="L178" s="609" t="str">
        <f t="shared" si="18"/>
        <v>4121</v>
      </c>
      <c r="M178" s="624" t="str">
        <f t="shared" si="0"/>
        <v>VTES -VTE - ATLAS CROSS SPORT</v>
      </c>
      <c r="N178" s="611">
        <f>+IF(OR($Q178=Parametres!$G$2,$Q178=Parametres!$G$3),I178,C178)</f>
        <v>-509004.35</v>
      </c>
      <c r="O178" s="615">
        <f>+IF(OR($Q178=Parametres!$G$2,$Q178=Parametres!$G$3),J178,D178)</f>
        <v>0</v>
      </c>
      <c r="P178" s="625">
        <f>+IF(OR($Q178=Parametres!$G$2,$Q178=Parametres!$G$3),K178,E178)</f>
        <v>-509004.35</v>
      </c>
      <c r="Q178" s="610" t="str">
        <f t="shared" si="24"/>
        <v>5-Ventes</v>
      </c>
      <c r="R178" s="609" t="str">
        <f t="shared" si="25"/>
        <v>4121</v>
      </c>
      <c r="S178" s="610" t="str">
        <f t="shared" si="26"/>
        <v>_</v>
      </c>
      <c r="T178" s="612" t="str">
        <f>+VLOOKUP($L178,Data_Validation!$A:$D,1,0)</f>
        <v>4121</v>
      </c>
      <c r="U178" s="612" t="str">
        <f>+VLOOKUP($L178,Data_Validation!$A:$D,3,0)</f>
        <v>Véhicules neufs</v>
      </c>
      <c r="V178" s="612" t="str">
        <f>+VLOOKUP($L178,Data_Validation!$A:$D,4,0)</f>
        <v>Camions détail</v>
      </c>
      <c r="W178" s="612" t="str">
        <f>+VLOOKUP($L178,Data_Validation!$A:$E,5,0)</f>
        <v>$</v>
      </c>
      <c r="X178" s="612" t="str">
        <f>+VLOOKUP($L178,Data_Validation!$A:$F,6,0)</f>
        <v>oui</v>
      </c>
    </row>
    <row r="179" spans="1:24" ht="15" customHeight="1">
      <c r="A179" s="1188" t="s">
        <v>931</v>
      </c>
      <c r="B179" s="1188" t="s">
        <v>932</v>
      </c>
      <c r="C179" s="1190">
        <v>-387922.37</v>
      </c>
      <c r="D179" s="1190">
        <v>-83127.92</v>
      </c>
      <c r="E179" s="1190">
        <v>-471050.29</v>
      </c>
      <c r="F179" s="1188" t="s">
        <v>908</v>
      </c>
      <c r="G179" s="1188" t="s">
        <v>932</v>
      </c>
      <c r="H179" s="1188" t="s">
        <v>3845</v>
      </c>
      <c r="I179" s="622"/>
      <c r="J179" s="622"/>
      <c r="K179" s="622"/>
      <c r="L179" s="609" t="str">
        <f t="shared" si="18"/>
        <v>4127</v>
      </c>
      <c r="M179" s="610" t="str">
        <f t="shared" si="0"/>
        <v>VTE - GOLF GTI</v>
      </c>
      <c r="N179" s="611">
        <f>+IF(OR($Q179=Parametres!$G$2,$Q179=Parametres!$G$3),I179,C179)</f>
        <v>-387922.37</v>
      </c>
      <c r="O179" s="611">
        <f>+IF(OR($Q179=Parametres!$G$2,$Q179=Parametres!$G$3),J179,D179)</f>
        <v>-83127.92</v>
      </c>
      <c r="P179" s="611">
        <f>+IF(OR($Q179=Parametres!$G$2,$Q179=Parametres!$G$3),K179,E179)</f>
        <v>-471050.29</v>
      </c>
      <c r="Q179" s="610" t="str">
        <f t="shared" si="24"/>
        <v>5-Ventes</v>
      </c>
      <c r="R179" s="609" t="str">
        <f t="shared" si="25"/>
        <v>4127</v>
      </c>
      <c r="S179" s="610" t="str">
        <f t="shared" si="26"/>
        <v>_</v>
      </c>
      <c r="T179" s="612" t="str">
        <f>+VLOOKUP($L179,Data_Validation!$A:$D,1,0)</f>
        <v>4127</v>
      </c>
      <c r="U179" s="612" t="str">
        <f>+VLOOKUP($L179,Data_Validation!$A:$D,3,0)</f>
        <v>Véhicules neufs</v>
      </c>
      <c r="V179" s="612" t="str">
        <f>+VLOOKUP($L179,Data_Validation!$A:$D,4,0)</f>
        <v>Autos détail</v>
      </c>
      <c r="W179" s="612" t="str">
        <f>+VLOOKUP($L179,Data_Validation!$A:$E,5,0)</f>
        <v>$</v>
      </c>
      <c r="X179" s="612" t="str">
        <f>+VLOOKUP($L179,Data_Validation!$A:$F,6,0)</f>
        <v>Oui</v>
      </c>
    </row>
    <row r="180" spans="1:24" ht="15" customHeight="1">
      <c r="A180" s="1188" t="s">
        <v>935</v>
      </c>
      <c r="B180" s="1188" t="s">
        <v>936</v>
      </c>
      <c r="C180" s="1190">
        <v>-5644326.4800000004</v>
      </c>
      <c r="D180" s="1190">
        <v>-1004801.69</v>
      </c>
      <c r="E180" s="1190">
        <v>-6649128.1699999999</v>
      </c>
      <c r="F180" s="1188" t="s">
        <v>908</v>
      </c>
      <c r="G180" s="1188" t="s">
        <v>936</v>
      </c>
      <c r="H180" s="1188" t="s">
        <v>3845</v>
      </c>
      <c r="I180" s="622"/>
      <c r="J180" s="622"/>
      <c r="K180" s="622"/>
      <c r="L180" s="609" t="str">
        <f t="shared" ref="L180:L243" si="27">TEXT(B180,0)</f>
        <v>4131</v>
      </c>
      <c r="M180" s="610" t="str">
        <f t="shared" ref="M180:M243" si="28">+A180</f>
        <v>VTE - TIGUAN LWB</v>
      </c>
      <c r="N180" s="611">
        <f>+IF(OR($Q180=Parametres!$G$2,$Q180=Parametres!$G$3),I180,C180)</f>
        <v>-5644326.4800000004</v>
      </c>
      <c r="O180" s="615">
        <f>+IF(OR($Q180=Parametres!$G$2,$Q180=Parametres!$G$3),J180,D180)</f>
        <v>-1004801.69</v>
      </c>
      <c r="P180" s="611">
        <f>+IF(OR($Q180=Parametres!$G$2,$Q180=Parametres!$G$3),K180,E180)</f>
        <v>-6649128.1699999999</v>
      </c>
      <c r="Q180" s="610" t="str">
        <f t="shared" ref="Q180:Q243" si="29">+F180</f>
        <v>5-Ventes</v>
      </c>
      <c r="R180" s="609" t="str">
        <f t="shared" ref="R180:R243" si="30">+G180</f>
        <v>4131</v>
      </c>
      <c r="S180" s="610" t="str">
        <f t="shared" ref="S180:S243" si="31">+H180</f>
        <v>_</v>
      </c>
      <c r="T180" s="612" t="str">
        <f>+VLOOKUP($L180,Data_Validation!$A:$D,1,0)</f>
        <v>4131</v>
      </c>
      <c r="U180" s="612" t="str">
        <f>+VLOOKUP($L180,Data_Validation!$A:$D,3,0)</f>
        <v>Véhicules neufs</v>
      </c>
      <c r="V180" s="612" t="str">
        <f>+VLOOKUP($L180,Data_Validation!$A:$D,4,0)</f>
        <v>Camions détail</v>
      </c>
      <c r="W180" s="612" t="str">
        <f>+VLOOKUP($L180,Data_Validation!$A:$E,5,0)</f>
        <v>$</v>
      </c>
      <c r="X180" s="612" t="str">
        <f>+VLOOKUP($L180,Data_Validation!$A:$F,6,0)</f>
        <v>Oui</v>
      </c>
    </row>
    <row r="181" spans="1:24" ht="15.75" customHeight="1">
      <c r="A181" s="1188" t="s">
        <v>939</v>
      </c>
      <c r="B181" s="1188" t="s">
        <v>940</v>
      </c>
      <c r="C181" s="1190">
        <v>-1712561.65</v>
      </c>
      <c r="D181" s="1190">
        <v>-40670</v>
      </c>
      <c r="E181" s="1190">
        <v>-1753231.65</v>
      </c>
      <c r="F181" s="1188" t="s">
        <v>908</v>
      </c>
      <c r="G181" s="1188" t="s">
        <v>940</v>
      </c>
      <c r="H181" s="1188" t="s">
        <v>3845</v>
      </c>
      <c r="I181" s="622"/>
      <c r="J181" s="622"/>
      <c r="K181" s="622"/>
      <c r="L181" s="609" t="str">
        <f t="shared" si="27"/>
        <v>4137</v>
      </c>
      <c r="M181" s="610" t="str">
        <f t="shared" si="28"/>
        <v>VTE - VW-FLOTTE/VENTES ENTR/EMPLOYE/VEH DEMON</v>
      </c>
      <c r="N181" s="611">
        <f>+IF(OR($Q181=Parametres!$G$2,$Q181=Parametres!$G$3),I181,C181)</f>
        <v>-1712561.65</v>
      </c>
      <c r="O181" s="611">
        <f>+IF(OR($Q181=Parametres!$G$2,$Q181=Parametres!$G$3),J181,D181)</f>
        <v>-40670</v>
      </c>
      <c r="P181" s="611">
        <f>+IF(OR($Q181=Parametres!$G$2,$Q181=Parametres!$G$3),K181,E181)</f>
        <v>-1753231.65</v>
      </c>
      <c r="Q181" s="610" t="str">
        <f t="shared" si="29"/>
        <v>5-Ventes</v>
      </c>
      <c r="R181" s="609" t="str">
        <f t="shared" si="30"/>
        <v>4137</v>
      </c>
      <c r="S181" s="610" t="str">
        <f t="shared" si="31"/>
        <v>_</v>
      </c>
      <c r="T181" s="612" t="str">
        <f>+VLOOKUP($L181,Data_Validation!$A:$D,1,0)</f>
        <v>4137</v>
      </c>
      <c r="U181" s="612" t="str">
        <f>+VLOOKUP($L181,Data_Validation!$A:$D,3,0)</f>
        <v>Véhicules neufs</v>
      </c>
      <c r="V181" s="612" t="str">
        <f>+VLOOKUP($L181,Data_Validation!$A:$D,4,0)</f>
        <v>Flottes</v>
      </c>
      <c r="W181" s="612" t="str">
        <f>+VLOOKUP($L181,Data_Validation!$A:$E,5,0)</f>
        <v>$</v>
      </c>
      <c r="X181" s="612" t="str">
        <f>+VLOOKUP($L181,Data_Validation!$A:$F,6,0)</f>
        <v>Oui</v>
      </c>
    </row>
    <row r="182" spans="1:24" ht="15.75" customHeight="1">
      <c r="A182" s="1188" t="s">
        <v>943</v>
      </c>
      <c r="B182" s="1188" t="s">
        <v>944</v>
      </c>
      <c r="C182" s="1190">
        <v>-456197.11</v>
      </c>
      <c r="D182" s="1190">
        <v>-218445.4</v>
      </c>
      <c r="E182" s="1190">
        <v>-674642.51</v>
      </c>
      <c r="F182" s="1188" t="s">
        <v>908</v>
      </c>
      <c r="G182" s="1188" t="s">
        <v>944</v>
      </c>
      <c r="H182" s="1188" t="s">
        <v>3845</v>
      </c>
      <c r="I182" s="622"/>
      <c r="J182" s="622"/>
      <c r="K182" s="622"/>
      <c r="L182" s="609" t="str">
        <f t="shared" si="27"/>
        <v>4139</v>
      </c>
      <c r="M182" s="610" t="str">
        <f t="shared" si="28"/>
        <v>VTE - VW FLOTTE/VENTE ENTR/EMPLOYE/VEH DEMONS</v>
      </c>
      <c r="N182" s="611">
        <f>+IF(OR($Q182=Parametres!$G$2,$Q182=Parametres!$G$3),I182,C182)</f>
        <v>-456197.11</v>
      </c>
      <c r="O182" s="611">
        <f>+IF(OR($Q182=Parametres!$G$2,$Q182=Parametres!$G$3),J182,D182)</f>
        <v>-218445.4</v>
      </c>
      <c r="P182" s="611">
        <f>+IF(OR($Q182=Parametres!$G$2,$Q182=Parametres!$G$3),K182,E182)</f>
        <v>-674642.51</v>
      </c>
      <c r="Q182" s="610" t="str">
        <f t="shared" si="29"/>
        <v>5-Ventes</v>
      </c>
      <c r="R182" s="609" t="str">
        <f t="shared" si="30"/>
        <v>4139</v>
      </c>
      <c r="S182" s="610" t="str">
        <f t="shared" si="31"/>
        <v>_</v>
      </c>
      <c r="T182" s="612" t="str">
        <f>+VLOOKUP($L182,Data_Validation!$A:$D,1,0)</f>
        <v>4139</v>
      </c>
      <c r="U182" s="612" t="str">
        <f>+VLOOKUP($L182,Data_Validation!$A:$D,3,0)</f>
        <v>Véhicules neufs</v>
      </c>
      <c r="V182" s="612" t="str">
        <f>+VLOOKUP($L182,Data_Validation!$A:$D,4,0)</f>
        <v>Ex-Démos et courtoisies</v>
      </c>
      <c r="W182" s="612" t="str">
        <f>+VLOOKUP($L182,Data_Validation!$A:$E,5,0)</f>
        <v>$</v>
      </c>
      <c r="X182" s="612" t="str">
        <f>+VLOOKUP($L182,Data_Validation!$A:$F,6,0)</f>
        <v>Oui</v>
      </c>
    </row>
    <row r="183" spans="1:24" ht="15.75" customHeight="1">
      <c r="A183" s="1188" t="s">
        <v>3815</v>
      </c>
      <c r="B183" s="1188" t="s">
        <v>3816</v>
      </c>
      <c r="C183" s="1190">
        <v>-706085.23</v>
      </c>
      <c r="D183" s="1190">
        <v>0</v>
      </c>
      <c r="E183" s="1190">
        <v>-706085.23</v>
      </c>
      <c r="F183" s="1188" t="s">
        <v>908</v>
      </c>
      <c r="G183" s="1188" t="s">
        <v>3816</v>
      </c>
      <c r="H183" s="1188" t="s">
        <v>3845</v>
      </c>
      <c r="I183" s="622"/>
      <c r="J183" s="622"/>
      <c r="K183" s="622"/>
      <c r="L183" s="609" t="str">
        <f t="shared" si="27"/>
        <v>4141</v>
      </c>
      <c r="M183" s="610" t="str">
        <f t="shared" si="28"/>
        <v>VTES -VTE - ID4</v>
      </c>
      <c r="N183" s="611">
        <f>+IF(OR($Q183=Parametres!$G$2,$Q183=Parametres!$G$3),I183,C183)</f>
        <v>-706085.23</v>
      </c>
      <c r="O183" s="611">
        <f>+IF(OR($Q183=Parametres!$G$2,$Q183=Parametres!$G$3),J183,D183)</f>
        <v>0</v>
      </c>
      <c r="P183" s="611">
        <f>+IF(OR($Q183=Parametres!$G$2,$Q183=Parametres!$G$3),K183,E183)</f>
        <v>-706085.23</v>
      </c>
      <c r="Q183" s="610" t="str">
        <f t="shared" si="29"/>
        <v>5-Ventes</v>
      </c>
      <c r="R183" s="609" t="str">
        <f t="shared" si="30"/>
        <v>4141</v>
      </c>
      <c r="S183" s="610" t="str">
        <f t="shared" si="31"/>
        <v>_</v>
      </c>
      <c r="T183" s="612" t="str">
        <f>+VLOOKUP($L183,Data_Validation!$A:$D,1,0)</f>
        <v>4141</v>
      </c>
      <c r="U183" s="612" t="str">
        <f>+VLOOKUP($L183,Data_Validation!$A:$D,3,0)</f>
        <v>Véhicules neufs</v>
      </c>
      <c r="V183" s="612" t="str">
        <f>+VLOOKUP($L183,Data_Validation!$A:$D,4,0)</f>
        <v>Camions détail</v>
      </c>
      <c r="W183" s="612" t="str">
        <f>+VLOOKUP($L183,Data_Validation!$A:$E,5,0)</f>
        <v>$</v>
      </c>
      <c r="X183" s="612" t="str">
        <f>+VLOOKUP($L183,Data_Validation!$A:$F,6,0)</f>
        <v>Oui</v>
      </c>
    </row>
    <row r="184" spans="1:24" ht="15.75" customHeight="1">
      <c r="A184" s="1188" t="s">
        <v>947</v>
      </c>
      <c r="B184" s="1188" t="s">
        <v>3325</v>
      </c>
      <c r="C184" s="1190">
        <v>-236608.67</v>
      </c>
      <c r="D184" s="1190">
        <v>-76006</v>
      </c>
      <c r="E184" s="1190">
        <v>-312614.67</v>
      </c>
      <c r="F184" s="1188" t="s">
        <v>908</v>
      </c>
      <c r="G184" s="1188" t="s">
        <v>948</v>
      </c>
      <c r="H184" s="1188" t="s">
        <v>3845</v>
      </c>
      <c r="I184" s="623"/>
      <c r="J184" s="623"/>
      <c r="K184" s="623"/>
      <c r="L184" s="609" t="str">
        <f t="shared" si="27"/>
        <v>4144</v>
      </c>
      <c r="M184" s="610" t="str">
        <f t="shared" si="28"/>
        <v>VTES -JETTA GLI</v>
      </c>
      <c r="N184" s="611">
        <f>+IF(OR($Q184=Parametres!$G$2,$Q184=Parametres!$G$3),I184,C184)</f>
        <v>-236608.67</v>
      </c>
      <c r="O184" s="615">
        <f>+IF(OR($Q184=Parametres!$G$2,$Q184=Parametres!$G$3),J184,D184)</f>
        <v>-76006</v>
      </c>
      <c r="P184" s="611">
        <f>+IF(OR($Q184=Parametres!$G$2,$Q184=Parametres!$G$3),K184,E184)</f>
        <v>-312614.67</v>
      </c>
      <c r="Q184" s="610" t="str">
        <f t="shared" si="29"/>
        <v>5-Ventes</v>
      </c>
      <c r="R184" s="609" t="str">
        <f t="shared" si="30"/>
        <v>414</v>
      </c>
      <c r="S184" s="610" t="str">
        <f t="shared" si="31"/>
        <v>_</v>
      </c>
      <c r="T184" s="612" t="str">
        <f>+VLOOKUP($L184,Data_Validation!$A:$D,1,0)</f>
        <v>4144</v>
      </c>
      <c r="U184" s="612" t="str">
        <f>+VLOOKUP($L184,Data_Validation!$A:$D,3,0)</f>
        <v>Véhicules neufs</v>
      </c>
      <c r="V184" s="612" t="str">
        <f>+VLOOKUP($L184,Data_Validation!$A:$D,4,0)</f>
        <v>Autos détail</v>
      </c>
      <c r="W184" s="612" t="str">
        <f>+VLOOKUP($L184,Data_Validation!$A:$E,5,0)</f>
        <v>$</v>
      </c>
      <c r="X184" s="612" t="str">
        <f>+VLOOKUP($L184,Data_Validation!$A:$F,6,0)</f>
        <v>Oui</v>
      </c>
    </row>
    <row r="185" spans="1:24" ht="15.75" customHeight="1">
      <c r="A185" s="1188" t="s">
        <v>3847</v>
      </c>
      <c r="B185" s="1188" t="s">
        <v>3848</v>
      </c>
      <c r="C185" s="1190">
        <v>-75512.95</v>
      </c>
      <c r="D185" s="1190">
        <v>0</v>
      </c>
      <c r="E185" s="1190">
        <v>-75512.95</v>
      </c>
      <c r="F185" s="1188" t="s">
        <v>908</v>
      </c>
      <c r="G185" s="1188" t="s">
        <v>3865</v>
      </c>
      <c r="H185" s="1188" t="s">
        <v>3845</v>
      </c>
      <c r="I185" s="622"/>
      <c r="J185" s="622"/>
      <c r="K185" s="622"/>
      <c r="L185" s="609" t="str">
        <f t="shared" si="27"/>
        <v>4145</v>
      </c>
      <c r="M185" s="610" t="str">
        <f t="shared" si="28"/>
        <v>ID BUZZ</v>
      </c>
      <c r="N185" s="611">
        <f>+IF(OR($Q185=Parametres!$G$2,$Q185=Parametres!$G$3),I185,C185)</f>
        <v>-75512.95</v>
      </c>
      <c r="O185" s="611">
        <f>+IF(OR($Q185=Parametres!$G$2,$Q185=Parametres!$G$3),J185,D185)</f>
        <v>0</v>
      </c>
      <c r="P185" s="611">
        <f>+IF(OR($Q185=Parametres!$G$2,$Q185=Parametres!$G$3),K185,E185)</f>
        <v>-75512.95</v>
      </c>
      <c r="Q185" s="610" t="str">
        <f t="shared" si="29"/>
        <v>5-Ventes</v>
      </c>
      <c r="R185" s="609" t="str">
        <f t="shared" si="30"/>
        <v>84137</v>
      </c>
      <c r="S185" s="610" t="str">
        <f t="shared" si="31"/>
        <v>_</v>
      </c>
      <c r="T185" s="612" t="str">
        <f>+VLOOKUP($L185,Data_Validation!$A:$D,1,0)</f>
        <v>4145</v>
      </c>
      <c r="U185" s="612" t="str">
        <f>+VLOOKUP($L185,Data_Validation!$A:$D,3,0)</f>
        <v>Véhicules neufs</v>
      </c>
      <c r="V185" s="612" t="str">
        <f>+VLOOKUP($L185,Data_Validation!$A:$D,4,0)</f>
        <v>Camions détail</v>
      </c>
      <c r="W185" s="612" t="str">
        <f>+VLOOKUP($L185,Data_Validation!$A:$E,5,0)</f>
        <v>$</v>
      </c>
      <c r="X185" s="612" t="str">
        <f>+VLOOKUP($L185,Data_Validation!$A:$F,6,0)</f>
        <v>Oui</v>
      </c>
    </row>
    <row r="186" spans="1:24" ht="15.75" customHeight="1">
      <c r="A186" s="1188" t="s">
        <v>951</v>
      </c>
      <c r="B186" s="1188" t="s">
        <v>952</v>
      </c>
      <c r="C186" s="1190">
        <v>-3429870.35</v>
      </c>
      <c r="D186" s="1190">
        <v>-512493</v>
      </c>
      <c r="E186" s="1190">
        <v>-3942363.35</v>
      </c>
      <c r="F186" s="1188" t="s">
        <v>908</v>
      </c>
      <c r="G186" s="1188" t="s">
        <v>952</v>
      </c>
      <c r="H186" s="1188" t="s">
        <v>3845</v>
      </c>
      <c r="I186" s="623"/>
      <c r="J186" s="623"/>
      <c r="K186" s="623"/>
      <c r="L186" s="609" t="str">
        <f t="shared" si="27"/>
        <v>4201</v>
      </c>
      <c r="M186" s="610" t="str">
        <f t="shared" si="28"/>
        <v>VTE - VEH.USAGE VW DETAIL CERTIFIE</v>
      </c>
      <c r="N186" s="611">
        <f>+IF(OR($Q186=Parametres!$G$2,$Q186=Parametres!$G$3),I186,C186)</f>
        <v>-3429870.35</v>
      </c>
      <c r="O186" s="615">
        <f>+IF(OR($Q186=Parametres!$G$2,$Q186=Parametres!$G$3),J186,D186)</f>
        <v>-512493</v>
      </c>
      <c r="P186" s="611">
        <f>+IF(OR($Q186=Parametres!$G$2,$Q186=Parametres!$G$3),K186,E186)</f>
        <v>-3942363.35</v>
      </c>
      <c r="Q186" s="610" t="str">
        <f t="shared" si="29"/>
        <v>5-Ventes</v>
      </c>
      <c r="R186" s="609" t="str">
        <f t="shared" si="30"/>
        <v>4201</v>
      </c>
      <c r="S186" s="610" t="str">
        <f t="shared" si="31"/>
        <v>_</v>
      </c>
      <c r="T186" s="612" t="str">
        <f>+VLOOKUP($L186,Data_Validation!$A:$D,1,0)</f>
        <v>4201</v>
      </c>
      <c r="U186" s="612" t="str">
        <f>+VLOOKUP($L186,Data_Validation!$A:$D,3,0)</f>
        <v>Véhicules usagés</v>
      </c>
      <c r="V186" s="612" t="str">
        <f>+VLOOKUP($L186,Data_Validation!$A:$D,4,0)</f>
        <v>Certifié</v>
      </c>
      <c r="W186" s="612" t="str">
        <f>+VLOOKUP($L186,Data_Validation!$A:$E,5,0)</f>
        <v>$</v>
      </c>
      <c r="X186" s="612" t="str">
        <f>+VLOOKUP($L186,Data_Validation!$A:$F,6,0)</f>
        <v>Oui</v>
      </c>
    </row>
    <row r="187" spans="1:24" ht="15" customHeight="1">
      <c r="A187" s="1188" t="s">
        <v>955</v>
      </c>
      <c r="B187" s="1188" t="s">
        <v>956</v>
      </c>
      <c r="C187" s="1190">
        <v>-252272.5</v>
      </c>
      <c r="D187" s="1190">
        <v>-267096.03999999998</v>
      </c>
      <c r="E187" s="1190">
        <v>-519368.54</v>
      </c>
      <c r="F187" s="1188" t="s">
        <v>908</v>
      </c>
      <c r="G187" s="1188" t="s">
        <v>956</v>
      </c>
      <c r="H187" s="1188" t="s">
        <v>3845</v>
      </c>
      <c r="I187" s="622"/>
      <c r="J187" s="622"/>
      <c r="K187" s="622"/>
      <c r="L187" s="609" t="str">
        <f t="shared" si="27"/>
        <v>4211</v>
      </c>
      <c r="M187" s="610" t="str">
        <f t="shared" si="28"/>
        <v>VTE - VW USAGES DETAIL</v>
      </c>
      <c r="N187" s="611">
        <f>+IF(OR($Q187=Parametres!$G$2,$Q187=Parametres!$G$3),I187,C187)</f>
        <v>-252272.5</v>
      </c>
      <c r="O187" s="611">
        <f>+IF(OR($Q187=Parametres!$G$2,$Q187=Parametres!$G$3),J187,D187)</f>
        <v>-267096.03999999998</v>
      </c>
      <c r="P187" s="611">
        <f>+IF(OR($Q187=Parametres!$G$2,$Q187=Parametres!$G$3),K187,E187)</f>
        <v>-519368.54</v>
      </c>
      <c r="Q187" s="610" t="str">
        <f t="shared" si="29"/>
        <v>5-Ventes</v>
      </c>
      <c r="R187" s="609" t="str">
        <f t="shared" si="30"/>
        <v>4211</v>
      </c>
      <c r="S187" s="610" t="str">
        <f t="shared" si="31"/>
        <v>_</v>
      </c>
      <c r="T187" s="612" t="str">
        <f>+VLOOKUP($L187,Data_Validation!$A:$D,1,0)</f>
        <v>4211</v>
      </c>
      <c r="U187" s="612" t="str">
        <f>+VLOOKUP($L187,Data_Validation!$A:$D,3,0)</f>
        <v>Véhicules usagés</v>
      </c>
      <c r="V187" s="612" t="str">
        <f>+VLOOKUP($L187,Data_Validation!$A:$D,4,0)</f>
        <v>Non Certifié</v>
      </c>
      <c r="W187" s="612" t="str">
        <f>+VLOOKUP($L187,Data_Validation!$A:$E,5,0)</f>
        <v>$</v>
      </c>
      <c r="X187" s="612" t="str">
        <f>+VLOOKUP($L187,Data_Validation!$A:$F,6,0)</f>
        <v>Oui</v>
      </c>
    </row>
    <row r="188" spans="1:24" ht="15" customHeight="1">
      <c r="A188" s="1188" t="s">
        <v>959</v>
      </c>
      <c r="B188" s="1188" t="s">
        <v>1878</v>
      </c>
      <c r="C188" s="1190">
        <v>-365433.7</v>
      </c>
      <c r="D188" s="1190">
        <v>-79424</v>
      </c>
      <c r="E188" s="1190">
        <v>-444857.7</v>
      </c>
      <c r="F188" s="1188" t="s">
        <v>908</v>
      </c>
      <c r="G188" s="1188" t="s">
        <v>960</v>
      </c>
      <c r="H188" s="1188" t="s">
        <v>3845</v>
      </c>
      <c r="I188" s="608"/>
      <c r="J188" s="608"/>
      <c r="K188" s="608"/>
      <c r="L188" s="609" t="str">
        <f t="shared" si="27"/>
        <v>4285</v>
      </c>
      <c r="M188" s="610" t="str">
        <f t="shared" si="28"/>
        <v>VEH. D'OCC. AUTRE DETAIL</v>
      </c>
      <c r="N188" s="611">
        <f>+IF(OR($Q188=Parametres!$G$2,$Q188=Parametres!$G$3),I188,C188)</f>
        <v>-365433.7</v>
      </c>
      <c r="O188" s="611">
        <f>+IF(OR($Q188=Parametres!$G$2,$Q188=Parametres!$G$3),J188,D188)</f>
        <v>-79424</v>
      </c>
      <c r="P188" s="611">
        <f>+IF(OR($Q188=Parametres!$G$2,$Q188=Parametres!$G$3),K188,E188)</f>
        <v>-444857.7</v>
      </c>
      <c r="Q188" s="610" t="str">
        <f t="shared" si="29"/>
        <v>5-Ventes</v>
      </c>
      <c r="R188" s="609" t="str">
        <f t="shared" si="30"/>
        <v>4261</v>
      </c>
      <c r="S188" s="610" t="str">
        <f t="shared" si="31"/>
        <v>_</v>
      </c>
      <c r="T188" s="612" t="str">
        <f>+VLOOKUP($L188,Data_Validation!$A:$D,1,0)</f>
        <v>4285</v>
      </c>
      <c r="U188" s="612" t="str">
        <f>+VLOOKUP($L188,Data_Validation!$A:$D,3,0)</f>
        <v>Véhicules usagés</v>
      </c>
      <c r="V188" s="612" t="str">
        <f>+VLOOKUP($L188,Data_Validation!$A:$D,4,0)</f>
        <v>Autres Marques</v>
      </c>
      <c r="W188" s="612" t="str">
        <f>+VLOOKUP($L188,Data_Validation!$A:$E,5,0)</f>
        <v>$</v>
      </c>
      <c r="X188" s="612" t="str">
        <f>+VLOOKUP($L188,Data_Validation!$A:$F,6,0)</f>
        <v>Oui</v>
      </c>
    </row>
    <row r="189" spans="1:24" ht="15" customHeight="1">
      <c r="A189" s="1188" t="s">
        <v>963</v>
      </c>
      <c r="B189" s="1188" t="s">
        <v>1887</v>
      </c>
      <c r="C189" s="1190">
        <v>-2188631</v>
      </c>
      <c r="D189" s="1190">
        <v>-301508</v>
      </c>
      <c r="E189" s="1190">
        <v>-2490139</v>
      </c>
      <c r="F189" s="1188" t="s">
        <v>908</v>
      </c>
      <c r="G189" s="1188" t="s">
        <v>964</v>
      </c>
      <c r="H189" s="1188" t="s">
        <v>3845</v>
      </c>
      <c r="I189" s="607"/>
      <c r="J189" s="607"/>
      <c r="K189" s="607"/>
      <c r="L189" s="609" t="str">
        <f t="shared" si="27"/>
        <v>4291</v>
      </c>
      <c r="M189" s="610" t="str">
        <f t="shared" si="28"/>
        <v>VEH. D'OCC. AU GROS</v>
      </c>
      <c r="N189" s="611">
        <f>+IF(OR($Q189=Parametres!$G$2,$Q189=Parametres!$G$3),I189,C189)</f>
        <v>-2188631</v>
      </c>
      <c r="O189" s="611">
        <f>+IF(OR($Q189=Parametres!$G$2,$Q189=Parametres!$G$3),J189,D189)</f>
        <v>-301508</v>
      </c>
      <c r="P189" s="611">
        <f>+IF(OR($Q189=Parametres!$G$2,$Q189=Parametres!$G$3),K189,E189)</f>
        <v>-2490139</v>
      </c>
      <c r="Q189" s="610" t="str">
        <f t="shared" si="29"/>
        <v>5-Ventes</v>
      </c>
      <c r="R189" s="609" t="str">
        <f t="shared" si="30"/>
        <v>4281</v>
      </c>
      <c r="S189" s="610" t="str">
        <f t="shared" si="31"/>
        <v>_</v>
      </c>
      <c r="T189" s="612" t="str">
        <f>+VLOOKUP($L189,Data_Validation!$A:$D,1,0)</f>
        <v>4291</v>
      </c>
      <c r="U189" s="612" t="str">
        <f>+VLOOKUP($L189,Data_Validation!$A:$D,3,0)</f>
        <v>Véhicules usagés</v>
      </c>
      <c r="V189" s="612" t="str">
        <f>+VLOOKUP($L189,Data_Validation!$A:$D,4,0)</f>
        <v>Ventes au Gros</v>
      </c>
      <c r="W189" s="612" t="str">
        <f>+VLOOKUP($L189,Data_Validation!$A:$E,5,0)</f>
        <v>$</v>
      </c>
      <c r="X189" s="612" t="str">
        <f>+VLOOKUP($L189,Data_Validation!$A:$F,6,0)</f>
        <v>Oui</v>
      </c>
    </row>
    <row r="190" spans="1:24" ht="15" customHeight="1">
      <c r="A190" s="1188" t="s">
        <v>3615</v>
      </c>
      <c r="B190" s="1188" t="s">
        <v>968</v>
      </c>
      <c r="C190" s="1190">
        <v>-891749.03</v>
      </c>
      <c r="D190" s="1190">
        <v>-157898.31</v>
      </c>
      <c r="E190" s="1190">
        <v>-1049647.3400000001</v>
      </c>
      <c r="F190" s="1188" t="s">
        <v>908</v>
      </c>
      <c r="G190" s="1188" t="s">
        <v>968</v>
      </c>
      <c r="H190" s="1188" t="s">
        <v>3845</v>
      </c>
      <c r="I190" s="608"/>
      <c r="J190" s="608"/>
      <c r="K190" s="608"/>
      <c r="L190" s="609" t="str">
        <f t="shared" si="27"/>
        <v>4401</v>
      </c>
      <c r="M190" s="610" t="str">
        <f t="shared" si="28"/>
        <v>MAIN-D'OEUVRE - CLIENT VW - MCI</v>
      </c>
      <c r="N190" s="611">
        <f>+IF(OR($Q190=Parametres!$G$2,$Q190=Parametres!$G$3),I190,C190)</f>
        <v>-891749.03</v>
      </c>
      <c r="O190" s="611">
        <f>+IF(OR($Q190=Parametres!$G$2,$Q190=Parametres!$G$3),J190,D190)</f>
        <v>-157898.31</v>
      </c>
      <c r="P190" s="611">
        <f>+IF(OR($Q190=Parametres!$G$2,$Q190=Parametres!$G$3),K190,E190)</f>
        <v>-1049647.3400000001</v>
      </c>
      <c r="Q190" s="610" t="str">
        <f t="shared" si="29"/>
        <v>5-Ventes</v>
      </c>
      <c r="R190" s="609" t="str">
        <f t="shared" si="30"/>
        <v>4401</v>
      </c>
      <c r="S190" s="610" t="str">
        <f t="shared" si="31"/>
        <v>_</v>
      </c>
      <c r="T190" s="612" t="str">
        <f>+VLOOKUP($L190,Data_Validation!$A:$D,1,0)</f>
        <v>4401</v>
      </c>
      <c r="U190" s="612" t="str">
        <f>+VLOOKUP($L190,Data_Validation!$A:$D,3,0)</f>
        <v>Service</v>
      </c>
      <c r="V190" s="612" t="str">
        <f>+VLOOKUP($L190,Data_Validation!$A:$D,4,0)</f>
        <v>M/O Client</v>
      </c>
      <c r="W190" s="612" t="str">
        <f>+VLOOKUP($L190,Data_Validation!$A:$E,5,0)</f>
        <v>$</v>
      </c>
      <c r="X190" s="612" t="str">
        <f>+VLOOKUP($L190,Data_Validation!$A:$F,6,0)</f>
        <v>Oui</v>
      </c>
    </row>
    <row r="191" spans="1:24" ht="15" customHeight="1">
      <c r="A191" s="1188" t="s">
        <v>970</v>
      </c>
      <c r="B191" s="1188" t="s">
        <v>971</v>
      </c>
      <c r="C191" s="1190">
        <v>-58180.41</v>
      </c>
      <c r="D191" s="1190">
        <v>-5361.21</v>
      </c>
      <c r="E191" s="1190">
        <v>-63541.62</v>
      </c>
      <c r="F191" s="1188" t="s">
        <v>908</v>
      </c>
      <c r="G191" s="1188" t="s">
        <v>971</v>
      </c>
      <c r="H191" s="1188" t="s">
        <v>3845</v>
      </c>
      <c r="I191" s="607"/>
      <c r="J191" s="607"/>
      <c r="K191" s="626"/>
      <c r="L191" s="609" t="str">
        <f t="shared" si="27"/>
        <v>4402</v>
      </c>
      <c r="M191" s="610" t="str">
        <f t="shared" si="28"/>
        <v>VTE - M.O. ESTHETIQUE CLIENT</v>
      </c>
      <c r="N191" s="611">
        <f>+IF(OR($Q191=Parametres!$G$2,$Q191=Parametres!$G$3),I191,C191)</f>
        <v>-58180.41</v>
      </c>
      <c r="O191" s="611">
        <f>+IF(OR($Q191=Parametres!$G$2,$Q191=Parametres!$G$3),J191,D191)</f>
        <v>-5361.21</v>
      </c>
      <c r="P191" s="611">
        <f>+IF(OR($Q191=Parametres!$G$2,$Q191=Parametres!$G$3),K191,E191)</f>
        <v>-63541.62</v>
      </c>
      <c r="Q191" s="610" t="str">
        <f t="shared" si="29"/>
        <v>5-Ventes</v>
      </c>
      <c r="R191" s="609" t="str">
        <f t="shared" si="30"/>
        <v>4402</v>
      </c>
      <c r="S191" s="610" t="str">
        <f t="shared" si="31"/>
        <v>_</v>
      </c>
      <c r="T191" s="612" t="str">
        <f>+VLOOKUP($L191,Data_Validation!$A:$D,1,0)</f>
        <v>4402</v>
      </c>
      <c r="U191" s="612" t="str">
        <f>+VLOOKUP($L191,Data_Validation!$A:$D,3,0)</f>
        <v>Service</v>
      </c>
      <c r="V191" s="612" t="str">
        <f>+VLOOKUP($L191,Data_Validation!$A:$D,4,0)</f>
        <v>M/O Esthétique</v>
      </c>
      <c r="W191" s="612" t="str">
        <f>+VLOOKUP($L191,Data_Validation!$A:$E,5,0)</f>
        <v>$</v>
      </c>
      <c r="X191" s="612" t="str">
        <f>+VLOOKUP($L191,Data_Validation!$A:$F,6,0)</f>
        <v>Oui</v>
      </c>
    </row>
    <row r="192" spans="1:24" ht="15" customHeight="1">
      <c r="A192" s="1188" t="s">
        <v>3616</v>
      </c>
      <c r="B192" s="1188" t="s">
        <v>973</v>
      </c>
      <c r="C192" s="1190">
        <v>-372157.22</v>
      </c>
      <c r="D192" s="1190">
        <v>-61600.22</v>
      </c>
      <c r="E192" s="1190">
        <v>-433757.44</v>
      </c>
      <c r="F192" s="1188" t="s">
        <v>908</v>
      </c>
      <c r="G192" s="1188" t="s">
        <v>973</v>
      </c>
      <c r="H192" s="1188" t="s">
        <v>3845</v>
      </c>
      <c r="I192" s="608"/>
      <c r="J192" s="608"/>
      <c r="K192" s="608"/>
      <c r="L192" s="609" t="str">
        <f t="shared" si="27"/>
        <v>4403</v>
      </c>
      <c r="M192" s="610" t="str">
        <f t="shared" si="28"/>
        <v>MAIN-D'OEUVRE - GARANTIE VW - MCI</v>
      </c>
      <c r="N192" s="611">
        <f>+IF(OR($Q192=Parametres!$G$2,$Q192=Parametres!$G$3),I192,C192)</f>
        <v>-372157.22</v>
      </c>
      <c r="O192" s="611">
        <f>+IF(OR($Q192=Parametres!$G$2,$Q192=Parametres!$G$3),J192,D192)</f>
        <v>-61600.22</v>
      </c>
      <c r="P192" s="611">
        <f>+IF(OR($Q192=Parametres!$G$2,$Q192=Parametres!$G$3),K192,E192)</f>
        <v>-433757.44</v>
      </c>
      <c r="Q192" s="610" t="str">
        <f t="shared" si="29"/>
        <v>5-Ventes</v>
      </c>
      <c r="R192" s="609" t="str">
        <f t="shared" si="30"/>
        <v>4403</v>
      </c>
      <c r="S192" s="610" t="str">
        <f t="shared" si="31"/>
        <v>_</v>
      </c>
      <c r="T192" s="612" t="str">
        <f>+VLOOKUP($L192,Data_Validation!$A:$D,1,0)</f>
        <v>4403</v>
      </c>
      <c r="U192" s="612" t="str">
        <f>+VLOOKUP($L192,Data_Validation!$A:$D,3,0)</f>
        <v>Service</v>
      </c>
      <c r="V192" s="612" t="str">
        <f>+VLOOKUP($L192,Data_Validation!$A:$D,4,0)</f>
        <v>M/O Garantie</v>
      </c>
      <c r="W192" s="612" t="str">
        <f>+VLOOKUP($L192,Data_Validation!$A:$E,5,0)</f>
        <v>$</v>
      </c>
      <c r="X192" s="612" t="str">
        <f>+VLOOKUP($L192,Data_Validation!$A:$F,6,0)</f>
        <v>Oui</v>
      </c>
    </row>
    <row r="193" spans="1:24" ht="15" customHeight="1">
      <c r="A193" s="1188" t="s">
        <v>3617</v>
      </c>
      <c r="B193" s="1188" t="s">
        <v>976</v>
      </c>
      <c r="C193" s="1190">
        <v>-483234.17</v>
      </c>
      <c r="D193" s="1190">
        <v>-61256.52</v>
      </c>
      <c r="E193" s="1190">
        <v>-544490.68999999994</v>
      </c>
      <c r="F193" s="1188" t="s">
        <v>908</v>
      </c>
      <c r="G193" s="1188" t="s">
        <v>976</v>
      </c>
      <c r="H193" s="1188" t="s">
        <v>3845</v>
      </c>
      <c r="I193" s="607"/>
      <c r="J193" s="607"/>
      <c r="K193" s="626"/>
      <c r="L193" s="609" t="str">
        <f t="shared" si="27"/>
        <v>4405</v>
      </c>
      <c r="M193" s="610" t="str">
        <f t="shared" si="28"/>
        <v>MAIN-D'OEUVRE - INTERNE VW - MCI</v>
      </c>
      <c r="N193" s="611">
        <f>+IF(OR($Q193=Parametres!$G$2,$Q193=Parametres!$G$3),I193,C193)</f>
        <v>-483234.17</v>
      </c>
      <c r="O193" s="611">
        <f>+IF(OR($Q193=Parametres!$G$2,$Q193=Parametres!$G$3),J193,D193)</f>
        <v>-61256.52</v>
      </c>
      <c r="P193" s="611">
        <f>+IF(OR($Q193=Parametres!$G$2,$Q193=Parametres!$G$3),K193,E193)</f>
        <v>-544490.68999999994</v>
      </c>
      <c r="Q193" s="610" t="str">
        <f t="shared" si="29"/>
        <v>5-Ventes</v>
      </c>
      <c r="R193" s="609" t="str">
        <f t="shared" si="30"/>
        <v>4405</v>
      </c>
      <c r="S193" s="610" t="str">
        <f t="shared" si="31"/>
        <v>_</v>
      </c>
      <c r="T193" s="612" t="str">
        <f>+VLOOKUP($L193,Data_Validation!$A:$D,1,0)</f>
        <v>4405</v>
      </c>
      <c r="U193" s="612" t="str">
        <f>+VLOOKUP($L193,Data_Validation!$A:$D,3,0)</f>
        <v>Service</v>
      </c>
      <c r="V193" s="612" t="str">
        <f>+VLOOKUP($L193,Data_Validation!$A:$D,4,0)</f>
        <v>M/O Interne</v>
      </c>
      <c r="W193" s="612" t="str">
        <f>+VLOOKUP($L193,Data_Validation!$A:$E,5,0)</f>
        <v>$</v>
      </c>
      <c r="X193" s="612" t="str">
        <f>+VLOOKUP($L193,Data_Validation!$A:$F,6,0)</f>
        <v>Oui</v>
      </c>
    </row>
    <row r="194" spans="1:24" ht="15.75" customHeight="1">
      <c r="A194" s="1188" t="s">
        <v>978</v>
      </c>
      <c r="B194" s="1188" t="s">
        <v>1919</v>
      </c>
      <c r="C194" s="1190">
        <v>-115748.62</v>
      </c>
      <c r="D194" s="1190">
        <v>-24155.37</v>
      </c>
      <c r="E194" s="1190">
        <v>-139903.99</v>
      </c>
      <c r="F194" s="1188" t="s">
        <v>908</v>
      </c>
      <c r="G194" s="1188" t="s">
        <v>979</v>
      </c>
      <c r="H194" s="1188" t="s">
        <v>3845</v>
      </c>
      <c r="I194" s="608"/>
      <c r="J194" s="608"/>
      <c r="K194" s="608"/>
      <c r="L194" s="609" t="str">
        <f t="shared" si="27"/>
        <v>4451</v>
      </c>
      <c r="M194" s="610" t="str">
        <f t="shared" si="28"/>
        <v>CARBURANT/HUILE/GRAISSE</v>
      </c>
      <c r="N194" s="611">
        <f>+IF(OR($Q194=Parametres!$G$2,$Q194=Parametres!$G$3),I194,C194)</f>
        <v>-115748.62</v>
      </c>
      <c r="O194" s="611">
        <f>+IF(OR($Q194=Parametres!$G$2,$Q194=Parametres!$G$3),J194,D194)</f>
        <v>-24155.37</v>
      </c>
      <c r="P194" s="611">
        <f>+IF(OR($Q194=Parametres!$G$2,$Q194=Parametres!$G$3),K194,E194)</f>
        <v>-139903.99</v>
      </c>
      <c r="Q194" s="610" t="str">
        <f t="shared" si="29"/>
        <v>5-Ventes</v>
      </c>
      <c r="R194" s="609" t="str">
        <f t="shared" si="30"/>
        <v>4782</v>
      </c>
      <c r="S194" s="610" t="str">
        <f t="shared" si="31"/>
        <v>_</v>
      </c>
      <c r="T194" s="612" t="str">
        <f>+VLOOKUP($L194,Data_Validation!$A:$D,1,0)</f>
        <v>4451</v>
      </c>
      <c r="U194" s="612" t="str">
        <f>+VLOOKUP($L194,Data_Validation!$A:$D,3,0)</f>
        <v>Pièces</v>
      </c>
      <c r="V194" s="612" t="str">
        <f>+VLOOKUP($L194,Data_Validation!$A:$D,4,0)</f>
        <v>Huiles et Graisse</v>
      </c>
      <c r="W194" s="612" t="str">
        <f>+VLOOKUP($L194,Data_Validation!$A:$E,5,0)</f>
        <v>$</v>
      </c>
      <c r="X194" s="612" t="str">
        <f>+VLOOKUP($L194,Data_Validation!$A:$F,6,0)</f>
        <v>Oui</v>
      </c>
    </row>
    <row r="195" spans="1:24" ht="15" customHeight="1">
      <c r="A195" s="1188" t="s">
        <v>981</v>
      </c>
      <c r="B195" s="1188" t="s">
        <v>982</v>
      </c>
      <c r="C195" s="1190">
        <v>-34435.39</v>
      </c>
      <c r="D195" s="1190">
        <v>-5365.72</v>
      </c>
      <c r="E195" s="1190">
        <v>-39801.11</v>
      </c>
      <c r="F195" s="1188" t="s">
        <v>908</v>
      </c>
      <c r="G195" s="1188" t="s">
        <v>982</v>
      </c>
      <c r="H195" s="1188" t="s">
        <v>3845</v>
      </c>
      <c r="I195" s="626"/>
      <c r="J195" s="607"/>
      <c r="K195" s="626"/>
      <c r="L195" s="609" t="str">
        <f t="shared" si="27"/>
        <v>4491</v>
      </c>
      <c r="M195" s="610" t="str">
        <f t="shared" si="28"/>
        <v>REPARATION SOUS-LOC. - GENERAL</v>
      </c>
      <c r="N195" s="611">
        <f>+IF(OR($Q195=Parametres!$G$2,$Q195=Parametres!$G$3),I195,C195)</f>
        <v>-34435.39</v>
      </c>
      <c r="O195" s="611">
        <f>+IF(OR($Q195=Parametres!$G$2,$Q195=Parametres!$G$3),J195,D195)</f>
        <v>-5365.72</v>
      </c>
      <c r="P195" s="611">
        <f>+IF(OR($Q195=Parametres!$G$2,$Q195=Parametres!$G$3),K195,E195)</f>
        <v>-39801.11</v>
      </c>
      <c r="Q195" s="610" t="str">
        <f t="shared" si="29"/>
        <v>5-Ventes</v>
      </c>
      <c r="R195" s="609" t="str">
        <f t="shared" si="30"/>
        <v>4491</v>
      </c>
      <c r="S195" s="610" t="str">
        <f t="shared" si="31"/>
        <v>_</v>
      </c>
      <c r="T195" s="612" t="str">
        <f>+VLOOKUP($L195,Data_Validation!$A:$D,1,0)</f>
        <v>4491</v>
      </c>
      <c r="U195" s="612" t="str">
        <f>+VLOOKUP($L195,Data_Validation!$A:$D,3,0)</f>
        <v>Service</v>
      </c>
      <c r="V195" s="612" t="str">
        <f>+VLOOKUP($L195,Data_Validation!$A:$D,4,0)</f>
        <v>Sous-traitement</v>
      </c>
      <c r="W195" s="612" t="str">
        <f>+VLOOKUP($L195,Data_Validation!$A:$E,5,0)</f>
        <v>$</v>
      </c>
      <c r="X195" s="612" t="str">
        <f>+VLOOKUP($L195,Data_Validation!$A:$F,6,0)</f>
        <v>Oui</v>
      </c>
    </row>
    <row r="196" spans="1:24" ht="15" customHeight="1">
      <c r="A196" s="1188" t="s">
        <v>984</v>
      </c>
      <c r="B196" s="1188" t="s">
        <v>985</v>
      </c>
      <c r="C196" s="1190">
        <v>-8549.02</v>
      </c>
      <c r="D196" s="1190">
        <v>-825</v>
      </c>
      <c r="E196" s="1190">
        <v>-9374.02</v>
      </c>
      <c r="F196" s="1188" t="s">
        <v>908</v>
      </c>
      <c r="G196" s="1188" t="s">
        <v>985</v>
      </c>
      <c r="H196" s="1188" t="s">
        <v>3845</v>
      </c>
      <c r="I196" s="608"/>
      <c r="J196" s="608"/>
      <c r="K196" s="608"/>
      <c r="L196" s="609" t="str">
        <f t="shared" si="27"/>
        <v>4493</v>
      </c>
      <c r="M196" s="610" t="str">
        <f t="shared" si="28"/>
        <v>VTE - SOUS-TRAITANCE GARANTIE</v>
      </c>
      <c r="N196" s="611">
        <f>+IF(OR($Q196=Parametres!$G$2,$Q196=Parametres!$G$3),I196,C196)</f>
        <v>-8549.02</v>
      </c>
      <c r="O196" s="611">
        <f>+IF(OR($Q196=Parametres!$G$2,$Q196=Parametres!$G$3),J196,D196)</f>
        <v>-825</v>
      </c>
      <c r="P196" s="611">
        <f>+IF(OR($Q196=Parametres!$G$2,$Q196=Parametres!$G$3),K196,E196)</f>
        <v>-9374.02</v>
      </c>
      <c r="Q196" s="610" t="str">
        <f t="shared" si="29"/>
        <v>5-Ventes</v>
      </c>
      <c r="R196" s="609" t="str">
        <f t="shared" si="30"/>
        <v>4493</v>
      </c>
      <c r="S196" s="610" t="str">
        <f t="shared" si="31"/>
        <v>_</v>
      </c>
      <c r="T196" s="612" t="str">
        <f>+VLOOKUP($L196,Data_Validation!$A:$D,1,0)</f>
        <v>4493</v>
      </c>
      <c r="U196" s="612" t="str">
        <f>+VLOOKUP($L196,Data_Validation!$A:$D,3,0)</f>
        <v>Service</v>
      </c>
      <c r="V196" s="612" t="str">
        <f>+VLOOKUP($L196,Data_Validation!$A:$D,4,0)</f>
        <v>Sous-traitement</v>
      </c>
      <c r="W196" s="612" t="str">
        <f>+VLOOKUP($L196,Data_Validation!$A:$E,5,0)</f>
        <v>$</v>
      </c>
      <c r="X196" s="612" t="str">
        <f>+VLOOKUP($L196,Data_Validation!$A:$F,6,0)</f>
        <v>Oui</v>
      </c>
    </row>
    <row r="197" spans="1:24" ht="15" customHeight="1">
      <c r="A197" s="1188" t="s">
        <v>988</v>
      </c>
      <c r="B197" s="1188" t="s">
        <v>989</v>
      </c>
      <c r="C197" s="1190">
        <v>-44847.9</v>
      </c>
      <c r="D197" s="1190">
        <v>-7596.4</v>
      </c>
      <c r="E197" s="1190">
        <v>-52444.3</v>
      </c>
      <c r="F197" s="1188" t="s">
        <v>908</v>
      </c>
      <c r="G197" s="1188" t="s">
        <v>989</v>
      </c>
      <c r="H197" s="1188" t="s">
        <v>3845</v>
      </c>
      <c r="I197" s="607"/>
      <c r="J197" s="607"/>
      <c r="K197" s="626"/>
      <c r="L197" s="609" t="str">
        <f t="shared" si="27"/>
        <v>4495</v>
      </c>
      <c r="M197" s="610" t="str">
        <f t="shared" si="28"/>
        <v>VTE - S-TRAITANCE MEC.INTERNE VW</v>
      </c>
      <c r="N197" s="611">
        <f>+IF(OR($Q197=Parametres!$G$2,$Q197=Parametres!$G$3),I197,C197)</f>
        <v>-44847.9</v>
      </c>
      <c r="O197" s="615">
        <f>+IF(OR($Q197=Parametres!$G$2,$Q197=Parametres!$G$3),J197,D197)</f>
        <v>-7596.4</v>
      </c>
      <c r="P197" s="611">
        <f>+IF(OR($Q197=Parametres!$G$2,$Q197=Parametres!$G$3),K197,E197)</f>
        <v>-52444.3</v>
      </c>
      <c r="Q197" s="610" t="str">
        <f t="shared" si="29"/>
        <v>5-Ventes</v>
      </c>
      <c r="R197" s="609" t="str">
        <f t="shared" si="30"/>
        <v>4495</v>
      </c>
      <c r="S197" s="610" t="str">
        <f t="shared" si="31"/>
        <v>_</v>
      </c>
      <c r="T197" s="612" t="str">
        <f>+VLOOKUP($L197,Data_Validation!$A:$D,1,0)</f>
        <v>4495</v>
      </c>
      <c r="U197" s="612" t="str">
        <f>+VLOOKUP($L197,Data_Validation!$A:$D,3,0)</f>
        <v>Service</v>
      </c>
      <c r="V197" s="612" t="str">
        <f>+VLOOKUP($L197,Data_Validation!$A:$D,4,0)</f>
        <v>Sous-traitement</v>
      </c>
      <c r="W197" s="612" t="str">
        <f>+VLOOKUP($L197,Data_Validation!$A:$E,5,0)</f>
        <v>$</v>
      </c>
      <c r="X197" s="612" t="str">
        <f>+VLOOKUP($L197,Data_Validation!$A:$F,6,0)</f>
        <v>Oui</v>
      </c>
    </row>
    <row r="198" spans="1:24" ht="15" customHeight="1">
      <c r="A198" s="1188" t="s">
        <v>3370</v>
      </c>
      <c r="B198" s="1188" t="s">
        <v>3371</v>
      </c>
      <c r="C198" s="1190">
        <v>-20128.400000000001</v>
      </c>
      <c r="D198" s="1190">
        <v>0</v>
      </c>
      <c r="E198" s="1190">
        <v>-20128.400000000001</v>
      </c>
      <c r="F198" s="1188" t="s">
        <v>908</v>
      </c>
      <c r="G198" s="1188" t="s">
        <v>3371</v>
      </c>
      <c r="H198" s="1188" t="s">
        <v>3845</v>
      </c>
      <c r="I198" s="608"/>
      <c r="J198" s="608"/>
      <c r="K198" s="608"/>
      <c r="L198" s="609" t="str">
        <f t="shared" si="27"/>
        <v>4505</v>
      </c>
      <c r="M198" s="610" t="str">
        <f t="shared" si="28"/>
        <v>VTE - M.O. INTERNE CARROSSERIE</v>
      </c>
      <c r="N198" s="611">
        <f>+IF(OR($Q198=Parametres!$G$2,$Q198=Parametres!$G$3),I198,C198)</f>
        <v>-20128.400000000001</v>
      </c>
      <c r="O198" s="611">
        <f>+IF(OR($Q198=Parametres!$G$2,$Q198=Parametres!$G$3),J198,D198)</f>
        <v>0</v>
      </c>
      <c r="P198" s="611">
        <f>+IF(OR($Q198=Parametres!$G$2,$Q198=Parametres!$G$3),K198,E198)</f>
        <v>-20128.400000000001</v>
      </c>
      <c r="Q198" s="610" t="str">
        <f t="shared" si="29"/>
        <v>5-Ventes</v>
      </c>
      <c r="R198" s="609" t="str">
        <f t="shared" si="30"/>
        <v>4505</v>
      </c>
      <c r="S198" s="610" t="str">
        <f t="shared" si="31"/>
        <v>_</v>
      </c>
      <c r="T198" s="612" t="str">
        <f>+VLOOKUP($L198,Data_Validation!$A:$D,1,0)</f>
        <v>4505</v>
      </c>
      <c r="U198" s="612" t="str">
        <f>+VLOOKUP($L198,Data_Validation!$A:$D,3,0)</f>
        <v>Service</v>
      </c>
      <c r="V198" s="612" t="str">
        <f>+VLOOKUP($L198,Data_Validation!$A:$D,4,0)</f>
        <v>M.O. Recond. MCPA</v>
      </c>
      <c r="W198" s="612" t="str">
        <f>+VLOOKUP($L198,Data_Validation!$A:$E,5,0)</f>
        <v>$</v>
      </c>
      <c r="X198" s="612" t="str">
        <f>+VLOOKUP($L198,Data_Validation!$A:$F,6,0)</f>
        <v>Oui</v>
      </c>
    </row>
    <row r="199" spans="1:24" ht="15.75" customHeight="1">
      <c r="A199" s="1188" t="s">
        <v>995</v>
      </c>
      <c r="B199" s="1188" t="s">
        <v>996</v>
      </c>
      <c r="C199" s="1190">
        <v>-121803.36</v>
      </c>
      <c r="D199" s="1190">
        <v>-29226.720000000001</v>
      </c>
      <c r="E199" s="1190">
        <v>-151030.07999999999</v>
      </c>
      <c r="F199" s="1188" t="s">
        <v>908</v>
      </c>
      <c r="G199" s="1188" t="s">
        <v>996</v>
      </c>
      <c r="H199" s="1188" t="s">
        <v>3845</v>
      </c>
      <c r="I199" s="626"/>
      <c r="J199" s="607"/>
      <c r="K199" s="626"/>
      <c r="L199" s="609" t="str">
        <f t="shared" si="27"/>
        <v>4591</v>
      </c>
      <c r="M199" s="610" t="str">
        <f t="shared" si="28"/>
        <v>VTE - S-TRAIT. CARR.</v>
      </c>
      <c r="N199" s="611">
        <f>+IF(OR($Q199=Parametres!$G$2,$Q199=Parametres!$G$3),I199,C199)</f>
        <v>-121803.36</v>
      </c>
      <c r="O199" s="611">
        <f>+IF(OR($Q199=Parametres!$G$2,$Q199=Parametres!$G$3),J199,D199)</f>
        <v>-29226.720000000001</v>
      </c>
      <c r="P199" s="611">
        <f>+IF(OR($Q199=Parametres!$G$2,$Q199=Parametres!$G$3),K199,E199)</f>
        <v>-151030.07999999999</v>
      </c>
      <c r="Q199" s="610" t="str">
        <f t="shared" si="29"/>
        <v>5-Ventes</v>
      </c>
      <c r="R199" s="609" t="str">
        <f t="shared" si="30"/>
        <v>4591</v>
      </c>
      <c r="S199" s="610" t="str">
        <f t="shared" si="31"/>
        <v>_</v>
      </c>
      <c r="T199" s="612" t="str">
        <f>+VLOOKUP($L199,Data_Validation!$A:$D,1,0)</f>
        <v>4591</v>
      </c>
      <c r="U199" s="612" t="str">
        <f>+VLOOKUP($L199,Data_Validation!$A:$D,3,0)</f>
        <v>Carrosserie</v>
      </c>
      <c r="V199" s="612" t="str">
        <f>+VLOOKUP($L199,Data_Validation!$A:$D,4,0)</f>
        <v>M/O Sous-traitement</v>
      </c>
      <c r="W199" s="612" t="str">
        <f>+VLOOKUP($L199,Data_Validation!$A:$E,5,0)</f>
        <v>$</v>
      </c>
      <c r="X199" s="612" t="str">
        <f>+VLOOKUP($L199,Data_Validation!$A:$F,6,0)</f>
        <v>Oui</v>
      </c>
    </row>
    <row r="200" spans="1:24" ht="15" customHeight="1">
      <c r="A200" s="1188" t="s">
        <v>999</v>
      </c>
      <c r="B200" s="1188" t="s">
        <v>1000</v>
      </c>
      <c r="C200" s="1190">
        <v>-462501.13</v>
      </c>
      <c r="D200" s="1190">
        <v>-70179.59</v>
      </c>
      <c r="E200" s="1190">
        <v>-532680.72</v>
      </c>
      <c r="F200" s="1188" t="s">
        <v>908</v>
      </c>
      <c r="G200" s="1188" t="s">
        <v>1000</v>
      </c>
      <c r="H200" s="1188" t="s">
        <v>3845</v>
      </c>
      <c r="I200" s="608"/>
      <c r="J200" s="608"/>
      <c r="K200" s="608"/>
      <c r="L200" s="609" t="str">
        <f t="shared" si="27"/>
        <v>4593</v>
      </c>
      <c r="M200" s="610" t="str">
        <f t="shared" si="28"/>
        <v>VTE - SOUS-TRAITANCE GARANTIE CARR.</v>
      </c>
      <c r="N200" s="611">
        <f>+IF(OR($Q200=Parametres!$G$2,$Q200=Parametres!$G$3),I200,C200)</f>
        <v>-462501.13</v>
      </c>
      <c r="O200" s="611">
        <f>+IF(OR($Q200=Parametres!$G$2,$Q200=Parametres!$G$3),J200,D200)</f>
        <v>-70179.59</v>
      </c>
      <c r="P200" s="611">
        <f>+IF(OR($Q200=Parametres!$G$2,$Q200=Parametres!$G$3),K200,E200)</f>
        <v>-532680.72</v>
      </c>
      <c r="Q200" s="610" t="str">
        <f t="shared" si="29"/>
        <v>5-Ventes</v>
      </c>
      <c r="R200" s="609" t="str">
        <f t="shared" si="30"/>
        <v>4593</v>
      </c>
      <c r="S200" s="610" t="str">
        <f t="shared" si="31"/>
        <v>_</v>
      </c>
      <c r="T200" s="612" t="str">
        <f>+VLOOKUP($L200,Data_Validation!$A:$D,1,0)</f>
        <v>4593</v>
      </c>
      <c r="U200" s="612" t="str">
        <f>+VLOOKUP($L200,Data_Validation!$A:$D,3,0)</f>
        <v>Carrosserie</v>
      </c>
      <c r="V200" s="612" t="str">
        <f>+VLOOKUP($L200,Data_Validation!$A:$D,4,0)</f>
        <v>M/O Sous-traitement</v>
      </c>
      <c r="W200" s="612" t="str">
        <f>+VLOOKUP($L200,Data_Validation!$A:$E,5,0)</f>
        <v>$</v>
      </c>
      <c r="X200" s="612" t="str">
        <f>+VLOOKUP($L200,Data_Validation!$A:$F,6,0)</f>
        <v>Oui</v>
      </c>
    </row>
    <row r="201" spans="1:24" ht="15" customHeight="1">
      <c r="A201" s="1188" t="s">
        <v>1003</v>
      </c>
      <c r="B201" s="1188" t="s">
        <v>1004</v>
      </c>
      <c r="C201" s="1190">
        <v>-6811.73</v>
      </c>
      <c r="D201" s="1190">
        <v>-5395.74</v>
      </c>
      <c r="E201" s="1190">
        <v>-12207.47</v>
      </c>
      <c r="F201" s="1188" t="s">
        <v>908</v>
      </c>
      <c r="G201" s="1188" t="s">
        <v>1004</v>
      </c>
      <c r="H201" s="1188" t="s">
        <v>3845</v>
      </c>
      <c r="I201" s="608"/>
      <c r="J201" s="608"/>
      <c r="K201" s="608"/>
      <c r="L201" s="609" t="str">
        <f t="shared" si="27"/>
        <v>4595</v>
      </c>
      <c r="M201" s="610" t="str">
        <f t="shared" si="28"/>
        <v>VTE - SOUS-TRAITANCE INTERNE CARR.</v>
      </c>
      <c r="N201" s="611">
        <f>+IF(OR($Q201=Parametres!$G$2,$Q201=Parametres!$G$3),I201,C201)</f>
        <v>-6811.73</v>
      </c>
      <c r="O201" s="611">
        <f>+IF(OR($Q201=Parametres!$G$2,$Q201=Parametres!$G$3),J201,D201)</f>
        <v>-5395.74</v>
      </c>
      <c r="P201" s="611">
        <f>+IF(OR($Q201=Parametres!$G$2,$Q201=Parametres!$G$3),K201,E201)</f>
        <v>-12207.47</v>
      </c>
      <c r="Q201" s="610" t="str">
        <f t="shared" si="29"/>
        <v>5-Ventes</v>
      </c>
      <c r="R201" s="609" t="str">
        <f t="shared" si="30"/>
        <v>4595</v>
      </c>
      <c r="S201" s="610" t="str">
        <f t="shared" si="31"/>
        <v>_</v>
      </c>
      <c r="T201" s="612" t="str">
        <f>+VLOOKUP($L201,Data_Validation!$A:$D,1,0)</f>
        <v>4595</v>
      </c>
      <c r="U201" s="612" t="str">
        <f>+VLOOKUP($L201,Data_Validation!$A:$D,3,0)</f>
        <v>Carrosserie</v>
      </c>
      <c r="V201" s="612" t="str">
        <f>+VLOOKUP($L201,Data_Validation!$A:$D,4,0)</f>
        <v>M/O Sous-traitement</v>
      </c>
      <c r="W201" s="612" t="str">
        <f>+VLOOKUP($L201,Data_Validation!$A:$E,5,0)</f>
        <v>$</v>
      </c>
      <c r="X201" s="612" t="str">
        <f>+VLOOKUP($L201,Data_Validation!$A:$F,6,0)</f>
        <v>Oui</v>
      </c>
    </row>
    <row r="202" spans="1:24" ht="15" customHeight="1">
      <c r="A202" s="1188" t="s">
        <v>3618</v>
      </c>
      <c r="B202" s="1188" t="s">
        <v>1008</v>
      </c>
      <c r="C202" s="1190">
        <v>-479604.2</v>
      </c>
      <c r="D202" s="1190">
        <v>-107170.29</v>
      </c>
      <c r="E202" s="1190">
        <v>-586774.49</v>
      </c>
      <c r="F202" s="1188" t="s">
        <v>908</v>
      </c>
      <c r="G202" s="1188" t="s">
        <v>1008</v>
      </c>
      <c r="H202" s="1188" t="s">
        <v>3845</v>
      </c>
      <c r="I202" s="608"/>
      <c r="J202" s="608"/>
      <c r="K202" s="608"/>
      <c r="L202" s="609" t="str">
        <f t="shared" si="27"/>
        <v>4701</v>
      </c>
      <c r="M202" s="610" t="str">
        <f t="shared" si="28"/>
        <v>VW P&amp;A - BR - CLIENT - MCI</v>
      </c>
      <c r="N202" s="611">
        <f>+IF(OR($Q202=Parametres!$G$2,$Q202=Parametres!$G$3),I202,C202)</f>
        <v>-479604.2</v>
      </c>
      <c r="O202" s="611">
        <f>+IF(OR($Q202=Parametres!$G$2,$Q202=Parametres!$G$3),J202,D202)</f>
        <v>-107170.29</v>
      </c>
      <c r="P202" s="611">
        <f>+IF(OR($Q202=Parametres!$G$2,$Q202=Parametres!$G$3),K202,E202)</f>
        <v>-586774.49</v>
      </c>
      <c r="Q202" s="610" t="str">
        <f t="shared" si="29"/>
        <v>5-Ventes</v>
      </c>
      <c r="R202" s="609" t="str">
        <f t="shared" si="30"/>
        <v>4701</v>
      </c>
      <c r="S202" s="610" t="str">
        <f t="shared" si="31"/>
        <v>_</v>
      </c>
      <c r="T202" s="612" t="str">
        <f>+VLOOKUP($L202,Data_Validation!$A:$D,1,0)</f>
        <v>4701</v>
      </c>
      <c r="U202" s="612" t="str">
        <f>+VLOOKUP($L202,Data_Validation!$A:$D,3,0)</f>
        <v>Pièces</v>
      </c>
      <c r="V202" s="612" t="str">
        <f>+VLOOKUP($L202,Data_Validation!$A:$D,4,0)</f>
        <v>Pièces Ro Clients</v>
      </c>
      <c r="W202" s="612" t="str">
        <f>+VLOOKUP($L202,Data_Validation!$A:$E,5,0)</f>
        <v>$</v>
      </c>
      <c r="X202" s="612" t="str">
        <f>+VLOOKUP($L202,Data_Validation!$A:$F,6,0)</f>
        <v>Oui</v>
      </c>
    </row>
    <row r="203" spans="1:24" ht="15" customHeight="1">
      <c r="A203" s="1188" t="s">
        <v>1011</v>
      </c>
      <c r="B203" s="1188" t="s">
        <v>1012</v>
      </c>
      <c r="C203" s="1190">
        <v>-5025.97</v>
      </c>
      <c r="D203" s="1190">
        <v>-639.30999999999995</v>
      </c>
      <c r="E203" s="1190">
        <v>-5665.28</v>
      </c>
      <c r="F203" s="1188" t="s">
        <v>908</v>
      </c>
      <c r="G203" s="1188" t="s">
        <v>1012</v>
      </c>
      <c r="H203" s="1188" t="s">
        <v>3845</v>
      </c>
      <c r="I203" s="616"/>
      <c r="J203" s="616"/>
      <c r="K203" s="616"/>
      <c r="L203" s="609" t="str">
        <f t="shared" si="27"/>
        <v>4702</v>
      </c>
      <c r="M203" s="610" t="str">
        <f t="shared" si="28"/>
        <v>VTE - SHOP SUPPLY VW</v>
      </c>
      <c r="N203" s="611">
        <f>+IF(OR($Q203=Parametres!$G$2,$Q203=Parametres!$G$3),I203,C203)</f>
        <v>-5025.97</v>
      </c>
      <c r="O203" s="611">
        <f>+IF(OR($Q203=Parametres!$G$2,$Q203=Parametres!$G$3),J203,D203)</f>
        <v>-639.30999999999995</v>
      </c>
      <c r="P203" s="611">
        <f>+IF(OR($Q203=Parametres!$G$2,$Q203=Parametres!$G$3),K203,E203)</f>
        <v>-5665.28</v>
      </c>
      <c r="Q203" s="610" t="str">
        <f t="shared" si="29"/>
        <v>5-Ventes</v>
      </c>
      <c r="R203" s="609" t="str">
        <f t="shared" si="30"/>
        <v>4702</v>
      </c>
      <c r="S203" s="610" t="str">
        <f t="shared" si="31"/>
        <v>_</v>
      </c>
      <c r="T203" s="612" t="str">
        <f>+VLOOKUP($L203,Data_Validation!$A:$D,1,0)</f>
        <v>4702</v>
      </c>
      <c r="U203" s="612" t="str">
        <f>+VLOOKUP($L203,Data_Validation!$A:$D,3,0)</f>
        <v>Service</v>
      </c>
      <c r="V203" s="612" t="str">
        <f>+VLOOKUP($L203,Data_Validation!$A:$D,4,0)</f>
        <v>M/O Client</v>
      </c>
      <c r="W203" s="612" t="str">
        <f>+VLOOKUP($L203,Data_Validation!$A:$E,5,0)</f>
        <v>$</v>
      </c>
      <c r="X203" s="612" t="str">
        <f>+VLOOKUP($L203,Data_Validation!$A:$F,6,0)</f>
        <v>Oui</v>
      </c>
    </row>
    <row r="204" spans="1:24" ht="15" customHeight="1">
      <c r="A204" s="1188" t="s">
        <v>3619</v>
      </c>
      <c r="B204" s="1188" t="s">
        <v>1014</v>
      </c>
      <c r="C204" s="1190">
        <v>-453421.67</v>
      </c>
      <c r="D204" s="1190">
        <v>-62954.92</v>
      </c>
      <c r="E204" s="1190">
        <v>-516376.59</v>
      </c>
      <c r="F204" s="1188" t="s">
        <v>908</v>
      </c>
      <c r="G204" s="1188" t="s">
        <v>1014</v>
      </c>
      <c r="H204" s="1188" t="s">
        <v>3845</v>
      </c>
      <c r="I204" s="608"/>
      <c r="J204" s="608"/>
      <c r="K204" s="608"/>
      <c r="L204" s="609" t="str">
        <f t="shared" si="27"/>
        <v>4703</v>
      </c>
      <c r="M204" s="610" t="str">
        <f t="shared" si="28"/>
        <v>VW P&amp;A - BR - GARANTIE - MCI</v>
      </c>
      <c r="N204" s="611">
        <f>+IF(OR($Q204=Parametres!$G$2,$Q204=Parametres!$G$3),I204,C204)</f>
        <v>-453421.67</v>
      </c>
      <c r="O204" s="615">
        <f>+IF(OR($Q204=Parametres!$G$2,$Q204=Parametres!$G$3),J204,D204)</f>
        <v>-62954.92</v>
      </c>
      <c r="P204" s="611">
        <f>+IF(OR($Q204=Parametres!$G$2,$Q204=Parametres!$G$3),K204,E204)</f>
        <v>-516376.59</v>
      </c>
      <c r="Q204" s="610" t="str">
        <f t="shared" si="29"/>
        <v>5-Ventes</v>
      </c>
      <c r="R204" s="609" t="str">
        <f t="shared" si="30"/>
        <v>4703</v>
      </c>
      <c r="S204" s="610" t="str">
        <f t="shared" si="31"/>
        <v>_</v>
      </c>
      <c r="T204" s="612" t="str">
        <f>+VLOOKUP($L204,Data_Validation!$A:$D,1,0)</f>
        <v>4703</v>
      </c>
      <c r="U204" s="612" t="str">
        <f>+VLOOKUP($L204,Data_Validation!$A:$D,3,0)</f>
        <v>Pièces</v>
      </c>
      <c r="V204" s="612" t="str">
        <f>+VLOOKUP($L204,Data_Validation!$A:$D,4,0)</f>
        <v>P/A Garantie</v>
      </c>
      <c r="W204" s="612" t="str">
        <f>+VLOOKUP($L204,Data_Validation!$A:$E,5,0)</f>
        <v>$</v>
      </c>
      <c r="X204" s="612" t="str">
        <f>+VLOOKUP($L204,Data_Validation!$A:$F,6,0)</f>
        <v>Oui</v>
      </c>
    </row>
    <row r="205" spans="1:24" ht="15" customHeight="1">
      <c r="A205" s="1188" t="s">
        <v>3620</v>
      </c>
      <c r="B205" s="1188" t="s">
        <v>1018</v>
      </c>
      <c r="C205" s="1190">
        <v>-321755.74</v>
      </c>
      <c r="D205" s="1190">
        <v>-46969.1</v>
      </c>
      <c r="E205" s="1190">
        <v>-368724.84</v>
      </c>
      <c r="F205" s="1188" t="s">
        <v>908</v>
      </c>
      <c r="G205" s="1188" t="s">
        <v>1018</v>
      </c>
      <c r="H205" s="1188" t="s">
        <v>3845</v>
      </c>
      <c r="I205" s="626"/>
      <c r="J205" s="607"/>
      <c r="K205" s="626"/>
      <c r="L205" s="609" t="str">
        <f t="shared" si="27"/>
        <v>4705</v>
      </c>
      <c r="M205" s="610" t="str">
        <f t="shared" si="28"/>
        <v>VW P&amp;A - BR - INTERNE - MCI</v>
      </c>
      <c r="N205" s="611">
        <f>+IF(OR($Q205=Parametres!$G$2,$Q205=Parametres!$G$3),I205,C205)</f>
        <v>-321755.74</v>
      </c>
      <c r="O205" s="611">
        <f>+IF(OR($Q205=Parametres!$G$2,$Q205=Parametres!$G$3),J205,D205)</f>
        <v>-46969.1</v>
      </c>
      <c r="P205" s="611">
        <f>+IF(OR($Q205=Parametres!$G$2,$Q205=Parametres!$G$3),K205,E205)</f>
        <v>-368724.84</v>
      </c>
      <c r="Q205" s="610" t="str">
        <f t="shared" si="29"/>
        <v>5-Ventes</v>
      </c>
      <c r="R205" s="609" t="str">
        <f t="shared" si="30"/>
        <v>4705</v>
      </c>
      <c r="S205" s="610" t="str">
        <f t="shared" si="31"/>
        <v>_</v>
      </c>
      <c r="T205" s="627" t="str">
        <f>+VLOOKUP($L205,Data_Validation!$A:$D,1,0)</f>
        <v>4705</v>
      </c>
      <c r="U205" s="612" t="str">
        <f>+VLOOKUP($L205,Data_Validation!$A:$D,3,0)</f>
        <v>Pièces</v>
      </c>
      <c r="V205" s="612" t="str">
        <f>+VLOOKUP($L205,Data_Validation!$A:$D,4,0)</f>
        <v>Ventes Internes</v>
      </c>
      <c r="W205" s="612" t="str">
        <f>+VLOOKUP($L205,Data_Validation!$A:$E,5,0)</f>
        <v>$</v>
      </c>
      <c r="X205" s="612" t="str">
        <f>+VLOOKUP($L205,Data_Validation!$A:$F,6,0)</f>
        <v>Oui</v>
      </c>
    </row>
    <row r="206" spans="1:24" ht="15.75" customHeight="1">
      <c r="A206" s="1188" t="s">
        <v>3621</v>
      </c>
      <c r="B206" s="1188" t="s">
        <v>1021</v>
      </c>
      <c r="C206" s="1190">
        <v>-990.04</v>
      </c>
      <c r="D206" s="1190">
        <v>-160.12</v>
      </c>
      <c r="E206" s="1190">
        <v>-1150.1600000000001</v>
      </c>
      <c r="F206" s="1188" t="s">
        <v>908</v>
      </c>
      <c r="G206" s="1188" t="s">
        <v>1021</v>
      </c>
      <c r="H206" s="1188" t="s">
        <v>3845</v>
      </c>
      <c r="I206" s="608"/>
      <c r="J206" s="608"/>
      <c r="K206" s="608"/>
      <c r="L206" s="609" t="str">
        <f t="shared" si="27"/>
        <v>4706</v>
      </c>
      <c r="M206" s="610" t="str">
        <f t="shared" si="28"/>
        <v>VW P&amp;A - BR - CLIENT - VEB</v>
      </c>
      <c r="N206" s="611">
        <f>+IF(OR($Q206=Parametres!$G$2,$Q206=Parametres!$G$3),I206,C206)</f>
        <v>-990.04</v>
      </c>
      <c r="O206" s="611">
        <f>+IF(OR($Q206=Parametres!$G$2,$Q206=Parametres!$G$3),J206,D206)</f>
        <v>-160.12</v>
      </c>
      <c r="P206" s="611">
        <f>+IF(OR($Q206=Parametres!$G$2,$Q206=Parametres!$G$3),K206,E206)</f>
        <v>-1150.1600000000001</v>
      </c>
      <c r="Q206" s="610" t="str">
        <f t="shared" si="29"/>
        <v>5-Ventes</v>
      </c>
      <c r="R206" s="609" t="str">
        <f t="shared" si="30"/>
        <v>4706</v>
      </c>
      <c r="S206" s="610" t="str">
        <f t="shared" si="31"/>
        <v>_</v>
      </c>
      <c r="T206" s="612" t="str">
        <f>+VLOOKUP($L206,Data_Validation!$A:$D,1,0)</f>
        <v>4706</v>
      </c>
      <c r="U206" s="612" t="str">
        <f>+VLOOKUP($L206,Data_Validation!$A:$D,3,0)</f>
        <v>Service</v>
      </c>
      <c r="V206" s="612" t="str">
        <f>+VLOOKUP($L206,Data_Validation!$A:$D,4,0)</f>
        <v>M/O Interne</v>
      </c>
      <c r="W206" s="612" t="str">
        <f>+VLOOKUP($L206,Data_Validation!$A:$E,5,0)</f>
        <v>$</v>
      </c>
      <c r="X206" s="612" t="str">
        <f>+VLOOKUP($L206,Data_Validation!$A:$F,6,0)</f>
        <v>Oui</v>
      </c>
    </row>
    <row r="207" spans="1:24" ht="15" customHeight="1">
      <c r="A207" s="1188" t="s">
        <v>1022</v>
      </c>
      <c r="B207" s="1188" t="s">
        <v>1087</v>
      </c>
      <c r="C207" s="1190">
        <v>-20474.13</v>
      </c>
      <c r="D207" s="1190">
        <v>-3015.34</v>
      </c>
      <c r="E207" s="1190">
        <v>-23489.47</v>
      </c>
      <c r="F207" s="1188" t="s">
        <v>908</v>
      </c>
      <c r="G207" s="1188" t="s">
        <v>1023</v>
      </c>
      <c r="H207" s="1188" t="s">
        <v>3845</v>
      </c>
      <c r="I207" s="626"/>
      <c r="J207" s="607"/>
      <c r="K207" s="626"/>
      <c r="L207" s="609" t="str">
        <f t="shared" si="27"/>
        <v>4711</v>
      </c>
      <c r="M207" s="610" t="str">
        <f t="shared" si="28"/>
        <v>VTE - AUTRE PIECE/ACC/CARR B.R. CLIENT</v>
      </c>
      <c r="N207" s="611">
        <f>+IF(OR($Q207=Parametres!$G$2,$Q207=Parametres!$G$3),I207,C207)</f>
        <v>-20474.13</v>
      </c>
      <c r="O207" s="615">
        <f>+IF(OR($Q207=Parametres!$G$2,$Q207=Parametres!$G$3),J207,D207)</f>
        <v>-3015.34</v>
      </c>
      <c r="P207" s="611">
        <f>+IF(OR($Q207=Parametres!$G$2,$Q207=Parametres!$G$3),K207,E207)</f>
        <v>-23489.47</v>
      </c>
      <c r="Q207" s="610" t="str">
        <f t="shared" si="29"/>
        <v>5-Ventes</v>
      </c>
      <c r="R207" s="609" t="str">
        <f t="shared" si="30"/>
        <v>84711</v>
      </c>
      <c r="S207" s="610" t="str">
        <f t="shared" si="31"/>
        <v>_</v>
      </c>
      <c r="T207" s="612" t="str">
        <f>+VLOOKUP($L207,Data_Validation!$A:$D,1,0)</f>
        <v>4711</v>
      </c>
      <c r="U207" s="612" t="str">
        <f>+VLOOKUP($L207,Data_Validation!$A:$D,3,0)</f>
        <v>Pièces</v>
      </c>
      <c r="V207" s="612" t="str">
        <f>+VLOOKUP($L207,Data_Validation!$A:$D,4,0)</f>
        <v>Pièces Ro Clients</v>
      </c>
      <c r="W207" s="612" t="str">
        <f>+VLOOKUP($L207,Data_Validation!$A:$E,5,0)</f>
        <v>$</v>
      </c>
      <c r="X207" s="612" t="str">
        <f>+VLOOKUP($L207,Data_Validation!$A:$F,6,0)</f>
        <v>Oui</v>
      </c>
    </row>
    <row r="208" spans="1:24" ht="15" customHeight="1">
      <c r="A208" s="1188" t="s">
        <v>3622</v>
      </c>
      <c r="B208" s="1188" t="s">
        <v>1031</v>
      </c>
      <c r="C208" s="1190">
        <v>-4116.5</v>
      </c>
      <c r="D208" s="1190">
        <v>-3967.72</v>
      </c>
      <c r="E208" s="1190">
        <v>-8084.22</v>
      </c>
      <c r="F208" s="1188" t="s">
        <v>908</v>
      </c>
      <c r="G208" s="1188" t="s">
        <v>1031</v>
      </c>
      <c r="H208" s="1188" t="s">
        <v>3845</v>
      </c>
      <c r="I208" s="608"/>
      <c r="J208" s="608"/>
      <c r="K208" s="608"/>
      <c r="L208" s="609" t="str">
        <f t="shared" si="27"/>
        <v>4731</v>
      </c>
      <c r="M208" s="610" t="str">
        <f t="shared" si="28"/>
        <v>VW-P&amp;A-P&amp;BRO-CLIENT - MCI</v>
      </c>
      <c r="N208" s="611">
        <f>+IF(OR($Q208=Parametres!$G$2,$Q208=Parametres!$G$3),I208,C208)</f>
        <v>-4116.5</v>
      </c>
      <c r="O208" s="611">
        <f>+IF(OR($Q208=Parametres!$G$2,$Q208=Parametres!$G$3),J208,D208)</f>
        <v>-3967.72</v>
      </c>
      <c r="P208" s="611">
        <f>+IF(OR($Q208=Parametres!$G$2,$Q208=Parametres!$G$3),K208,E208)</f>
        <v>-8084.22</v>
      </c>
      <c r="Q208" s="610" t="str">
        <f t="shared" si="29"/>
        <v>5-Ventes</v>
      </c>
      <c r="R208" s="609" t="str">
        <f t="shared" si="30"/>
        <v>4731</v>
      </c>
      <c r="S208" s="610" t="str">
        <f t="shared" si="31"/>
        <v>_</v>
      </c>
      <c r="T208" s="612" t="str">
        <f>+VLOOKUP($L208,Data_Validation!$A:$D,1,0)</f>
        <v>4731</v>
      </c>
      <c r="U208" s="612" t="str">
        <f>+VLOOKUP($L208,Data_Validation!$A:$D,3,0)</f>
        <v>Pièces</v>
      </c>
      <c r="V208" s="612" t="str">
        <f>+VLOOKUP($L208,Data_Validation!$A:$D,4,0)</f>
        <v>Pièces Ro Carrosserie</v>
      </c>
      <c r="W208" s="612" t="str">
        <f>+VLOOKUP($L208,Data_Validation!$A:$E,5,0)</f>
        <v>$</v>
      </c>
      <c r="X208" s="612" t="str">
        <f>+VLOOKUP($L208,Data_Validation!$A:$F,6,0)</f>
        <v>Oui</v>
      </c>
    </row>
    <row r="209" spans="1:24" ht="15" customHeight="1">
      <c r="A209" s="1188" t="s">
        <v>3623</v>
      </c>
      <c r="B209" s="1188" t="s">
        <v>1035</v>
      </c>
      <c r="C209" s="1190">
        <v>-347478.62</v>
      </c>
      <c r="D209" s="1190">
        <v>-51845.97</v>
      </c>
      <c r="E209" s="1190">
        <v>-399324.59</v>
      </c>
      <c r="F209" s="1188" t="s">
        <v>908</v>
      </c>
      <c r="G209" s="1188" t="s">
        <v>1035</v>
      </c>
      <c r="H209" s="1188" t="s">
        <v>3845</v>
      </c>
      <c r="I209" s="626"/>
      <c r="J209" s="607"/>
      <c r="K209" s="626"/>
      <c r="L209" s="609" t="str">
        <f t="shared" si="27"/>
        <v>4733</v>
      </c>
      <c r="M209" s="610" t="str">
        <f t="shared" si="28"/>
        <v>VW-P&amp;A-P&amp;BRO-GARANTIE - MCI</v>
      </c>
      <c r="N209" s="611">
        <f>+IF(OR($Q209=Parametres!$G$2,$Q209=Parametres!$G$3),I209,C209)</f>
        <v>-347478.62</v>
      </c>
      <c r="O209" s="611">
        <f>+IF(OR($Q209=Parametres!$G$2,$Q209=Parametres!$G$3),J209,D209)</f>
        <v>-51845.97</v>
      </c>
      <c r="P209" s="611">
        <f>+IF(OR($Q209=Parametres!$G$2,$Q209=Parametres!$G$3),K209,E209)</f>
        <v>-399324.59</v>
      </c>
      <c r="Q209" s="610" t="str">
        <f t="shared" si="29"/>
        <v>5-Ventes</v>
      </c>
      <c r="R209" s="609" t="str">
        <f t="shared" si="30"/>
        <v>4733</v>
      </c>
      <c r="S209" s="610" t="str">
        <f t="shared" si="31"/>
        <v>_</v>
      </c>
      <c r="T209" s="627" t="str">
        <f>+VLOOKUP($L209,Data_Validation!$A:$D,1,0)</f>
        <v>4733</v>
      </c>
      <c r="U209" s="612" t="str">
        <f>+VLOOKUP($L209,Data_Validation!$A:$D,3,0)</f>
        <v>Pièces</v>
      </c>
      <c r="V209" s="612" t="str">
        <f>+VLOOKUP($L209,Data_Validation!$A:$D,4,0)</f>
        <v>Pièces Ro Carrosserie</v>
      </c>
      <c r="W209" s="612" t="str">
        <f>+VLOOKUP($L209,Data_Validation!$A:$E,5,0)</f>
        <v>$</v>
      </c>
      <c r="X209" s="612" t="str">
        <f>+VLOOKUP($L209,Data_Validation!$A:$F,6,0)</f>
        <v>Oui</v>
      </c>
    </row>
    <row r="210" spans="1:24" ht="15" customHeight="1">
      <c r="A210" s="1188" t="s">
        <v>3624</v>
      </c>
      <c r="B210" s="1188" t="s">
        <v>1039</v>
      </c>
      <c r="C210" s="1190">
        <v>-1982.92</v>
      </c>
      <c r="D210" s="1190">
        <v>1158.27</v>
      </c>
      <c r="E210" s="1190">
        <v>-824.65</v>
      </c>
      <c r="F210" s="1188" t="s">
        <v>908</v>
      </c>
      <c r="G210" s="1188" t="s">
        <v>1039</v>
      </c>
      <c r="H210" s="1188" t="s">
        <v>3845</v>
      </c>
      <c r="I210" s="608"/>
      <c r="J210" s="608"/>
      <c r="K210" s="608"/>
      <c r="L210" s="609" t="str">
        <f t="shared" si="27"/>
        <v>4735</v>
      </c>
      <c r="M210" s="610" t="str">
        <f t="shared" si="28"/>
        <v>VW-P&amp;A-P&amp;BRO-INTERNE - MCI</v>
      </c>
      <c r="N210" s="611">
        <f>+IF(OR($Q210=Parametres!$G$2,$Q210=Parametres!$G$3),I210,C210)</f>
        <v>-1982.92</v>
      </c>
      <c r="O210" s="615">
        <f>+IF(OR($Q210=Parametres!$G$2,$Q210=Parametres!$G$3),J210,D210)</f>
        <v>1158.27</v>
      </c>
      <c r="P210" s="611">
        <f>+IF(OR($Q210=Parametres!$G$2,$Q210=Parametres!$G$3),K210,E210)</f>
        <v>-824.65</v>
      </c>
      <c r="Q210" s="610" t="str">
        <f t="shared" si="29"/>
        <v>5-Ventes</v>
      </c>
      <c r="R210" s="609" t="str">
        <f t="shared" si="30"/>
        <v>4735</v>
      </c>
      <c r="S210" s="610" t="str">
        <f t="shared" si="31"/>
        <v>_</v>
      </c>
      <c r="T210" s="612" t="str">
        <f>+VLOOKUP($L210,Data_Validation!$A:$D,1,0)</f>
        <v>4735</v>
      </c>
      <c r="U210" s="612" t="str">
        <f>+VLOOKUP($L210,Data_Validation!$A:$D,3,0)</f>
        <v>Pièces</v>
      </c>
      <c r="V210" s="612" t="str">
        <f>+VLOOKUP($L210,Data_Validation!$A:$D,4,0)</f>
        <v>Pièces Ro Carrosserie</v>
      </c>
      <c r="W210" s="612" t="str">
        <f>+VLOOKUP($L210,Data_Validation!$A:$E,5,0)</f>
        <v>$</v>
      </c>
      <c r="X210" s="612" t="str">
        <f>+VLOOKUP($L210,Data_Validation!$A:$F,6,0)</f>
        <v>Oui</v>
      </c>
    </row>
    <row r="211" spans="1:24" ht="15.75" customHeight="1">
      <c r="A211" s="1188" t="s">
        <v>1042</v>
      </c>
      <c r="B211" s="1188" t="s">
        <v>1043</v>
      </c>
      <c r="C211" s="1190">
        <v>-82387.03</v>
      </c>
      <c r="D211" s="1190">
        <v>-11521.28</v>
      </c>
      <c r="E211" s="1190">
        <v>-93908.31</v>
      </c>
      <c r="F211" s="1188" t="s">
        <v>908</v>
      </c>
      <c r="G211" s="1188" t="s">
        <v>1043</v>
      </c>
      <c r="H211" s="1188" t="s">
        <v>3845</v>
      </c>
      <c r="I211" s="626"/>
      <c r="J211" s="607"/>
      <c r="K211" s="626"/>
      <c r="L211" s="609" t="str">
        <f t="shared" si="27"/>
        <v>4761</v>
      </c>
      <c r="M211" s="610" t="str">
        <f t="shared" si="28"/>
        <v>VTE - P&amp;A VW COMPTOIR - DETAIL</v>
      </c>
      <c r="N211" s="611">
        <f>+IF(OR($Q211=Parametres!$G$2,$Q211=Parametres!$G$3),I211,C211)</f>
        <v>-82387.03</v>
      </c>
      <c r="O211" s="611">
        <f>+IF(OR($Q211=Parametres!$G$2,$Q211=Parametres!$G$3),J211,D211)</f>
        <v>-11521.28</v>
      </c>
      <c r="P211" s="611">
        <f>+IF(OR($Q211=Parametres!$G$2,$Q211=Parametres!$G$3),K211,E211)</f>
        <v>-93908.31</v>
      </c>
      <c r="Q211" s="610" t="str">
        <f t="shared" si="29"/>
        <v>5-Ventes</v>
      </c>
      <c r="R211" s="609" t="str">
        <f t="shared" si="30"/>
        <v>4761</v>
      </c>
      <c r="S211" s="610" t="str">
        <f t="shared" si="31"/>
        <v>_</v>
      </c>
      <c r="T211" s="612" t="str">
        <f>+VLOOKUP($L211,Data_Validation!$A:$D,1,0)</f>
        <v>4761</v>
      </c>
      <c r="U211" s="612" t="str">
        <f>+VLOOKUP($L211,Data_Validation!$A:$D,3,0)</f>
        <v>Pièces</v>
      </c>
      <c r="V211" s="612" t="str">
        <f>+VLOOKUP($L211,Data_Validation!$A:$D,4,0)</f>
        <v>Ventes Détails</v>
      </c>
      <c r="W211" s="612" t="str">
        <f>+VLOOKUP($L211,Data_Validation!$A:$E,5,0)</f>
        <v>$</v>
      </c>
      <c r="X211" s="612" t="str">
        <f>+VLOOKUP($L211,Data_Validation!$A:$F,6,0)</f>
        <v>Oui</v>
      </c>
    </row>
    <row r="212" spans="1:24" ht="15" customHeight="1">
      <c r="A212" s="1188" t="s">
        <v>1046</v>
      </c>
      <c r="B212" s="1188" t="s">
        <v>1047</v>
      </c>
      <c r="C212" s="1190">
        <v>-1253628.78</v>
      </c>
      <c r="D212" s="1190">
        <v>-257011.99</v>
      </c>
      <c r="E212" s="1190">
        <v>-1510640.77</v>
      </c>
      <c r="F212" s="1188" t="s">
        <v>908</v>
      </c>
      <c r="G212" s="1188" t="s">
        <v>1047</v>
      </c>
      <c r="H212" s="1188" t="s">
        <v>3845</v>
      </c>
      <c r="I212" s="608"/>
      <c r="J212" s="608"/>
      <c r="K212" s="608"/>
      <c r="L212" s="609" t="str">
        <f t="shared" si="27"/>
        <v>4763</v>
      </c>
      <c r="M212" s="610" t="str">
        <f t="shared" si="28"/>
        <v>VTE - P&amp;A VW COMPTOIR GROS - ECHANGE</v>
      </c>
      <c r="N212" s="611">
        <f>+IF(OR($Q212=Parametres!$G$2,$Q212=Parametres!$G$3),I212,C212)</f>
        <v>-1253628.78</v>
      </c>
      <c r="O212" s="611">
        <f>+IF(OR($Q212=Parametres!$G$2,$Q212=Parametres!$G$3),J212,D212)</f>
        <v>-257011.99</v>
      </c>
      <c r="P212" s="611">
        <f>+IF(OR($Q212=Parametres!$G$2,$Q212=Parametres!$G$3),K212,E212)</f>
        <v>-1510640.77</v>
      </c>
      <c r="Q212" s="610" t="str">
        <f t="shared" si="29"/>
        <v>5-Ventes</v>
      </c>
      <c r="R212" s="609" t="str">
        <f t="shared" si="30"/>
        <v>4763</v>
      </c>
      <c r="S212" s="610" t="str">
        <f t="shared" si="31"/>
        <v>_</v>
      </c>
      <c r="T212" s="612" t="str">
        <f>+VLOOKUP($L212,Data_Validation!$A:$D,1,0)</f>
        <v>4763</v>
      </c>
      <c r="U212" s="612" t="str">
        <f>+VLOOKUP($L212,Data_Validation!$A:$D,3,0)</f>
        <v>Pièces</v>
      </c>
      <c r="V212" s="612" t="str">
        <f>+VLOOKUP($L212,Data_Validation!$A:$D,4,0)</f>
        <v>Ventes de Gros</v>
      </c>
      <c r="W212" s="612" t="str">
        <f>+VLOOKUP($L212,Data_Validation!$A:$E,5,0)</f>
        <v>$</v>
      </c>
      <c r="X212" s="612" t="str">
        <f>+VLOOKUP($L212,Data_Validation!$A:$F,6,0)</f>
        <v>Oui</v>
      </c>
    </row>
    <row r="213" spans="1:24" ht="15" customHeight="1">
      <c r="A213" s="1188" t="s">
        <v>1050</v>
      </c>
      <c r="B213" s="1188" t="s">
        <v>1051</v>
      </c>
      <c r="C213" s="1190">
        <v>-320990.96999999997</v>
      </c>
      <c r="D213" s="1190">
        <v>-23678.97</v>
      </c>
      <c r="E213" s="1190">
        <v>-344669.94</v>
      </c>
      <c r="F213" s="1188" t="s">
        <v>908</v>
      </c>
      <c r="G213" s="1188" t="s">
        <v>1051</v>
      </c>
      <c r="H213" s="1188" t="s">
        <v>3845</v>
      </c>
      <c r="I213" s="626"/>
      <c r="J213" s="607"/>
      <c r="K213" s="626"/>
      <c r="L213" s="609" t="str">
        <f t="shared" si="27"/>
        <v>4781</v>
      </c>
      <c r="M213" s="610" t="str">
        <f t="shared" si="28"/>
        <v>VENTES PNEUS</v>
      </c>
      <c r="N213" s="611">
        <f>+IF(OR($Q213=Parametres!$G$2,$Q213=Parametres!$G$3),I213,C213)</f>
        <v>-320990.96999999997</v>
      </c>
      <c r="O213" s="611">
        <f>+IF(OR($Q213=Parametres!$G$2,$Q213=Parametres!$G$3),J213,D213)</f>
        <v>-23678.97</v>
      </c>
      <c r="P213" s="611">
        <f>+IF(OR($Q213=Parametres!$G$2,$Q213=Parametres!$G$3),K213,E213)</f>
        <v>-344669.94</v>
      </c>
      <c r="Q213" s="610" t="str">
        <f t="shared" si="29"/>
        <v>5-Ventes</v>
      </c>
      <c r="R213" s="609" t="str">
        <f t="shared" si="30"/>
        <v>4781</v>
      </c>
      <c r="S213" s="610" t="str">
        <f t="shared" si="31"/>
        <v>_</v>
      </c>
      <c r="T213" s="612" t="str">
        <f>+VLOOKUP($L213,Data_Validation!$A:$D,1,0)</f>
        <v>4781</v>
      </c>
      <c r="U213" s="612" t="str">
        <f>+VLOOKUP($L213,Data_Validation!$A:$D,3,0)</f>
        <v>Pièces</v>
      </c>
      <c r="V213" s="612" t="str">
        <f>+VLOOKUP($L213,Data_Validation!$A:$D,4,0)</f>
        <v>Ventes Pneus</v>
      </c>
      <c r="W213" s="612" t="str">
        <f>+VLOOKUP($L213,Data_Validation!$A:$E,5,0)</f>
        <v>$</v>
      </c>
      <c r="X213" s="612" t="str">
        <f>+VLOOKUP($L213,Data_Validation!$A:$F,6,0)</f>
        <v>Oui</v>
      </c>
    </row>
    <row r="214" spans="1:24" ht="15" customHeight="1">
      <c r="A214" s="1188" t="s">
        <v>1053</v>
      </c>
      <c r="B214" s="1188" t="s">
        <v>1995</v>
      </c>
      <c r="C214" s="1190">
        <v>-2676.88</v>
      </c>
      <c r="D214" s="1190">
        <v>0</v>
      </c>
      <c r="E214" s="1190">
        <v>-2676.88</v>
      </c>
      <c r="F214" s="1188" t="s">
        <v>908</v>
      </c>
      <c r="G214" s="1188" t="s">
        <v>1051</v>
      </c>
      <c r="H214" s="1188" t="s">
        <v>3845</v>
      </c>
      <c r="I214" s="608"/>
      <c r="J214" s="608"/>
      <c r="K214" s="608"/>
      <c r="L214" s="609" t="str">
        <f t="shared" si="27"/>
        <v>4785</v>
      </c>
      <c r="M214" s="610" t="str">
        <f t="shared" si="28"/>
        <v>VTE - VW PNEUS</v>
      </c>
      <c r="N214" s="611">
        <f>+IF(OR($Q214=Parametres!$G$2,$Q214=Parametres!$G$3),I214,C214)</f>
        <v>-2676.88</v>
      </c>
      <c r="O214" s="611">
        <f>+IF(OR($Q214=Parametres!$G$2,$Q214=Parametres!$G$3),J214,D214)</f>
        <v>0</v>
      </c>
      <c r="P214" s="611">
        <f>+IF(OR($Q214=Parametres!$G$2,$Q214=Parametres!$G$3),K214,E214)</f>
        <v>-2676.88</v>
      </c>
      <c r="Q214" s="610" t="str">
        <f t="shared" si="29"/>
        <v>5-Ventes</v>
      </c>
      <c r="R214" s="609" t="str">
        <f t="shared" si="30"/>
        <v>4781</v>
      </c>
      <c r="S214" s="610" t="str">
        <f t="shared" si="31"/>
        <v>_</v>
      </c>
      <c r="T214" s="612" t="str">
        <f>+VLOOKUP($L214,Data_Validation!$A:$D,1,0)</f>
        <v>4785</v>
      </c>
      <c r="U214" s="612" t="str">
        <f>+VLOOKUP($L214,Data_Validation!$A:$D,3,0)</f>
        <v>Pièces</v>
      </c>
      <c r="V214" s="612" t="str">
        <f>+VLOOKUP($L214,Data_Validation!$A:$D,4,0)</f>
        <v>Ventes Pneus</v>
      </c>
      <c r="W214" s="612" t="str">
        <f>+VLOOKUP($L214,Data_Validation!$A:$E,5,0)</f>
        <v>$</v>
      </c>
      <c r="X214" s="612" t="str">
        <f>+VLOOKUP($L214,Data_Validation!$A:$F,6,0)</f>
        <v>Oui</v>
      </c>
    </row>
    <row r="215" spans="1:24" ht="15.75" customHeight="1">
      <c r="A215" s="1188" t="s">
        <v>1054</v>
      </c>
      <c r="B215" s="1188" t="s">
        <v>2003</v>
      </c>
      <c r="C215" s="1190">
        <v>1197132.96</v>
      </c>
      <c r="D215" s="1190">
        <v>443912.94</v>
      </c>
      <c r="E215" s="1190">
        <v>1641045.9</v>
      </c>
      <c r="F215" s="1188" t="s">
        <v>1055</v>
      </c>
      <c r="G215" s="1188" t="s">
        <v>909</v>
      </c>
      <c r="H215" s="1188" t="s">
        <v>3845</v>
      </c>
      <c r="I215" s="626"/>
      <c r="J215" s="626"/>
      <c r="K215" s="626"/>
      <c r="L215" s="609" t="str">
        <f t="shared" si="27"/>
        <v>5100</v>
      </c>
      <c r="M215" s="610" t="str">
        <f t="shared" si="28"/>
        <v>C/V - RACHAT DE BAIL</v>
      </c>
      <c r="N215" s="611">
        <f>+IF(OR($Q215=Parametres!$G$2,$Q215=Parametres!$G$3),I215,C215)</f>
        <v>1197132.96</v>
      </c>
      <c r="O215" s="611">
        <f>+IF(OR($Q215=Parametres!$G$2,$Q215=Parametres!$G$3),J215,D215)</f>
        <v>443912.94</v>
      </c>
      <c r="P215" s="611">
        <f>+IF(OR($Q215=Parametres!$G$2,$Q215=Parametres!$G$3),K215,E215)</f>
        <v>1641045.9</v>
      </c>
      <c r="Q215" s="610" t="str">
        <f t="shared" si="29"/>
        <v>6-Coût des ventes</v>
      </c>
      <c r="R215" s="609" t="str">
        <f t="shared" si="30"/>
        <v>4100</v>
      </c>
      <c r="S215" s="610" t="str">
        <f t="shared" si="31"/>
        <v>_</v>
      </c>
      <c r="T215" s="612" t="str">
        <f>+VLOOKUP($L215,Data_Validation!$A:$D,1,0)</f>
        <v>5100</v>
      </c>
      <c r="U215" s="612" t="str">
        <f>+VLOOKUP($L215,Data_Validation!$A:$D,3,0)</f>
        <v>Véhicules usagés</v>
      </c>
      <c r="V215" s="612" t="str">
        <f>+VLOOKUP($L215,Data_Validation!$A:$D,4,0)</f>
        <v>Rachat bail</v>
      </c>
      <c r="W215" s="612" t="str">
        <f>+VLOOKUP($L215,Data_Validation!$A:$E,5,0)</f>
        <v>$</v>
      </c>
      <c r="X215" s="612">
        <f>+VLOOKUP($L215,Data_Validation!$A:$F,6,0)</f>
        <v>0</v>
      </c>
    </row>
    <row r="216" spans="1:24" ht="15" customHeight="1">
      <c r="A216" s="1188" t="s">
        <v>1056</v>
      </c>
      <c r="B216" s="1188" t="s">
        <v>2015</v>
      </c>
      <c r="C216" s="1190">
        <v>657212.14</v>
      </c>
      <c r="D216" s="1190">
        <v>57329.66</v>
      </c>
      <c r="E216" s="1190">
        <v>714541.8</v>
      </c>
      <c r="F216" s="1188" t="s">
        <v>1055</v>
      </c>
      <c r="G216" s="1188" t="s">
        <v>913</v>
      </c>
      <c r="H216" s="1188" t="s">
        <v>3845</v>
      </c>
      <c r="I216" s="626"/>
      <c r="J216" s="616"/>
      <c r="K216" s="626"/>
      <c r="L216" s="609" t="str">
        <f t="shared" si="27"/>
        <v>5109</v>
      </c>
      <c r="M216" s="610" t="str">
        <f t="shared" si="28"/>
        <v>C/V - GOLF R</v>
      </c>
      <c r="N216" s="611">
        <f>+IF(OR($Q216=Parametres!$G$2,$Q216=Parametres!$G$3),I216,C216)</f>
        <v>657212.14</v>
      </c>
      <c r="O216" s="611">
        <f>+IF(OR($Q216=Parametres!$G$2,$Q216=Parametres!$G$3),J216,D216)</f>
        <v>57329.66</v>
      </c>
      <c r="P216" s="611">
        <f>+IF(OR($Q216=Parametres!$G$2,$Q216=Parametres!$G$3),K216,E216)</f>
        <v>714541.8</v>
      </c>
      <c r="Q216" s="610" t="str">
        <f t="shared" si="29"/>
        <v>6-Coût des ventes</v>
      </c>
      <c r="R216" s="609" t="str">
        <f t="shared" si="30"/>
        <v>4109</v>
      </c>
      <c r="S216" s="610" t="str">
        <f t="shared" si="31"/>
        <v>_</v>
      </c>
      <c r="T216" s="612" t="str">
        <f>+VLOOKUP($L216,Data_Validation!$A:$D,1,0)</f>
        <v>5109</v>
      </c>
      <c r="U216" s="612" t="str">
        <f>+VLOOKUP($L216,Data_Validation!$A:$D,3,0)</f>
        <v>Véhicules neufs</v>
      </c>
      <c r="V216" s="612" t="str">
        <f>+VLOOKUP($L216,Data_Validation!$A:$D,4,0)</f>
        <v>Autos détail</v>
      </c>
      <c r="W216" s="612" t="str">
        <f>+VLOOKUP($L216,Data_Validation!$A:$E,5,0)</f>
        <v>$</v>
      </c>
      <c r="X216" s="612">
        <f>+VLOOKUP($L216,Data_Validation!$A:$F,6,0)</f>
        <v>0</v>
      </c>
    </row>
    <row r="217" spans="1:24" ht="15" customHeight="1">
      <c r="A217" s="1188" t="s">
        <v>916</v>
      </c>
      <c r="B217" s="1188" t="s">
        <v>2020</v>
      </c>
      <c r="C217" s="1190">
        <v>973896.47</v>
      </c>
      <c r="D217" s="1190">
        <v>482169.07</v>
      </c>
      <c r="E217" s="1190">
        <v>1456065.54</v>
      </c>
      <c r="F217" s="1188" t="s">
        <v>1055</v>
      </c>
      <c r="G217" s="1188" t="s">
        <v>917</v>
      </c>
      <c r="H217" s="1188" t="s">
        <v>3845</v>
      </c>
      <c r="I217" s="628"/>
      <c r="J217" s="619"/>
      <c r="K217" s="628"/>
      <c r="L217" s="609" t="str">
        <f t="shared" si="27"/>
        <v>5111</v>
      </c>
      <c r="M217" s="610" t="str">
        <f t="shared" si="28"/>
        <v>JETTA/ JETTA GLI</v>
      </c>
      <c r="N217" s="611">
        <f>+IF(OR($Q217=Parametres!$G$2,$Q217=Parametres!$G$3),I217,C217)</f>
        <v>973896.47</v>
      </c>
      <c r="O217" s="611">
        <f>+IF(OR($Q217=Parametres!$G$2,$Q217=Parametres!$G$3),J217,D217)</f>
        <v>482169.07</v>
      </c>
      <c r="P217" s="611">
        <f>+IF(OR($Q217=Parametres!$G$2,$Q217=Parametres!$G$3),K217,E217)</f>
        <v>1456065.54</v>
      </c>
      <c r="Q217" s="610" t="str">
        <f t="shared" si="29"/>
        <v>6-Coût des ventes</v>
      </c>
      <c r="R217" s="609" t="str">
        <f t="shared" si="30"/>
        <v>4111</v>
      </c>
      <c r="S217" s="610" t="str">
        <f t="shared" si="31"/>
        <v>_</v>
      </c>
      <c r="T217" s="612" t="str">
        <f>+VLOOKUP($L217,Data_Validation!$A:$D,1,0)</f>
        <v>5111</v>
      </c>
      <c r="U217" s="612" t="str">
        <f>+VLOOKUP($L217,Data_Validation!$A:$D,3,0)</f>
        <v>Véhicules neufs</v>
      </c>
      <c r="V217" s="612" t="str">
        <f>+VLOOKUP($L217,Data_Validation!$A:$D,4,0)</f>
        <v>Autos détail</v>
      </c>
      <c r="W217" s="612" t="str">
        <f>+VLOOKUP($L217,Data_Validation!$A:$E,5,0)</f>
        <v>$</v>
      </c>
      <c r="X217" s="612">
        <f>+VLOOKUP($L217,Data_Validation!$A:$F,6,0)</f>
        <v>0</v>
      </c>
    </row>
    <row r="218" spans="1:24" ht="15" customHeight="1">
      <c r="A218" s="1188" t="s">
        <v>1057</v>
      </c>
      <c r="B218" s="1188" t="s">
        <v>3328</v>
      </c>
      <c r="C218" s="1190">
        <v>3396864.66</v>
      </c>
      <c r="D218" s="1190">
        <v>284415.44</v>
      </c>
      <c r="E218" s="1190">
        <v>3681280.1</v>
      </c>
      <c r="F218" s="1188" t="s">
        <v>1055</v>
      </c>
      <c r="G218" s="1188" t="s">
        <v>1058</v>
      </c>
      <c r="H218" s="1188" t="s">
        <v>3845</v>
      </c>
      <c r="I218" s="608"/>
      <c r="J218" s="608"/>
      <c r="K218" s="608"/>
      <c r="L218" s="609" t="str">
        <f t="shared" si="27"/>
        <v>5118</v>
      </c>
      <c r="M218" s="610" t="str">
        <f t="shared" si="28"/>
        <v>C/V - TAOS</v>
      </c>
      <c r="N218" s="611">
        <f>+IF(OR($Q218=Parametres!$G$2,$Q218=Parametres!$G$3),I218,C218)</f>
        <v>3396864.66</v>
      </c>
      <c r="O218" s="611">
        <f>+IF(OR($Q218=Parametres!$G$2,$Q218=Parametres!$G$3),J218,D218)</f>
        <v>284415.44</v>
      </c>
      <c r="P218" s="611">
        <f>+IF(OR($Q218=Parametres!$G$2,$Q218=Parametres!$G$3),K218,E218)</f>
        <v>3681280.1</v>
      </c>
      <c r="Q218" s="610" t="str">
        <f t="shared" si="29"/>
        <v>6-Coût des ventes</v>
      </c>
      <c r="R218" s="609" t="str">
        <f t="shared" si="30"/>
        <v>511</v>
      </c>
      <c r="S218" s="610" t="str">
        <f t="shared" si="31"/>
        <v>_</v>
      </c>
      <c r="T218" s="612" t="str">
        <f>+VLOOKUP($L218,Data_Validation!$A:$D,1,0)</f>
        <v>5118</v>
      </c>
      <c r="U218" s="612" t="str">
        <f>+VLOOKUP($L218,Data_Validation!$A:$D,3,0)</f>
        <v>Véhicules neufs</v>
      </c>
      <c r="V218" s="612" t="str">
        <f>+VLOOKUP($L218,Data_Validation!$A:$D,4,0)</f>
        <v>Camions détail</v>
      </c>
      <c r="W218" s="612" t="str">
        <f>+VLOOKUP($L218,Data_Validation!$A:$E,5,0)</f>
        <v>$</v>
      </c>
      <c r="X218" s="612">
        <f>+VLOOKUP($L218,Data_Validation!$A:$F,6,0)</f>
        <v>0</v>
      </c>
    </row>
    <row r="219" spans="1:24" ht="15.75" customHeight="1">
      <c r="A219" s="1188" t="s">
        <v>1059</v>
      </c>
      <c r="B219" s="1188" t="s">
        <v>2029</v>
      </c>
      <c r="C219" s="1190">
        <v>1789192.5</v>
      </c>
      <c r="D219" s="1190">
        <v>526905.59999999998</v>
      </c>
      <c r="E219" s="1190">
        <v>2316098.1</v>
      </c>
      <c r="F219" s="1188" t="s">
        <v>1055</v>
      </c>
      <c r="G219" s="1188" t="s">
        <v>925</v>
      </c>
      <c r="H219" s="1188" t="s">
        <v>3845</v>
      </c>
      <c r="I219" s="608"/>
      <c r="J219" s="608"/>
      <c r="K219" s="608"/>
      <c r="L219" s="609" t="str">
        <f t="shared" si="27"/>
        <v>5119</v>
      </c>
      <c r="M219" s="610" t="str">
        <f t="shared" si="28"/>
        <v>C/V - ATLAS</v>
      </c>
      <c r="N219" s="611">
        <f>+IF(OR($Q219=Parametres!$G$2,$Q219=Parametres!$G$3),I219,C219)</f>
        <v>1789192.5</v>
      </c>
      <c r="O219" s="615">
        <f>+IF(OR($Q219=Parametres!$G$2,$Q219=Parametres!$G$3),J219,D219)</f>
        <v>526905.59999999998</v>
      </c>
      <c r="P219" s="611">
        <f>+IF(OR($Q219=Parametres!$G$2,$Q219=Parametres!$G$3),K219,E219)</f>
        <v>2316098.1</v>
      </c>
      <c r="Q219" s="610" t="str">
        <f t="shared" si="29"/>
        <v>6-Coût des ventes</v>
      </c>
      <c r="R219" s="609" t="str">
        <f t="shared" si="30"/>
        <v>4119</v>
      </c>
      <c r="S219" s="610" t="str">
        <f t="shared" si="31"/>
        <v>_</v>
      </c>
      <c r="T219" s="612" t="str">
        <f>+VLOOKUP($L219,Data_Validation!$A:$D,1,0)</f>
        <v>5119</v>
      </c>
      <c r="U219" s="612" t="str">
        <f>+VLOOKUP($L219,Data_Validation!$A:$D,3,0)</f>
        <v>Véhicules neufs</v>
      </c>
      <c r="V219" s="612" t="str">
        <f>+VLOOKUP($L219,Data_Validation!$A:$D,4,0)</f>
        <v>Camions détail</v>
      </c>
      <c r="W219" s="612" t="str">
        <f>+VLOOKUP($L219,Data_Validation!$A:$E,5,0)</f>
        <v>$</v>
      </c>
      <c r="X219" s="612">
        <f>+VLOOKUP($L219,Data_Validation!$A:$F,6,0)</f>
        <v>0</v>
      </c>
    </row>
    <row r="220" spans="1:24" ht="15" customHeight="1">
      <c r="A220" s="1188" t="s">
        <v>1060</v>
      </c>
      <c r="B220" s="1188" t="s">
        <v>3329</v>
      </c>
      <c r="C220" s="1190">
        <v>491493.03</v>
      </c>
      <c r="D220" s="1190">
        <v>0</v>
      </c>
      <c r="E220" s="1190">
        <v>491493.03</v>
      </c>
      <c r="F220" s="1188" t="s">
        <v>1055</v>
      </c>
      <c r="G220" s="1188" t="s">
        <v>3293</v>
      </c>
      <c r="H220" s="1188" t="s">
        <v>3845</v>
      </c>
      <c r="I220" s="628"/>
      <c r="J220" s="619"/>
      <c r="K220" s="628"/>
      <c r="L220" s="609" t="str">
        <f t="shared" si="27"/>
        <v>5121</v>
      </c>
      <c r="M220" s="610" t="str">
        <f t="shared" si="28"/>
        <v>C/V - ATLAS CROSS SPORT</v>
      </c>
      <c r="N220" s="611">
        <f>+IF(OR($Q220=Parametres!$G$2,$Q220=Parametres!$G$3),I220,C220)</f>
        <v>491493.03</v>
      </c>
      <c r="O220" s="611">
        <f>+IF(OR($Q220=Parametres!$G$2,$Q220=Parametres!$G$3),J220,D220)</f>
        <v>0</v>
      </c>
      <c r="P220" s="611">
        <f>+IF(OR($Q220=Parametres!$G$2,$Q220=Parametres!$G$3),K220,E220)</f>
        <v>491493.03</v>
      </c>
      <c r="Q220" s="610" t="str">
        <f t="shared" si="29"/>
        <v>6-Coût des ventes</v>
      </c>
      <c r="R220" s="609" t="str">
        <f t="shared" si="30"/>
        <v>4121</v>
      </c>
      <c r="S220" s="610" t="str">
        <f t="shared" si="31"/>
        <v>_</v>
      </c>
      <c r="T220" s="612" t="str">
        <f>+VLOOKUP($L220,Data_Validation!$A:$D,1,0)</f>
        <v>5121</v>
      </c>
      <c r="U220" s="612" t="str">
        <f>+VLOOKUP($L220,Data_Validation!$A:$D,3,0)</f>
        <v>Véhicules neufs</v>
      </c>
      <c r="V220" s="612" t="str">
        <f>+VLOOKUP($L220,Data_Validation!$A:$D,4,0)</f>
        <v>Camions détail</v>
      </c>
      <c r="W220" s="612" t="str">
        <f>+VLOOKUP($L220,Data_Validation!$A:$E,5,0)</f>
        <v>$</v>
      </c>
      <c r="X220" s="612">
        <f>+VLOOKUP($L220,Data_Validation!$A:$F,6,0)</f>
        <v>0</v>
      </c>
    </row>
    <row r="221" spans="1:24" ht="15" customHeight="1">
      <c r="A221" s="1188" t="s">
        <v>1061</v>
      </c>
      <c r="B221" s="1188" t="s">
        <v>2035</v>
      </c>
      <c r="C221" s="1190">
        <v>370770.86</v>
      </c>
      <c r="D221" s="1190">
        <v>78448.45</v>
      </c>
      <c r="E221" s="1190">
        <v>449219.31</v>
      </c>
      <c r="F221" s="1188" t="s">
        <v>1055</v>
      </c>
      <c r="G221" s="1188" t="s">
        <v>932</v>
      </c>
      <c r="H221" s="1188" t="s">
        <v>3845</v>
      </c>
      <c r="I221" s="628"/>
      <c r="J221" s="619"/>
      <c r="K221" s="628"/>
      <c r="L221" s="609" t="str">
        <f t="shared" si="27"/>
        <v>5127</v>
      </c>
      <c r="M221" s="610" t="str">
        <f t="shared" si="28"/>
        <v>C/V - GOLF GTI</v>
      </c>
      <c r="N221" s="611">
        <f>+IF(OR($Q221=Parametres!$G$2,$Q221=Parametres!$G$3),I221,C221)</f>
        <v>370770.86</v>
      </c>
      <c r="O221" s="611">
        <f>+IF(OR($Q221=Parametres!$G$2,$Q221=Parametres!$G$3),J221,D221)</f>
        <v>78448.45</v>
      </c>
      <c r="P221" s="611">
        <f>+IF(OR($Q221=Parametres!$G$2,$Q221=Parametres!$G$3),K221,E221)</f>
        <v>449219.31</v>
      </c>
      <c r="Q221" s="610" t="str">
        <f t="shared" si="29"/>
        <v>6-Coût des ventes</v>
      </c>
      <c r="R221" s="609" t="str">
        <f t="shared" si="30"/>
        <v>4127</v>
      </c>
      <c r="S221" s="610" t="str">
        <f t="shared" si="31"/>
        <v>_</v>
      </c>
      <c r="T221" s="612" t="str">
        <f>+VLOOKUP($L221,Data_Validation!$A:$D,1,0)</f>
        <v>5127</v>
      </c>
      <c r="U221" s="612" t="str">
        <f>+VLOOKUP($L221,Data_Validation!$A:$D,3,0)</f>
        <v>Véhicules neufs</v>
      </c>
      <c r="V221" s="612" t="str">
        <f>+VLOOKUP($L221,Data_Validation!$A:$D,4,0)</f>
        <v>Autos détail</v>
      </c>
      <c r="W221" s="612" t="str">
        <f>+VLOOKUP($L221,Data_Validation!$A:$E,5,0)</f>
        <v>$</v>
      </c>
      <c r="X221" s="612">
        <f>+VLOOKUP($L221,Data_Validation!$A:$F,6,0)</f>
        <v>0</v>
      </c>
    </row>
    <row r="222" spans="1:24" ht="15" customHeight="1">
      <c r="A222" s="1188" t="s">
        <v>1062</v>
      </c>
      <c r="B222" s="1188" t="s">
        <v>2038</v>
      </c>
      <c r="C222" s="1190">
        <v>5435399.4800000004</v>
      </c>
      <c r="D222" s="1190">
        <v>971262.79</v>
      </c>
      <c r="E222" s="1190">
        <v>6406662.2699999996</v>
      </c>
      <c r="F222" s="1188" t="s">
        <v>1055</v>
      </c>
      <c r="G222" s="1188" t="s">
        <v>936</v>
      </c>
      <c r="H222" s="1188" t="s">
        <v>3845</v>
      </c>
      <c r="I222" s="626"/>
      <c r="J222" s="607"/>
      <c r="K222" s="626"/>
      <c r="L222" s="609" t="str">
        <f t="shared" si="27"/>
        <v>5131</v>
      </c>
      <c r="M222" s="610" t="str">
        <f t="shared" si="28"/>
        <v>C/V - TIGUAN LWB</v>
      </c>
      <c r="N222" s="611">
        <f>+IF(OR($Q222=Parametres!$G$2,$Q222=Parametres!$G$3),I222,C222)</f>
        <v>5435399.4800000004</v>
      </c>
      <c r="O222" s="611">
        <f>+IF(OR($Q222=Parametres!$G$2,$Q222=Parametres!$G$3),J222,D222)</f>
        <v>971262.79</v>
      </c>
      <c r="P222" s="611">
        <f>+IF(OR($Q222=Parametres!$G$2,$Q222=Parametres!$G$3),K222,E222)</f>
        <v>6406662.2699999996</v>
      </c>
      <c r="Q222" s="610" t="str">
        <f t="shared" si="29"/>
        <v>6-Coût des ventes</v>
      </c>
      <c r="R222" s="609" t="str">
        <f t="shared" si="30"/>
        <v>4131</v>
      </c>
      <c r="S222" s="610" t="str">
        <f t="shared" si="31"/>
        <v>_</v>
      </c>
      <c r="T222" s="612" t="str">
        <f>+VLOOKUP($L222,Data_Validation!$A:$D,1,0)</f>
        <v>5131</v>
      </c>
      <c r="U222" s="612" t="str">
        <f>+VLOOKUP($L222,Data_Validation!$A:$D,3,0)</f>
        <v>Véhicules neufs</v>
      </c>
      <c r="V222" s="612" t="str">
        <f>+VLOOKUP($L222,Data_Validation!$A:$D,4,0)</f>
        <v>Camions détail</v>
      </c>
      <c r="W222" s="612" t="str">
        <f>+VLOOKUP($L222,Data_Validation!$A:$E,5,0)</f>
        <v>$</v>
      </c>
      <c r="X222" s="612">
        <f>+VLOOKUP($L222,Data_Validation!$A:$F,6,0)</f>
        <v>0</v>
      </c>
    </row>
    <row r="223" spans="1:24" ht="15" customHeight="1">
      <c r="A223" s="1188" t="s">
        <v>1063</v>
      </c>
      <c r="B223" s="1188" t="s">
        <v>2044</v>
      </c>
      <c r="C223" s="1190">
        <v>1708965.13</v>
      </c>
      <c r="D223" s="1190">
        <v>41201.82</v>
      </c>
      <c r="E223" s="1190">
        <v>1750166.95</v>
      </c>
      <c r="F223" s="1188" t="s">
        <v>1055</v>
      </c>
      <c r="G223" s="1188" t="s">
        <v>940</v>
      </c>
      <c r="H223" s="1188" t="s">
        <v>3845</v>
      </c>
      <c r="I223" s="989"/>
      <c r="J223" s="989"/>
      <c r="K223" s="989"/>
      <c r="L223" s="609" t="str">
        <f t="shared" si="27"/>
        <v>5137</v>
      </c>
      <c r="M223" s="610" t="str">
        <f t="shared" si="28"/>
        <v>C/V - VW FLOTTE/VENTE ENTR/EMPLOYE/VEH DEMONS</v>
      </c>
      <c r="N223" s="611">
        <f>+IF(OR($Q223=Parametres!$G$2,$Q223=Parametres!$G$3),I223,C223)</f>
        <v>1708965.13</v>
      </c>
      <c r="O223" s="611">
        <f>+IF(OR($Q223=Parametres!$G$2,$Q223=Parametres!$G$3),J223,D223)</f>
        <v>41201.82</v>
      </c>
      <c r="P223" s="611">
        <f>+IF(OR($Q223=Parametres!$G$2,$Q223=Parametres!$G$3),K223,E223)</f>
        <v>1750166.95</v>
      </c>
      <c r="Q223" s="610" t="str">
        <f t="shared" si="29"/>
        <v>6-Coût des ventes</v>
      </c>
      <c r="R223" s="609" t="str">
        <f t="shared" si="30"/>
        <v>4137</v>
      </c>
      <c r="S223" s="610" t="str">
        <f t="shared" si="31"/>
        <v>_</v>
      </c>
      <c r="T223" s="612" t="str">
        <f>+VLOOKUP($L223,Data_Validation!$A:$D,1,0)</f>
        <v>5137</v>
      </c>
      <c r="U223" s="612" t="str">
        <f>+VLOOKUP($L223,Data_Validation!$A:$D,3,0)</f>
        <v>Véhicules neufs</v>
      </c>
      <c r="V223" s="612" t="str">
        <f>+VLOOKUP($L223,Data_Validation!$A:$D,4,0)</f>
        <v>Flottes</v>
      </c>
      <c r="W223" s="612" t="str">
        <f>+VLOOKUP($L223,Data_Validation!$A:$E,5,0)</f>
        <v>$</v>
      </c>
      <c r="X223" s="612">
        <f>+VLOOKUP($L223,Data_Validation!$A:$F,6,0)</f>
        <v>0</v>
      </c>
    </row>
    <row r="224" spans="1:24" ht="15" customHeight="1">
      <c r="A224" s="1188" t="s">
        <v>1063</v>
      </c>
      <c r="B224" s="1188" t="s">
        <v>2047</v>
      </c>
      <c r="C224" s="1190">
        <v>455338.26</v>
      </c>
      <c r="D224" s="1190">
        <v>216436.25</v>
      </c>
      <c r="E224" s="1190">
        <v>671774.51</v>
      </c>
      <c r="F224" s="1188" t="s">
        <v>1055</v>
      </c>
      <c r="G224" s="1188" t="s">
        <v>944</v>
      </c>
      <c r="H224" s="1188" t="s">
        <v>3845</v>
      </c>
      <c r="I224" s="989"/>
      <c r="J224" s="989"/>
      <c r="K224" s="989"/>
      <c r="L224" s="609" t="str">
        <f t="shared" si="27"/>
        <v>5139</v>
      </c>
      <c r="M224" s="610" t="str">
        <f t="shared" si="28"/>
        <v>C/V - VW FLOTTE/VENTE ENTR/EMPLOYE/VEH DEMONS</v>
      </c>
      <c r="N224" s="611">
        <f>+IF(OR($Q224=Parametres!$G$2,$Q224=Parametres!$G$3),I224,C224)</f>
        <v>455338.26</v>
      </c>
      <c r="O224" s="611">
        <f>+IF(OR($Q224=Parametres!$G$2,$Q224=Parametres!$G$3),J224,D224)</f>
        <v>216436.25</v>
      </c>
      <c r="P224" s="611">
        <f>+IF(OR($Q224=Parametres!$G$2,$Q224=Parametres!$G$3),K224,E224)</f>
        <v>671774.51</v>
      </c>
      <c r="Q224" s="610" t="str">
        <f t="shared" si="29"/>
        <v>6-Coût des ventes</v>
      </c>
      <c r="R224" s="609" t="str">
        <f t="shared" si="30"/>
        <v>4139</v>
      </c>
      <c r="S224" s="610" t="str">
        <f t="shared" si="31"/>
        <v>_</v>
      </c>
      <c r="T224" s="612" t="str">
        <f>+VLOOKUP($L224,Data_Validation!$A:$D,1,0)</f>
        <v>5139</v>
      </c>
      <c r="U224" s="612" t="str">
        <f>+VLOOKUP($L224,Data_Validation!$A:$D,3,0)</f>
        <v>Véhicules neufs</v>
      </c>
      <c r="V224" s="612" t="str">
        <f>+VLOOKUP($L224,Data_Validation!$A:$D,4,0)</f>
        <v>Ex-Démos et courtoisies</v>
      </c>
      <c r="W224" s="612" t="str">
        <f>+VLOOKUP($L224,Data_Validation!$A:$E,5,0)</f>
        <v>$</v>
      </c>
      <c r="X224" s="612">
        <f>+VLOOKUP($L224,Data_Validation!$A:$F,6,0)</f>
        <v>0</v>
      </c>
    </row>
    <row r="225" spans="1:24" ht="15.75" customHeight="1">
      <c r="A225" s="1188" t="s">
        <v>3817</v>
      </c>
      <c r="B225" s="1188" t="s">
        <v>3818</v>
      </c>
      <c r="C225" s="1190">
        <v>713408.37</v>
      </c>
      <c r="D225" s="1190">
        <v>0</v>
      </c>
      <c r="E225" s="1190">
        <v>713408.37</v>
      </c>
      <c r="F225" s="1188" t="s">
        <v>1055</v>
      </c>
      <c r="G225" s="1188" t="s">
        <v>3816</v>
      </c>
      <c r="H225" s="1188" t="s">
        <v>3845</v>
      </c>
      <c r="I225" s="989"/>
      <c r="J225" s="989"/>
      <c r="K225" s="989"/>
      <c r="L225" s="609" t="str">
        <f t="shared" si="27"/>
        <v>5141</v>
      </c>
      <c r="M225" s="610" t="str">
        <f t="shared" si="28"/>
        <v>C/V - ID4</v>
      </c>
      <c r="N225" s="611">
        <f>+IF(OR($Q225=Parametres!$G$2,$Q225=Parametres!$G$3),I225,C225)</f>
        <v>713408.37</v>
      </c>
      <c r="O225" s="611">
        <f>+IF(OR($Q225=Parametres!$G$2,$Q225=Parametres!$G$3),J225,D225)</f>
        <v>0</v>
      </c>
      <c r="P225" s="611">
        <f>+IF(OR($Q225=Parametres!$G$2,$Q225=Parametres!$G$3),K225,E225)</f>
        <v>713408.37</v>
      </c>
      <c r="Q225" s="610" t="str">
        <f t="shared" si="29"/>
        <v>6-Coût des ventes</v>
      </c>
      <c r="R225" s="609" t="str">
        <f t="shared" si="30"/>
        <v>4141</v>
      </c>
      <c r="S225" s="610" t="str">
        <f t="shared" si="31"/>
        <v>_</v>
      </c>
      <c r="T225" s="612" t="str">
        <f>+VLOOKUP($L225,Data_Validation!$A:$D,1,0)</f>
        <v>5141</v>
      </c>
      <c r="U225" s="612" t="str">
        <f>+VLOOKUP($L225,Data_Validation!$A:$D,3,0)</f>
        <v>Véhicules neufs</v>
      </c>
      <c r="V225" s="612" t="str">
        <f>+VLOOKUP($L225,Data_Validation!$A:$D,4,0)</f>
        <v>Camions détail</v>
      </c>
      <c r="W225" s="612" t="str">
        <f>+VLOOKUP($L225,Data_Validation!$A:$E,5,0)</f>
        <v>$</v>
      </c>
      <c r="X225" s="612">
        <f>+VLOOKUP($L225,Data_Validation!$A:$F,6,0)</f>
        <v>0</v>
      </c>
    </row>
    <row r="226" spans="1:24" ht="15" customHeight="1">
      <c r="A226" s="1188" t="s">
        <v>1064</v>
      </c>
      <c r="B226" s="1188" t="s">
        <v>3330</v>
      </c>
      <c r="C226" s="1190">
        <v>229951.59</v>
      </c>
      <c r="D226" s="1190">
        <v>72718.789999999994</v>
      </c>
      <c r="E226" s="1190">
        <v>302670.38</v>
      </c>
      <c r="F226" s="1188" t="s">
        <v>1055</v>
      </c>
      <c r="G226" s="1188" t="s">
        <v>1065</v>
      </c>
      <c r="H226" s="1188" t="s">
        <v>3845</v>
      </c>
      <c r="I226" s="626"/>
      <c r="J226" s="607"/>
      <c r="K226" s="626"/>
      <c r="L226" s="609" t="str">
        <f t="shared" si="27"/>
        <v>5144</v>
      </c>
      <c r="M226" s="610" t="str">
        <f t="shared" si="28"/>
        <v>C/V - JETTA GLI</v>
      </c>
      <c r="N226" s="611">
        <f>+IF(OR($Q226=Parametres!$G$2,$Q226=Parametres!$G$3),I226,C226)</f>
        <v>229951.59</v>
      </c>
      <c r="O226" s="611">
        <f>+IF(OR($Q226=Parametres!$G$2,$Q226=Parametres!$G$3),J226,D226)</f>
        <v>72718.789999999994</v>
      </c>
      <c r="P226" s="611">
        <f>+IF(OR($Q226=Parametres!$G$2,$Q226=Parametres!$G$3),K226,E226)</f>
        <v>302670.38</v>
      </c>
      <c r="Q226" s="610" t="str">
        <f t="shared" si="29"/>
        <v>6-Coût des ventes</v>
      </c>
      <c r="R226" s="609" t="str">
        <f t="shared" si="30"/>
        <v>514</v>
      </c>
      <c r="S226" s="610" t="str">
        <f t="shared" si="31"/>
        <v>_</v>
      </c>
      <c r="T226" s="612" t="str">
        <f>+VLOOKUP($L226,Data_Validation!$A:$D,1,0)</f>
        <v>5144</v>
      </c>
      <c r="U226" s="612" t="str">
        <f>+VLOOKUP($L226,Data_Validation!$A:$D,3,0)</f>
        <v>Véhicules neufs</v>
      </c>
      <c r="V226" s="612" t="str">
        <f>+VLOOKUP($L226,Data_Validation!$A:$D,4,0)</f>
        <v>Autos détail</v>
      </c>
      <c r="W226" s="612" t="str">
        <f>+VLOOKUP($L226,Data_Validation!$A:$E,5,0)</f>
        <v>$</v>
      </c>
      <c r="X226" s="612">
        <f>+VLOOKUP($L226,Data_Validation!$A:$F,6,0)</f>
        <v>0</v>
      </c>
    </row>
    <row r="227" spans="1:24" ht="15" customHeight="1">
      <c r="A227" s="1188" t="s">
        <v>3847</v>
      </c>
      <c r="B227" s="1188" t="s">
        <v>3849</v>
      </c>
      <c r="C227" s="1190">
        <v>79239.070000000007</v>
      </c>
      <c r="D227" s="1190">
        <v>0</v>
      </c>
      <c r="E227" s="1190">
        <v>79239.070000000007</v>
      </c>
      <c r="F227" s="1188" t="s">
        <v>1055</v>
      </c>
      <c r="G227" s="1188" t="s">
        <v>3865</v>
      </c>
      <c r="H227" s="1188" t="s">
        <v>3845</v>
      </c>
      <c r="I227" s="608"/>
      <c r="J227" s="608"/>
      <c r="K227" s="608"/>
      <c r="L227" s="609" t="str">
        <f t="shared" si="27"/>
        <v>5145</v>
      </c>
      <c r="M227" s="610" t="str">
        <f t="shared" si="28"/>
        <v>ID BUZZ</v>
      </c>
      <c r="N227" s="611">
        <f>+IF(OR($Q227=Parametres!$G$2,$Q227=Parametres!$G$3),I227,C227)</f>
        <v>79239.070000000007</v>
      </c>
      <c r="O227" s="611">
        <f>+IF(OR($Q227=Parametres!$G$2,$Q227=Parametres!$G$3),J227,D227)</f>
        <v>0</v>
      </c>
      <c r="P227" s="611">
        <f>+IF(OR($Q227=Parametres!$G$2,$Q227=Parametres!$G$3),K227,E227)</f>
        <v>79239.070000000007</v>
      </c>
      <c r="Q227" s="610" t="str">
        <f t="shared" si="29"/>
        <v>6-Coût des ventes</v>
      </c>
      <c r="R227" s="609" t="str">
        <f t="shared" si="30"/>
        <v>84137</v>
      </c>
      <c r="S227" s="610" t="str">
        <f t="shared" si="31"/>
        <v>_</v>
      </c>
      <c r="T227" s="612" t="str">
        <f>+VLOOKUP($L227,Data_Validation!$A:$D,1,0)</f>
        <v>5145</v>
      </c>
      <c r="U227" s="612" t="str">
        <f>+VLOOKUP($L227,Data_Validation!$A:$D,3,0)</f>
        <v>Véhicules neufs</v>
      </c>
      <c r="V227" s="612" t="str">
        <f>+VLOOKUP($L227,Data_Validation!$A:$D,4,0)</f>
        <v>Camions détail</v>
      </c>
      <c r="W227" s="612" t="str">
        <f>+VLOOKUP($L227,Data_Validation!$A:$E,5,0)</f>
        <v>$</v>
      </c>
      <c r="X227" s="612">
        <f>+VLOOKUP($L227,Data_Validation!$A:$F,6,0)</f>
        <v>0</v>
      </c>
    </row>
    <row r="228" spans="1:24" ht="15" customHeight="1">
      <c r="A228" s="1188" t="s">
        <v>1066</v>
      </c>
      <c r="B228" s="1188" t="s">
        <v>2058</v>
      </c>
      <c r="C228" s="1190">
        <v>3052121.75</v>
      </c>
      <c r="D228" s="1190">
        <v>442110.12</v>
      </c>
      <c r="E228" s="1190">
        <v>3494231.87</v>
      </c>
      <c r="F228" s="1188" t="s">
        <v>1055</v>
      </c>
      <c r="G228" s="1188" t="s">
        <v>952</v>
      </c>
      <c r="H228" s="1188" t="s">
        <v>3845</v>
      </c>
      <c r="I228" s="608"/>
      <c r="J228" s="608"/>
      <c r="K228" s="608"/>
      <c r="L228" s="609" t="str">
        <f t="shared" si="27"/>
        <v>5201</v>
      </c>
      <c r="M228" s="610" t="str">
        <f t="shared" si="28"/>
        <v>C/V - VEH.USAGE VW DETAIL CERTIFIE</v>
      </c>
      <c r="N228" s="611">
        <f>+IF(OR($Q228=Parametres!$G$2,$Q228=Parametres!$G$3),I228,C228)</f>
        <v>3052121.75</v>
      </c>
      <c r="O228" s="611">
        <f>+IF(OR($Q228=Parametres!$G$2,$Q228=Parametres!$G$3),J228,D228)</f>
        <v>442110.12</v>
      </c>
      <c r="P228" s="611">
        <f>+IF(OR($Q228=Parametres!$G$2,$Q228=Parametres!$G$3),K228,E228)</f>
        <v>3494231.87</v>
      </c>
      <c r="Q228" s="610" t="str">
        <f t="shared" si="29"/>
        <v>6-Coût des ventes</v>
      </c>
      <c r="R228" s="609" t="str">
        <f t="shared" si="30"/>
        <v>4201</v>
      </c>
      <c r="S228" s="610" t="str">
        <f t="shared" si="31"/>
        <v>_</v>
      </c>
      <c r="T228" s="612" t="str">
        <f>+VLOOKUP($L228,Data_Validation!$A:$D,1,0)</f>
        <v>5201</v>
      </c>
      <c r="U228" s="612" t="str">
        <f>+VLOOKUP($L228,Data_Validation!$A:$D,3,0)</f>
        <v>Véhicules usagés</v>
      </c>
      <c r="V228" s="612" t="str">
        <f>+VLOOKUP($L228,Data_Validation!$A:$D,4,0)</f>
        <v>Certifié</v>
      </c>
      <c r="W228" s="612" t="str">
        <f>+VLOOKUP($L228,Data_Validation!$A:$E,5,0)</f>
        <v>$</v>
      </c>
      <c r="X228" s="612">
        <f>+VLOOKUP($L228,Data_Validation!$A:$F,6,0)</f>
        <v>0</v>
      </c>
    </row>
    <row r="229" spans="1:24" ht="15.75" customHeight="1">
      <c r="A229" s="1188" t="s">
        <v>1067</v>
      </c>
      <c r="B229" s="1188" t="s">
        <v>2061</v>
      </c>
      <c r="C229" s="1190">
        <v>295671.39</v>
      </c>
      <c r="D229" s="1190">
        <v>27970.19</v>
      </c>
      <c r="E229" s="1190">
        <v>323641.58</v>
      </c>
      <c r="F229" s="1188" t="s">
        <v>1055</v>
      </c>
      <c r="G229" s="1188" t="s">
        <v>952</v>
      </c>
      <c r="H229" s="1188" t="s">
        <v>3845</v>
      </c>
      <c r="I229" s="628"/>
      <c r="J229" s="619"/>
      <c r="K229" s="628"/>
      <c r="L229" s="609" t="str">
        <f t="shared" si="27"/>
        <v>5203</v>
      </c>
      <c r="M229" s="610" t="str">
        <f t="shared" si="28"/>
        <v>C/V - RECOND USAGE VW CERT.</v>
      </c>
      <c r="N229" s="611">
        <f>+IF(OR($Q229=Parametres!$G$2,$Q229=Parametres!$G$3),I229,C229)</f>
        <v>295671.39</v>
      </c>
      <c r="O229" s="611">
        <f>+IF(OR($Q229=Parametres!$G$2,$Q229=Parametres!$G$3),J229,D229)</f>
        <v>27970.19</v>
      </c>
      <c r="P229" s="611">
        <f>+IF(OR($Q229=Parametres!$G$2,$Q229=Parametres!$G$3),K229,E229)</f>
        <v>323641.58</v>
      </c>
      <c r="Q229" s="610" t="str">
        <f t="shared" si="29"/>
        <v>6-Coût des ventes</v>
      </c>
      <c r="R229" s="609" t="str">
        <f t="shared" si="30"/>
        <v>4201</v>
      </c>
      <c r="S229" s="610" t="str">
        <f t="shared" si="31"/>
        <v>_</v>
      </c>
      <c r="T229" s="612" t="str">
        <f>+VLOOKUP($L229,Data_Validation!$A:$D,1,0)</f>
        <v>5203</v>
      </c>
      <c r="U229" s="612" t="str">
        <f>+VLOOKUP($L229,Data_Validation!$A:$D,3,0)</f>
        <v>Véhicules usagés</v>
      </c>
      <c r="V229" s="612" t="str">
        <f>+VLOOKUP($L229,Data_Validation!$A:$D,4,0)</f>
        <v>Certifié</v>
      </c>
      <c r="W229" s="612" t="str">
        <f>+VLOOKUP($L229,Data_Validation!$A:$E,5,0)</f>
        <v>$</v>
      </c>
      <c r="X229" s="612">
        <f>+VLOOKUP($L229,Data_Validation!$A:$F,6,0)</f>
        <v>0</v>
      </c>
    </row>
    <row r="230" spans="1:24" ht="15" customHeight="1">
      <c r="A230" s="1188" t="s">
        <v>1068</v>
      </c>
      <c r="B230" s="1188" t="s">
        <v>2067</v>
      </c>
      <c r="C230" s="1190">
        <v>229914.55</v>
      </c>
      <c r="D230" s="1190">
        <v>232239.94</v>
      </c>
      <c r="E230" s="1190">
        <v>462154.49</v>
      </c>
      <c r="F230" s="1188" t="s">
        <v>1055</v>
      </c>
      <c r="G230" s="1188" t="s">
        <v>956</v>
      </c>
      <c r="H230" s="1188" t="s">
        <v>3845</v>
      </c>
      <c r="I230" s="626"/>
      <c r="J230" s="607"/>
      <c r="K230" s="626"/>
      <c r="L230" s="609" t="str">
        <f t="shared" si="27"/>
        <v>5211</v>
      </c>
      <c r="M230" s="610" t="str">
        <f t="shared" si="28"/>
        <v>C/V - VW USAGES DETAIL</v>
      </c>
      <c r="N230" s="611">
        <f>+IF(OR($Q230=Parametres!$G$2,$Q230=Parametres!$G$3),I230,C230)</f>
        <v>229914.55</v>
      </c>
      <c r="O230" s="611">
        <f>+IF(OR($Q230=Parametres!$G$2,$Q230=Parametres!$G$3),J230,D230)</f>
        <v>232239.94</v>
      </c>
      <c r="P230" s="611">
        <f>+IF(OR($Q230=Parametres!$G$2,$Q230=Parametres!$G$3),K230,E230)</f>
        <v>462154.49</v>
      </c>
      <c r="Q230" s="610" t="str">
        <f t="shared" si="29"/>
        <v>6-Coût des ventes</v>
      </c>
      <c r="R230" s="609" t="str">
        <f t="shared" si="30"/>
        <v>4211</v>
      </c>
      <c r="S230" s="610" t="str">
        <f t="shared" si="31"/>
        <v>_</v>
      </c>
      <c r="T230" s="612" t="str">
        <f>+VLOOKUP($L230,Data_Validation!$A:$D,1,0)</f>
        <v>5211</v>
      </c>
      <c r="U230" s="612" t="str">
        <f>+VLOOKUP($L230,Data_Validation!$A:$D,3,0)</f>
        <v>Véhicules usagés</v>
      </c>
      <c r="V230" s="612" t="str">
        <f>+VLOOKUP($L230,Data_Validation!$A:$D,4,0)</f>
        <v>Non Certifié</v>
      </c>
      <c r="W230" s="612" t="str">
        <f>+VLOOKUP($L230,Data_Validation!$A:$E,5,0)</f>
        <v>$</v>
      </c>
      <c r="X230" s="612">
        <f>+VLOOKUP($L230,Data_Validation!$A:$F,6,0)</f>
        <v>0</v>
      </c>
    </row>
    <row r="231" spans="1:24" ht="15" customHeight="1">
      <c r="A231" s="1188" t="s">
        <v>1069</v>
      </c>
      <c r="B231" s="1188" t="s">
        <v>2070</v>
      </c>
      <c r="C231" s="1190">
        <v>9926.5400000000009</v>
      </c>
      <c r="D231" s="1190">
        <v>13241.2</v>
      </c>
      <c r="E231" s="1190">
        <v>23167.74</v>
      </c>
      <c r="F231" s="1188" t="s">
        <v>1055</v>
      </c>
      <c r="G231" s="1188" t="s">
        <v>956</v>
      </c>
      <c r="H231" s="1188" t="s">
        <v>3845</v>
      </c>
      <c r="I231" s="608"/>
      <c r="J231" s="608"/>
      <c r="K231" s="608"/>
      <c r="L231" s="609" t="str">
        <f t="shared" si="27"/>
        <v>5213</v>
      </c>
      <c r="M231" s="610" t="str">
        <f t="shared" si="28"/>
        <v>C/V - RECOND. USAGE VW DETAIL</v>
      </c>
      <c r="N231" s="611">
        <f>+IF(OR($Q231=Parametres!$G$2,$Q231=Parametres!$G$3),I231,C231)</f>
        <v>9926.5400000000009</v>
      </c>
      <c r="O231" s="611">
        <f>+IF(OR($Q231=Parametres!$G$2,$Q231=Parametres!$G$3),J231,D231)</f>
        <v>13241.2</v>
      </c>
      <c r="P231" s="611">
        <f>+IF(OR($Q231=Parametres!$G$2,$Q231=Parametres!$G$3),K231,E231)</f>
        <v>23167.74</v>
      </c>
      <c r="Q231" s="610" t="str">
        <f t="shared" si="29"/>
        <v>6-Coût des ventes</v>
      </c>
      <c r="R231" s="609" t="str">
        <f t="shared" si="30"/>
        <v>4211</v>
      </c>
      <c r="S231" s="610" t="str">
        <f t="shared" si="31"/>
        <v>_</v>
      </c>
      <c r="T231" s="612" t="str">
        <f>+VLOOKUP($L231,Data_Validation!$A:$D,1,0)</f>
        <v>5213</v>
      </c>
      <c r="U231" s="612" t="str">
        <f>+VLOOKUP($L231,Data_Validation!$A:$D,3,0)</f>
        <v>Véhicules usagés</v>
      </c>
      <c r="V231" s="612" t="str">
        <f>+VLOOKUP($L231,Data_Validation!$A:$D,4,0)</f>
        <v>Non Certifié</v>
      </c>
      <c r="W231" s="612" t="str">
        <f>+VLOOKUP($L231,Data_Validation!$A:$E,5,0)</f>
        <v>$</v>
      </c>
      <c r="X231" s="612">
        <f>+VLOOKUP($L231,Data_Validation!$A:$F,6,0)</f>
        <v>0</v>
      </c>
    </row>
    <row r="232" spans="1:24" ht="15" customHeight="1">
      <c r="A232" s="1188" t="s">
        <v>959</v>
      </c>
      <c r="B232" s="1188" t="s">
        <v>2081</v>
      </c>
      <c r="C232" s="1190">
        <v>335344.75</v>
      </c>
      <c r="D232" s="1190">
        <v>72030</v>
      </c>
      <c r="E232" s="1190">
        <v>407374.75</v>
      </c>
      <c r="F232" s="1188" t="s">
        <v>1055</v>
      </c>
      <c r="G232" s="1188" t="s">
        <v>960</v>
      </c>
      <c r="H232" s="1188" t="s">
        <v>3845</v>
      </c>
      <c r="I232" s="608"/>
      <c r="J232" s="608"/>
      <c r="K232" s="608"/>
      <c r="L232" s="609" t="str">
        <f t="shared" si="27"/>
        <v>5285</v>
      </c>
      <c r="M232" s="610" t="str">
        <f t="shared" si="28"/>
        <v>VEH. D'OCC. AUTRE DETAIL</v>
      </c>
      <c r="N232" s="611">
        <f>+IF(OR($Q232=Parametres!$G$2,$Q232=Parametres!$G$3),I232,C232)</f>
        <v>335344.75</v>
      </c>
      <c r="O232" s="611">
        <f>+IF(OR($Q232=Parametres!$G$2,$Q232=Parametres!$G$3),J232,D232)</f>
        <v>72030</v>
      </c>
      <c r="P232" s="611">
        <f>+IF(OR($Q232=Parametres!$G$2,$Q232=Parametres!$G$3),K232,E232)</f>
        <v>407374.75</v>
      </c>
      <c r="Q232" s="610" t="str">
        <f t="shared" si="29"/>
        <v>6-Coût des ventes</v>
      </c>
      <c r="R232" s="609" t="str">
        <f t="shared" si="30"/>
        <v>4261</v>
      </c>
      <c r="S232" s="610" t="str">
        <f t="shared" si="31"/>
        <v>_</v>
      </c>
      <c r="T232" s="612" t="str">
        <f>+VLOOKUP($L232,Data_Validation!$A:$D,1,0)</f>
        <v>5285</v>
      </c>
      <c r="U232" s="612" t="str">
        <f>+VLOOKUP($L232,Data_Validation!$A:$D,3,0)</f>
        <v>Véhicules usagés</v>
      </c>
      <c r="V232" s="612" t="str">
        <f>+VLOOKUP($L232,Data_Validation!$A:$D,4,0)</f>
        <v>Autres Marques</v>
      </c>
      <c r="W232" s="612" t="str">
        <f>+VLOOKUP($L232,Data_Validation!$A:$E,5,0)</f>
        <v>$</v>
      </c>
      <c r="X232" s="612">
        <f>+VLOOKUP($L232,Data_Validation!$A:$F,6,0)</f>
        <v>0</v>
      </c>
    </row>
    <row r="233" spans="1:24" ht="15" customHeight="1">
      <c r="A233" s="1188" t="s">
        <v>1070</v>
      </c>
      <c r="B233" s="1188" t="s">
        <v>2084</v>
      </c>
      <c r="C233" s="1190">
        <v>10817.98</v>
      </c>
      <c r="D233" s="1190">
        <v>2447.81</v>
      </c>
      <c r="E233" s="1190">
        <v>13265.79</v>
      </c>
      <c r="F233" s="1188" t="s">
        <v>1055</v>
      </c>
      <c r="G233" s="1188" t="s">
        <v>960</v>
      </c>
      <c r="H233" s="1188" t="s">
        <v>3845</v>
      </c>
      <c r="I233" s="616"/>
      <c r="J233" s="616"/>
      <c r="K233" s="616"/>
      <c r="L233" s="609" t="str">
        <f t="shared" si="27"/>
        <v>5286</v>
      </c>
      <c r="M233" s="610" t="str">
        <f t="shared" si="28"/>
        <v>RECOND. AUTRE DETAIL</v>
      </c>
      <c r="N233" s="611">
        <f>+IF(OR($Q233=Parametres!$G$2,$Q233=Parametres!$G$3),I233,C233)</f>
        <v>10817.98</v>
      </c>
      <c r="O233" s="611">
        <f>+IF(OR($Q233=Parametres!$G$2,$Q233=Parametres!$G$3),J233,D233)</f>
        <v>2447.81</v>
      </c>
      <c r="P233" s="611">
        <f>+IF(OR($Q233=Parametres!$G$2,$Q233=Parametres!$G$3),K233,E233)</f>
        <v>13265.79</v>
      </c>
      <c r="Q233" s="610" t="str">
        <f t="shared" si="29"/>
        <v>6-Coût des ventes</v>
      </c>
      <c r="R233" s="609" t="str">
        <f t="shared" si="30"/>
        <v>4261</v>
      </c>
      <c r="S233" s="610" t="str">
        <f t="shared" si="31"/>
        <v>_</v>
      </c>
      <c r="T233" s="612" t="str">
        <f>+VLOOKUP($L233,Data_Validation!$A:$D,1,0)</f>
        <v>5286</v>
      </c>
      <c r="U233" s="612" t="str">
        <f>+VLOOKUP($L233,Data_Validation!$A:$D,3,0)</f>
        <v>Véhicules usagés</v>
      </c>
      <c r="V233" s="612" t="str">
        <f>+VLOOKUP($L233,Data_Validation!$A:$D,4,0)</f>
        <v>Non Certifié</v>
      </c>
      <c r="W233" s="612" t="str">
        <f>+VLOOKUP($L233,Data_Validation!$A:$E,5,0)</f>
        <v>$</v>
      </c>
      <c r="X233" s="612">
        <f>+VLOOKUP($L233,Data_Validation!$A:$F,6,0)</f>
        <v>0</v>
      </c>
    </row>
    <row r="234" spans="1:24" ht="15.75" customHeight="1">
      <c r="A234" s="1188" t="s">
        <v>963</v>
      </c>
      <c r="B234" s="1188" t="s">
        <v>2087</v>
      </c>
      <c r="C234" s="1190">
        <v>2052414.94</v>
      </c>
      <c r="D234" s="1190">
        <v>289419.81</v>
      </c>
      <c r="E234" s="1190">
        <v>2341834.75</v>
      </c>
      <c r="F234" s="1188" t="s">
        <v>1055</v>
      </c>
      <c r="G234" s="1188" t="s">
        <v>964</v>
      </c>
      <c r="H234" s="1188" t="s">
        <v>3845</v>
      </c>
      <c r="I234" s="608"/>
      <c r="J234" s="608"/>
      <c r="K234" s="608"/>
      <c r="L234" s="609" t="str">
        <f t="shared" si="27"/>
        <v>5291</v>
      </c>
      <c r="M234" s="610" t="str">
        <f t="shared" si="28"/>
        <v>VEH. D'OCC. AU GROS</v>
      </c>
      <c r="N234" s="611">
        <f>+IF(OR($Q234=Parametres!$G$2,$Q234=Parametres!$G$3),I234,C234)</f>
        <v>2052414.94</v>
      </c>
      <c r="O234" s="611">
        <f>+IF(OR($Q234=Parametres!$G$2,$Q234=Parametres!$G$3),J234,D234)</f>
        <v>289419.81</v>
      </c>
      <c r="P234" s="611">
        <f>+IF(OR($Q234=Parametres!$G$2,$Q234=Parametres!$G$3),K234,E234)</f>
        <v>2341834.75</v>
      </c>
      <c r="Q234" s="610" t="str">
        <f t="shared" si="29"/>
        <v>6-Coût des ventes</v>
      </c>
      <c r="R234" s="609" t="str">
        <f t="shared" si="30"/>
        <v>4281</v>
      </c>
      <c r="S234" s="610" t="str">
        <f t="shared" si="31"/>
        <v>_</v>
      </c>
      <c r="T234" s="612" t="str">
        <f>+VLOOKUP($L234,Data_Validation!$A:$D,1,0)</f>
        <v>5291</v>
      </c>
      <c r="U234" s="612" t="str">
        <f>+VLOOKUP($L234,Data_Validation!$A:$D,3,0)</f>
        <v>Véhicules usagés</v>
      </c>
      <c r="V234" s="612" t="str">
        <f>+VLOOKUP($L234,Data_Validation!$A:$D,4,0)</f>
        <v>Ventes au Gros</v>
      </c>
      <c r="W234" s="612" t="str">
        <f>+VLOOKUP($L234,Data_Validation!$A:$E,5,0)</f>
        <v>$</v>
      </c>
      <c r="X234" s="612">
        <f>+VLOOKUP($L234,Data_Validation!$A:$F,6,0)</f>
        <v>0</v>
      </c>
    </row>
    <row r="235" spans="1:24" ht="15" customHeight="1">
      <c r="A235" s="1188" t="s">
        <v>3615</v>
      </c>
      <c r="B235" s="1188" t="s">
        <v>2090</v>
      </c>
      <c r="C235" s="1190">
        <v>183949.9</v>
      </c>
      <c r="D235" s="1190">
        <v>30622.880000000001</v>
      </c>
      <c r="E235" s="1190">
        <v>214572.78</v>
      </c>
      <c r="F235" s="1188" t="s">
        <v>1055</v>
      </c>
      <c r="G235" s="1188" t="s">
        <v>968</v>
      </c>
      <c r="H235" s="1188" t="s">
        <v>3845</v>
      </c>
      <c r="I235" s="608"/>
      <c r="J235" s="608"/>
      <c r="K235" s="608"/>
      <c r="L235" s="609" t="str">
        <f t="shared" si="27"/>
        <v>5401</v>
      </c>
      <c r="M235" s="610" t="str">
        <f t="shared" si="28"/>
        <v>MAIN-D'OEUVRE - CLIENT VW - MCI</v>
      </c>
      <c r="N235" s="611">
        <f>+IF(OR($Q235=Parametres!$G$2,$Q235=Parametres!$G$3),I235,C235)</f>
        <v>183949.9</v>
      </c>
      <c r="O235" s="611">
        <f>+IF(OR($Q235=Parametres!$G$2,$Q235=Parametres!$G$3),J235,D235)</f>
        <v>30622.880000000001</v>
      </c>
      <c r="P235" s="611">
        <f>+IF(OR($Q235=Parametres!$G$2,$Q235=Parametres!$G$3),K235,E235)</f>
        <v>214572.78</v>
      </c>
      <c r="Q235" s="610" t="str">
        <f t="shared" si="29"/>
        <v>6-Coût des ventes</v>
      </c>
      <c r="R235" s="609" t="str">
        <f t="shared" si="30"/>
        <v>4401</v>
      </c>
      <c r="S235" s="610" t="str">
        <f t="shared" si="31"/>
        <v>_</v>
      </c>
      <c r="T235" s="612" t="str">
        <f>+VLOOKUP($L235,Data_Validation!$A:$D,1,0)</f>
        <v>5401</v>
      </c>
      <c r="U235" s="612" t="str">
        <f>+VLOOKUP($L235,Data_Validation!$A:$D,3,0)</f>
        <v>Service</v>
      </c>
      <c r="V235" s="612" t="str">
        <f>+VLOOKUP($L235,Data_Validation!$A:$D,4,0)</f>
        <v>M/O Client</v>
      </c>
      <c r="W235" s="612" t="str">
        <f>+VLOOKUP($L235,Data_Validation!$A:$E,5,0)</f>
        <v>$</v>
      </c>
      <c r="X235" s="612">
        <f>+VLOOKUP($L235,Data_Validation!$A:$F,6,0)</f>
        <v>0</v>
      </c>
    </row>
    <row r="236" spans="1:24" ht="15" customHeight="1">
      <c r="A236" s="1188" t="s">
        <v>1072</v>
      </c>
      <c r="B236" s="1188" t="s">
        <v>2093</v>
      </c>
      <c r="C236" s="1190">
        <v>12739.49</v>
      </c>
      <c r="D236" s="1190">
        <v>909.03</v>
      </c>
      <c r="E236" s="1190">
        <v>13648.52</v>
      </c>
      <c r="F236" s="1188" t="s">
        <v>1055</v>
      </c>
      <c r="G236" s="1188" t="s">
        <v>971</v>
      </c>
      <c r="H236" s="1188" t="s">
        <v>3845</v>
      </c>
      <c r="I236" s="608"/>
      <c r="J236" s="608"/>
      <c r="K236" s="608"/>
      <c r="L236" s="609" t="str">
        <f t="shared" si="27"/>
        <v>5402</v>
      </c>
      <c r="M236" s="610" t="str">
        <f t="shared" si="28"/>
        <v>C/V - M.O. ESTHETIQUE CLIENT</v>
      </c>
      <c r="N236" s="611">
        <f>+IF(OR($Q236=Parametres!$G$2,$Q236=Parametres!$G$3),I236,C236)</f>
        <v>12739.49</v>
      </c>
      <c r="O236" s="611">
        <f>+IF(OR($Q236=Parametres!$G$2,$Q236=Parametres!$G$3),J236,D236)</f>
        <v>909.03</v>
      </c>
      <c r="P236" s="611">
        <f>+IF(OR($Q236=Parametres!$G$2,$Q236=Parametres!$G$3),K236,E236)</f>
        <v>13648.52</v>
      </c>
      <c r="Q236" s="610" t="str">
        <f t="shared" si="29"/>
        <v>6-Coût des ventes</v>
      </c>
      <c r="R236" s="609" t="str">
        <f t="shared" si="30"/>
        <v>4402</v>
      </c>
      <c r="S236" s="610" t="str">
        <f t="shared" si="31"/>
        <v>_</v>
      </c>
      <c r="T236" s="612" t="str">
        <f>+VLOOKUP($L236,Data_Validation!$A:$D,1,0)</f>
        <v>5402</v>
      </c>
      <c r="U236" s="612" t="str">
        <f>+VLOOKUP($L236,Data_Validation!$A:$D,3,0)</f>
        <v>Service</v>
      </c>
      <c r="V236" s="612" t="str">
        <f>+VLOOKUP($L236,Data_Validation!$A:$D,4,0)</f>
        <v>M/O Esthétique</v>
      </c>
      <c r="W236" s="612" t="str">
        <f>+VLOOKUP($L236,Data_Validation!$A:$E,5,0)</f>
        <v>$</v>
      </c>
      <c r="X236" s="612">
        <f>+VLOOKUP($L236,Data_Validation!$A:$F,6,0)</f>
        <v>0</v>
      </c>
    </row>
    <row r="237" spans="1:24" ht="15" customHeight="1">
      <c r="A237" s="1188" t="s">
        <v>3616</v>
      </c>
      <c r="B237" s="1188" t="s">
        <v>2096</v>
      </c>
      <c r="C237" s="1190">
        <v>126723.89</v>
      </c>
      <c r="D237" s="1190">
        <v>21101.45</v>
      </c>
      <c r="E237" s="1190">
        <v>147825.34</v>
      </c>
      <c r="F237" s="1188" t="s">
        <v>1055</v>
      </c>
      <c r="G237" s="1188" t="s">
        <v>973</v>
      </c>
      <c r="H237" s="1188" t="s">
        <v>3845</v>
      </c>
      <c r="I237" s="626"/>
      <c r="J237" s="607"/>
      <c r="K237" s="626"/>
      <c r="L237" s="609" t="str">
        <f t="shared" si="27"/>
        <v>5403</v>
      </c>
      <c r="M237" s="610" t="str">
        <f t="shared" si="28"/>
        <v>MAIN-D'OEUVRE - GARANTIE VW - MCI</v>
      </c>
      <c r="N237" s="611">
        <f>+IF(OR($Q237=Parametres!$G$2,$Q237=Parametres!$G$3),I237,C237)</f>
        <v>126723.89</v>
      </c>
      <c r="O237" s="615">
        <f>+IF(OR($Q237=Parametres!$G$2,$Q237=Parametres!$G$3),J237,D237)</f>
        <v>21101.45</v>
      </c>
      <c r="P237" s="611">
        <f>+IF(OR($Q237=Parametres!$G$2,$Q237=Parametres!$G$3),K237,E237)</f>
        <v>147825.34</v>
      </c>
      <c r="Q237" s="610" t="str">
        <f t="shared" si="29"/>
        <v>6-Coût des ventes</v>
      </c>
      <c r="R237" s="609" t="str">
        <f t="shared" si="30"/>
        <v>4403</v>
      </c>
      <c r="S237" s="610" t="str">
        <f t="shared" si="31"/>
        <v>_</v>
      </c>
      <c r="T237" s="612" t="str">
        <f>+VLOOKUP($L237,Data_Validation!$A:$D,1,0)</f>
        <v>5403</v>
      </c>
      <c r="U237" s="612" t="str">
        <f>+VLOOKUP($L237,Data_Validation!$A:$D,3,0)</f>
        <v>Service</v>
      </c>
      <c r="V237" s="612" t="str">
        <f>+VLOOKUP($L237,Data_Validation!$A:$D,4,0)</f>
        <v>M/O Garantie</v>
      </c>
      <c r="W237" s="612" t="str">
        <f>+VLOOKUP($L237,Data_Validation!$A:$E,5,0)</f>
        <v>$</v>
      </c>
      <c r="X237" s="612">
        <f>+VLOOKUP($L237,Data_Validation!$A:$F,6,0)</f>
        <v>0</v>
      </c>
    </row>
    <row r="238" spans="1:24" ht="15.75" customHeight="1">
      <c r="A238" s="1188" t="s">
        <v>3617</v>
      </c>
      <c r="B238" s="1188" t="s">
        <v>2099</v>
      </c>
      <c r="C238" s="1190">
        <v>107387.88</v>
      </c>
      <c r="D238" s="1190">
        <v>11452.66</v>
      </c>
      <c r="E238" s="1190">
        <v>118840.54</v>
      </c>
      <c r="F238" s="1188" t="s">
        <v>1055</v>
      </c>
      <c r="G238" s="1188" t="s">
        <v>976</v>
      </c>
      <c r="H238" s="1188" t="s">
        <v>3845</v>
      </c>
      <c r="I238" s="626"/>
      <c r="J238" s="626"/>
      <c r="K238" s="626"/>
      <c r="L238" s="609" t="str">
        <f t="shared" si="27"/>
        <v>5405</v>
      </c>
      <c r="M238" s="610" t="str">
        <f t="shared" si="28"/>
        <v>MAIN-D'OEUVRE - INTERNE VW - MCI</v>
      </c>
      <c r="N238" s="611">
        <f>+IF(OR($Q238=Parametres!$G$2,$Q238=Parametres!$G$3),I238,C238)</f>
        <v>107387.88</v>
      </c>
      <c r="O238" s="615">
        <f>+IF(OR($Q238=Parametres!$G$2,$Q238=Parametres!$G$3),J238,D238)</f>
        <v>11452.66</v>
      </c>
      <c r="P238" s="611">
        <f>+IF(OR($Q238=Parametres!$G$2,$Q238=Parametres!$G$3),K238,E238)</f>
        <v>118840.54</v>
      </c>
      <c r="Q238" s="610" t="str">
        <f t="shared" si="29"/>
        <v>6-Coût des ventes</v>
      </c>
      <c r="R238" s="609" t="str">
        <f t="shared" si="30"/>
        <v>4405</v>
      </c>
      <c r="S238" s="610" t="str">
        <f t="shared" si="31"/>
        <v>_</v>
      </c>
      <c r="T238" s="612" t="str">
        <f>+VLOOKUP($L238,Data_Validation!$A:$D,1,0)</f>
        <v>5405</v>
      </c>
      <c r="U238" s="612" t="str">
        <f>+VLOOKUP($L238,Data_Validation!$A:$D,3,0)</f>
        <v>Service</v>
      </c>
      <c r="V238" s="612" t="str">
        <f>+VLOOKUP($L238,Data_Validation!$A:$D,4,0)</f>
        <v>M/O Interne</v>
      </c>
      <c r="W238" s="612" t="str">
        <f>+VLOOKUP($L238,Data_Validation!$A:$E,5,0)</f>
        <v>$</v>
      </c>
      <c r="X238" s="612">
        <f>+VLOOKUP($L238,Data_Validation!$A:$F,6,0)</f>
        <v>0</v>
      </c>
    </row>
    <row r="239" spans="1:24" ht="15" customHeight="1">
      <c r="A239" s="1188" t="s">
        <v>3625</v>
      </c>
      <c r="B239" s="1188" t="s">
        <v>2105</v>
      </c>
      <c r="C239" s="1190">
        <v>14511.67</v>
      </c>
      <c r="D239" s="1190">
        <v>1627.5</v>
      </c>
      <c r="E239" s="1190">
        <v>16139.17</v>
      </c>
      <c r="F239" s="1188" t="s">
        <v>1055</v>
      </c>
      <c r="G239" s="1188" t="s">
        <v>1076</v>
      </c>
      <c r="H239" s="1188" t="s">
        <v>3845</v>
      </c>
      <c r="I239" s="608"/>
      <c r="J239" s="608"/>
      <c r="K239" s="608"/>
      <c r="L239" s="609" t="str">
        <f t="shared" si="27"/>
        <v>5416</v>
      </c>
      <c r="M239" s="610" t="str">
        <f t="shared" si="28"/>
        <v>C/V - MAIN D'OEUVRE SVC NON APP - TOUS</v>
      </c>
      <c r="N239" s="611">
        <f>+IF(OR($Q239=Parametres!$G$2,$Q239=Parametres!$G$3),I239,C239)</f>
        <v>14511.67</v>
      </c>
      <c r="O239" s="611">
        <f>+IF(OR($Q239=Parametres!$G$2,$Q239=Parametres!$G$3),J239,D239)</f>
        <v>1627.5</v>
      </c>
      <c r="P239" s="611">
        <f>+IF(OR($Q239=Parametres!$G$2,$Q239=Parametres!$G$3),K239,E239)</f>
        <v>16139.17</v>
      </c>
      <c r="Q239" s="610" t="str">
        <f t="shared" si="29"/>
        <v>6-Coût des ventes</v>
      </c>
      <c r="R239" s="609" t="str">
        <f t="shared" si="30"/>
        <v>4416</v>
      </c>
      <c r="S239" s="610" t="str">
        <f t="shared" si="31"/>
        <v>_</v>
      </c>
      <c r="T239" s="612" t="str">
        <f>+VLOOKUP($L239,Data_Validation!$A:$D,1,0)</f>
        <v>5416</v>
      </c>
      <c r="U239" s="612" t="str">
        <f>+VLOOKUP($L239,Data_Validation!$A:$D,3,0)</f>
        <v>Service</v>
      </c>
      <c r="V239" s="612" t="str">
        <f>+VLOOKUP($L239,Data_Validation!$A:$D,4,0)</f>
        <v>Ajustement M/O</v>
      </c>
      <c r="W239" s="612" t="str">
        <f>+VLOOKUP($L239,Data_Validation!$A:$E,5,0)</f>
        <v>$</v>
      </c>
      <c r="X239" s="612">
        <f>+VLOOKUP($L239,Data_Validation!$A:$F,6,0)</f>
        <v>0</v>
      </c>
    </row>
    <row r="240" spans="1:24" ht="15" customHeight="1">
      <c r="A240" s="1188" t="s">
        <v>978</v>
      </c>
      <c r="B240" s="1188" t="s">
        <v>2111</v>
      </c>
      <c r="C240" s="1190">
        <v>83255.22</v>
      </c>
      <c r="D240" s="1190">
        <v>17571.36</v>
      </c>
      <c r="E240" s="1190">
        <v>100826.58</v>
      </c>
      <c r="F240" s="1188" t="s">
        <v>1055</v>
      </c>
      <c r="G240" s="1188" t="s">
        <v>979</v>
      </c>
      <c r="H240" s="1188" t="s">
        <v>3845</v>
      </c>
      <c r="I240" s="623"/>
      <c r="J240" s="623"/>
      <c r="K240" s="623"/>
      <c r="L240" s="609" t="str">
        <f t="shared" si="27"/>
        <v>5451</v>
      </c>
      <c r="M240" s="610" t="str">
        <f t="shared" si="28"/>
        <v>CARBURANT/HUILE/GRAISSE</v>
      </c>
      <c r="N240" s="611">
        <f>+IF(OR($Q240=Parametres!$G$2,$Q240=Parametres!$G$3),I240,C240)</f>
        <v>83255.22</v>
      </c>
      <c r="O240" s="611">
        <f>+IF(OR($Q240=Parametres!$G$2,$Q240=Parametres!$G$3),J240,D240)</f>
        <v>17571.36</v>
      </c>
      <c r="P240" s="611">
        <f>+IF(OR($Q240=Parametres!$G$2,$Q240=Parametres!$G$3),K240,E240)</f>
        <v>100826.58</v>
      </c>
      <c r="Q240" s="610" t="str">
        <f t="shared" si="29"/>
        <v>6-Coût des ventes</v>
      </c>
      <c r="R240" s="609" t="str">
        <f t="shared" si="30"/>
        <v>4782</v>
      </c>
      <c r="S240" s="610" t="str">
        <f t="shared" si="31"/>
        <v>_</v>
      </c>
      <c r="T240" s="612" t="str">
        <f>+VLOOKUP($L240,Data_Validation!$A:$D,1,0)</f>
        <v>5451</v>
      </c>
      <c r="U240" s="612" t="str">
        <f>+VLOOKUP($L240,Data_Validation!$A:$D,3,0)</f>
        <v>Pièces</v>
      </c>
      <c r="V240" s="612" t="str">
        <f>+VLOOKUP($L240,Data_Validation!$A:$D,4,0)</f>
        <v>Huiles et Graisse</v>
      </c>
      <c r="W240" s="612" t="str">
        <f>+VLOOKUP($L240,Data_Validation!$A:$E,5,0)</f>
        <v>$</v>
      </c>
      <c r="X240" s="612">
        <f>+VLOOKUP($L240,Data_Validation!$A:$F,6,0)</f>
        <v>0</v>
      </c>
    </row>
    <row r="241" spans="1:24" ht="15" customHeight="1">
      <c r="A241" s="1188" t="s">
        <v>981</v>
      </c>
      <c r="B241" s="1188" t="s">
        <v>2114</v>
      </c>
      <c r="C241" s="1190">
        <v>27318.86</v>
      </c>
      <c r="D241" s="1190">
        <v>4296.42</v>
      </c>
      <c r="E241" s="1190">
        <v>31615.279999999999</v>
      </c>
      <c r="F241" s="1188" t="s">
        <v>1055</v>
      </c>
      <c r="G241" s="1188" t="s">
        <v>982</v>
      </c>
      <c r="H241" s="1188" t="s">
        <v>3845</v>
      </c>
      <c r="I241" s="622"/>
      <c r="J241" s="622"/>
      <c r="K241" s="622"/>
      <c r="L241" s="609" t="str">
        <f t="shared" si="27"/>
        <v>5491</v>
      </c>
      <c r="M241" s="610" t="str">
        <f t="shared" si="28"/>
        <v>REPARATION SOUS-LOC. - GENERAL</v>
      </c>
      <c r="N241" s="611">
        <f>+IF(OR($Q241=Parametres!$G$2,$Q241=Parametres!$G$3),I241,C241)</f>
        <v>27318.86</v>
      </c>
      <c r="O241" s="611">
        <f>+IF(OR($Q241=Parametres!$G$2,$Q241=Parametres!$G$3),J241,D241)</f>
        <v>4296.42</v>
      </c>
      <c r="P241" s="611">
        <f>+IF(OR($Q241=Parametres!$G$2,$Q241=Parametres!$G$3),K241,E241)</f>
        <v>31615.279999999999</v>
      </c>
      <c r="Q241" s="610" t="str">
        <f t="shared" si="29"/>
        <v>6-Coût des ventes</v>
      </c>
      <c r="R241" s="609" t="str">
        <f t="shared" si="30"/>
        <v>4491</v>
      </c>
      <c r="S241" s="610" t="str">
        <f t="shared" si="31"/>
        <v>_</v>
      </c>
      <c r="T241" s="612" t="str">
        <f>+VLOOKUP($L241,Data_Validation!$A:$D,1,0)</f>
        <v>5491</v>
      </c>
      <c r="U241" s="612" t="str">
        <f>+VLOOKUP($L241,Data_Validation!$A:$D,3,0)</f>
        <v>Service</v>
      </c>
      <c r="V241" s="612" t="str">
        <f>+VLOOKUP($L241,Data_Validation!$A:$D,4,0)</f>
        <v>Sous-traitement</v>
      </c>
      <c r="W241" s="612" t="str">
        <f>+VLOOKUP($L241,Data_Validation!$A:$E,5,0)</f>
        <v>$</v>
      </c>
      <c r="X241" s="612">
        <f>+VLOOKUP($L241,Data_Validation!$A:$F,6,0)</f>
        <v>0</v>
      </c>
    </row>
    <row r="242" spans="1:24" ht="15" customHeight="1">
      <c r="A242" s="1188" t="s">
        <v>1077</v>
      </c>
      <c r="B242" s="1188" t="s">
        <v>2117</v>
      </c>
      <c r="C242" s="1190">
        <v>8549.02</v>
      </c>
      <c r="D242" s="1190">
        <v>825</v>
      </c>
      <c r="E242" s="1190">
        <v>9374.02</v>
      </c>
      <c r="F242" s="1188" t="s">
        <v>1055</v>
      </c>
      <c r="G242" s="1188" t="s">
        <v>985</v>
      </c>
      <c r="H242" s="1188" t="s">
        <v>3845</v>
      </c>
      <c r="I242" s="622"/>
      <c r="J242" s="622"/>
      <c r="K242" s="622"/>
      <c r="L242" s="609" t="str">
        <f t="shared" si="27"/>
        <v>5493</v>
      </c>
      <c r="M242" s="610" t="str">
        <f t="shared" si="28"/>
        <v>C/V - SOUS-TRAITANCE GARANTIE</v>
      </c>
      <c r="N242" s="611">
        <f>+IF(OR($Q242=Parametres!$G$2,$Q242=Parametres!$G$3),I242,C242)</f>
        <v>8549.02</v>
      </c>
      <c r="O242" s="611">
        <f>+IF(OR($Q242=Parametres!$G$2,$Q242=Parametres!$G$3),J242,D242)</f>
        <v>825</v>
      </c>
      <c r="P242" s="611">
        <f>+IF(OR($Q242=Parametres!$G$2,$Q242=Parametres!$G$3),K242,E242)</f>
        <v>9374.02</v>
      </c>
      <c r="Q242" s="610" t="str">
        <f t="shared" si="29"/>
        <v>6-Coût des ventes</v>
      </c>
      <c r="R242" s="609" t="str">
        <f t="shared" si="30"/>
        <v>4493</v>
      </c>
      <c r="S242" s="610" t="str">
        <f t="shared" si="31"/>
        <v>_</v>
      </c>
      <c r="T242" s="612" t="str">
        <f>+VLOOKUP($L242,Data_Validation!$A:$D,1,0)</f>
        <v>5493</v>
      </c>
      <c r="U242" s="612" t="str">
        <f>+VLOOKUP($L242,Data_Validation!$A:$D,3,0)</f>
        <v>Service</v>
      </c>
      <c r="V242" s="612" t="str">
        <f>+VLOOKUP($L242,Data_Validation!$A:$D,4,0)</f>
        <v>Sous-traitement</v>
      </c>
      <c r="W242" s="612" t="str">
        <f>+VLOOKUP($L242,Data_Validation!$A:$E,5,0)</f>
        <v>$</v>
      </c>
      <c r="X242" s="612">
        <f>+VLOOKUP($L242,Data_Validation!$A:$F,6,0)</f>
        <v>0</v>
      </c>
    </row>
    <row r="243" spans="1:24" ht="15.75" customHeight="1">
      <c r="A243" s="1188" t="s">
        <v>1078</v>
      </c>
      <c r="B243" s="1188" t="s">
        <v>2120</v>
      </c>
      <c r="C243" s="1190">
        <v>35972.410000000003</v>
      </c>
      <c r="D243" s="1190">
        <v>5427.92</v>
      </c>
      <c r="E243" s="1190">
        <v>41400.33</v>
      </c>
      <c r="F243" s="1188" t="s">
        <v>1055</v>
      </c>
      <c r="G243" s="1188" t="s">
        <v>989</v>
      </c>
      <c r="H243" s="1188" t="s">
        <v>3845</v>
      </c>
      <c r="I243" s="623"/>
      <c r="J243" s="623"/>
      <c r="K243" s="623"/>
      <c r="L243" s="609" t="str">
        <f t="shared" si="27"/>
        <v>5495</v>
      </c>
      <c r="M243" s="610" t="str">
        <f t="shared" si="28"/>
        <v>C/V - SOUS-TRAITANCE INTERNE</v>
      </c>
      <c r="N243" s="611">
        <f>+IF(OR($Q243=Parametres!$G$2,$Q243=Parametres!$G$3),I243,C243)</f>
        <v>35972.410000000003</v>
      </c>
      <c r="O243" s="615">
        <f>+IF(OR($Q243=Parametres!$G$2,$Q243=Parametres!$G$3),J243,D243)</f>
        <v>5427.92</v>
      </c>
      <c r="P243" s="611">
        <f>+IF(OR($Q243=Parametres!$G$2,$Q243=Parametres!$G$3),K243,E243)</f>
        <v>41400.33</v>
      </c>
      <c r="Q243" s="610" t="str">
        <f t="shared" si="29"/>
        <v>6-Coût des ventes</v>
      </c>
      <c r="R243" s="609" t="str">
        <f t="shared" si="30"/>
        <v>4495</v>
      </c>
      <c r="S243" s="610" t="str">
        <f t="shared" si="31"/>
        <v>_</v>
      </c>
      <c r="T243" s="612" t="str">
        <f>+VLOOKUP($L243,Data_Validation!$A:$D,1,0)</f>
        <v>5495</v>
      </c>
      <c r="U243" s="612" t="str">
        <f>+VLOOKUP($L243,Data_Validation!$A:$D,3,0)</f>
        <v>Service</v>
      </c>
      <c r="V243" s="612" t="str">
        <f>+VLOOKUP($L243,Data_Validation!$A:$D,4,0)</f>
        <v>Sous-traitement</v>
      </c>
      <c r="W243" s="612" t="str">
        <f>+VLOOKUP($L243,Data_Validation!$A:$E,5,0)</f>
        <v>$</v>
      </c>
      <c r="X243" s="612">
        <f>+VLOOKUP($L243,Data_Validation!$A:$F,6,0)</f>
        <v>0</v>
      </c>
    </row>
    <row r="244" spans="1:24" ht="15" customHeight="1">
      <c r="A244" s="1188" t="s">
        <v>3372</v>
      </c>
      <c r="B244" s="1188" t="s">
        <v>3373</v>
      </c>
      <c r="C244" s="1190">
        <v>3792.48</v>
      </c>
      <c r="D244" s="1190">
        <v>0</v>
      </c>
      <c r="E244" s="1190">
        <v>3792.48</v>
      </c>
      <c r="F244" s="1188" t="s">
        <v>1055</v>
      </c>
      <c r="G244" s="1188" t="s">
        <v>3371</v>
      </c>
      <c r="H244" s="1188" t="s">
        <v>3845</v>
      </c>
      <c r="I244" s="622"/>
      <c r="J244" s="622"/>
      <c r="K244" s="622"/>
      <c r="L244" s="609" t="str">
        <f t="shared" ref="L244:L307" si="32">TEXT(B244,0)</f>
        <v>5505</v>
      </c>
      <c r="M244" s="610" t="str">
        <f t="shared" ref="M244:M307" si="33">+A244</f>
        <v>C/V - M.O. INTERNE CARROSSERIE</v>
      </c>
      <c r="N244" s="611">
        <f>+IF(OR($Q244=Parametres!$G$2,$Q244=Parametres!$G$3),I244,C244)</f>
        <v>3792.48</v>
      </c>
      <c r="O244" s="611">
        <f>+IF(OR($Q244=Parametres!$G$2,$Q244=Parametres!$G$3),J244,D244)</f>
        <v>0</v>
      </c>
      <c r="P244" s="611">
        <f>+IF(OR($Q244=Parametres!$G$2,$Q244=Parametres!$G$3),K244,E244)</f>
        <v>3792.48</v>
      </c>
      <c r="Q244" s="610" t="str">
        <f t="shared" ref="Q244:Q307" si="34">+F244</f>
        <v>6-Coût des ventes</v>
      </c>
      <c r="R244" s="609" t="str">
        <f t="shared" ref="R244:R307" si="35">+G244</f>
        <v>4505</v>
      </c>
      <c r="S244" s="610" t="str">
        <f t="shared" ref="S244:S307" si="36">+H244</f>
        <v>_</v>
      </c>
      <c r="T244" s="627" t="str">
        <f>+VLOOKUP($L244,Data_Validation!$A:$D,1,0)</f>
        <v>5505</v>
      </c>
      <c r="U244" s="612" t="str">
        <f>+VLOOKUP($L244,Data_Validation!$A:$D,3,0)</f>
        <v>Service</v>
      </c>
      <c r="V244" s="612" t="str">
        <f>+VLOOKUP($L244,Data_Validation!$A:$D,4,0)</f>
        <v>M.O. Recond. MCPA</v>
      </c>
      <c r="W244" s="612" t="str">
        <f>+VLOOKUP($L244,Data_Validation!$A:$E,5,0)</f>
        <v>$</v>
      </c>
      <c r="X244" s="612">
        <f>+VLOOKUP($L244,Data_Validation!$A:$F,6,0)</f>
        <v>0</v>
      </c>
    </row>
    <row r="245" spans="1:24" ht="15" customHeight="1">
      <c r="A245" s="1188" t="s">
        <v>1079</v>
      </c>
      <c r="B245" s="1188" t="s">
        <v>2129</v>
      </c>
      <c r="C245" s="1190">
        <v>41480.39</v>
      </c>
      <c r="D245" s="1190">
        <v>15718.57</v>
      </c>
      <c r="E245" s="1190">
        <v>57198.96</v>
      </c>
      <c r="F245" s="1188" t="s">
        <v>1055</v>
      </c>
      <c r="G245" s="1188" t="s">
        <v>996</v>
      </c>
      <c r="H245" s="1188" t="s">
        <v>3845</v>
      </c>
      <c r="I245" s="623"/>
      <c r="J245" s="623"/>
      <c r="K245" s="623"/>
      <c r="L245" s="609" t="str">
        <f t="shared" si="32"/>
        <v>5591</v>
      </c>
      <c r="M245" s="610" t="str">
        <f t="shared" si="33"/>
        <v>C/V - S-TRAIT. CARR.</v>
      </c>
      <c r="N245" s="611">
        <f>+IF(OR($Q245=Parametres!$G$2,$Q245=Parametres!$G$3),I245,C245)</f>
        <v>41480.39</v>
      </c>
      <c r="O245" s="611">
        <f>+IF(OR($Q245=Parametres!$G$2,$Q245=Parametres!$G$3),J245,D245)</f>
        <v>15718.57</v>
      </c>
      <c r="P245" s="611">
        <f>+IF(OR($Q245=Parametres!$G$2,$Q245=Parametres!$G$3),K245,E245)</f>
        <v>57198.96</v>
      </c>
      <c r="Q245" s="610" t="str">
        <f t="shared" si="34"/>
        <v>6-Coût des ventes</v>
      </c>
      <c r="R245" s="609" t="str">
        <f t="shared" si="35"/>
        <v>4591</v>
      </c>
      <c r="S245" s="610" t="str">
        <f t="shared" si="36"/>
        <v>_</v>
      </c>
      <c r="T245" s="612" t="str">
        <f>+VLOOKUP($L245,Data_Validation!$A:$D,1,0)</f>
        <v>5591</v>
      </c>
      <c r="U245" s="612" t="str">
        <f>+VLOOKUP($L245,Data_Validation!$A:$D,3,0)</f>
        <v>Carrosserie</v>
      </c>
      <c r="V245" s="612" t="str">
        <f>+VLOOKUP($L245,Data_Validation!$A:$D,4,0)</f>
        <v>M/O Sous-traitement</v>
      </c>
      <c r="W245" s="612" t="str">
        <f>+VLOOKUP($L245,Data_Validation!$A:$E,5,0)</f>
        <v>$</v>
      </c>
      <c r="X245" s="612">
        <f>+VLOOKUP($L245,Data_Validation!$A:$F,6,0)</f>
        <v>0</v>
      </c>
    </row>
    <row r="246" spans="1:24" ht="15" customHeight="1">
      <c r="A246" s="1188" t="s">
        <v>1080</v>
      </c>
      <c r="B246" s="1188" t="s">
        <v>2132</v>
      </c>
      <c r="C246" s="1190">
        <v>462501.13</v>
      </c>
      <c r="D246" s="1190">
        <v>70179.59</v>
      </c>
      <c r="E246" s="1190">
        <v>532680.72</v>
      </c>
      <c r="F246" s="1188" t="s">
        <v>1055</v>
      </c>
      <c r="G246" s="1188" t="s">
        <v>1000</v>
      </c>
      <c r="H246" s="1188" t="s">
        <v>3845</v>
      </c>
      <c r="I246" s="622"/>
      <c r="J246" s="622"/>
      <c r="K246" s="622"/>
      <c r="L246" s="609" t="str">
        <f t="shared" si="32"/>
        <v>5593</v>
      </c>
      <c r="M246" s="610" t="str">
        <f t="shared" si="33"/>
        <v>C/V - S-TRAIT.GARANTIE CARROS.</v>
      </c>
      <c r="N246" s="611">
        <f>+IF(OR($Q246=Parametres!$G$2,$Q246=Parametres!$G$3),I246,C246)</f>
        <v>462501.13</v>
      </c>
      <c r="O246" s="611">
        <f>+IF(OR($Q246=Parametres!$G$2,$Q246=Parametres!$G$3),J246,D246)</f>
        <v>70179.59</v>
      </c>
      <c r="P246" s="611">
        <f>+IF(OR($Q246=Parametres!$G$2,$Q246=Parametres!$G$3),K246,E246)</f>
        <v>532680.72</v>
      </c>
      <c r="Q246" s="610" t="str">
        <f t="shared" si="34"/>
        <v>6-Coût des ventes</v>
      </c>
      <c r="R246" s="609" t="str">
        <f t="shared" si="35"/>
        <v>4593</v>
      </c>
      <c r="S246" s="610" t="str">
        <f t="shared" si="36"/>
        <v>_</v>
      </c>
      <c r="T246" s="612" t="str">
        <f>+VLOOKUP($L246,Data_Validation!$A:$D,1,0)</f>
        <v>5593</v>
      </c>
      <c r="U246" s="612" t="str">
        <f>+VLOOKUP($L246,Data_Validation!$A:$D,3,0)</f>
        <v>Carrosserie</v>
      </c>
      <c r="V246" s="612" t="str">
        <f>+VLOOKUP($L246,Data_Validation!$A:$D,4,0)</f>
        <v>M/O Sous-traitement</v>
      </c>
      <c r="W246" s="612" t="str">
        <f>+VLOOKUP($L246,Data_Validation!$A:$E,5,0)</f>
        <v>$</v>
      </c>
      <c r="X246" s="612">
        <f>+VLOOKUP($L246,Data_Validation!$A:$F,6,0)</f>
        <v>0</v>
      </c>
    </row>
    <row r="247" spans="1:24" ht="15.75" customHeight="1">
      <c r="A247" s="1188" t="s">
        <v>1081</v>
      </c>
      <c r="B247" s="1188" t="s">
        <v>2135</v>
      </c>
      <c r="C247" s="1190">
        <v>6152.8</v>
      </c>
      <c r="D247" s="1190">
        <v>5220.72</v>
      </c>
      <c r="E247" s="1190">
        <v>11373.52</v>
      </c>
      <c r="F247" s="1188" t="s">
        <v>1055</v>
      </c>
      <c r="G247" s="1188" t="s">
        <v>1004</v>
      </c>
      <c r="H247" s="1188" t="s">
        <v>3845</v>
      </c>
      <c r="I247" s="623"/>
      <c r="J247" s="623"/>
      <c r="K247" s="623"/>
      <c r="L247" s="609" t="str">
        <f t="shared" si="32"/>
        <v>5595</v>
      </c>
      <c r="M247" s="610" t="str">
        <f t="shared" si="33"/>
        <v>C/V - S-TRAIT.INTERNE CARROS.</v>
      </c>
      <c r="N247" s="611">
        <f>+IF(OR($Q247=Parametres!$G$2,$Q247=Parametres!$G$3),I247,C247)</f>
        <v>6152.8</v>
      </c>
      <c r="O247" s="611">
        <f>+IF(OR($Q247=Parametres!$G$2,$Q247=Parametres!$G$3),J247,D247)</f>
        <v>5220.72</v>
      </c>
      <c r="P247" s="611">
        <f>+IF(OR($Q247=Parametres!$G$2,$Q247=Parametres!$G$3),K247,E247)</f>
        <v>11373.52</v>
      </c>
      <c r="Q247" s="610" t="str">
        <f t="shared" si="34"/>
        <v>6-Coût des ventes</v>
      </c>
      <c r="R247" s="609" t="str">
        <f t="shared" si="35"/>
        <v>4595</v>
      </c>
      <c r="S247" s="610" t="str">
        <f t="shared" si="36"/>
        <v>_</v>
      </c>
      <c r="T247" s="612" t="str">
        <f>+VLOOKUP($L247,Data_Validation!$A:$D,1,0)</f>
        <v>5595</v>
      </c>
      <c r="U247" s="612" t="str">
        <f>+VLOOKUP($L247,Data_Validation!$A:$D,3,0)</f>
        <v>Carrosserie</v>
      </c>
      <c r="V247" s="612" t="str">
        <f>+VLOOKUP($L247,Data_Validation!$A:$D,4,0)</f>
        <v>M/O Sous-traitement</v>
      </c>
      <c r="W247" s="612" t="str">
        <f>+VLOOKUP($L247,Data_Validation!$A:$E,5,0)</f>
        <v>$</v>
      </c>
      <c r="X247" s="612">
        <f>+VLOOKUP($L247,Data_Validation!$A:$F,6,0)</f>
        <v>0</v>
      </c>
    </row>
    <row r="248" spans="1:24" ht="15" customHeight="1">
      <c r="A248" s="1188" t="s">
        <v>3618</v>
      </c>
      <c r="B248" s="1188" t="s">
        <v>2138</v>
      </c>
      <c r="C248" s="1190">
        <v>300694.40999999997</v>
      </c>
      <c r="D248" s="1190">
        <v>67835.289999999994</v>
      </c>
      <c r="E248" s="1190">
        <v>368529.7</v>
      </c>
      <c r="F248" s="1188" t="s">
        <v>1055</v>
      </c>
      <c r="G248" s="1188" t="s">
        <v>1008</v>
      </c>
      <c r="H248" s="1188" t="s">
        <v>3845</v>
      </c>
      <c r="I248" s="622"/>
      <c r="J248" s="622"/>
      <c r="K248" s="622"/>
      <c r="L248" s="609" t="str">
        <f t="shared" si="32"/>
        <v>5701</v>
      </c>
      <c r="M248" s="610" t="str">
        <f t="shared" si="33"/>
        <v>VW P&amp;A - BR - CLIENT - MCI</v>
      </c>
      <c r="N248" s="611">
        <f>+IF(OR($Q248=Parametres!$G$2,$Q248=Parametres!$G$3),I248,C248)</f>
        <v>300694.40999999997</v>
      </c>
      <c r="O248" s="611">
        <f>+IF(OR($Q248=Parametres!$G$2,$Q248=Parametres!$G$3),J248,D248)</f>
        <v>67835.289999999994</v>
      </c>
      <c r="P248" s="611">
        <f>+IF(OR($Q248=Parametres!$G$2,$Q248=Parametres!$G$3),K248,E248)</f>
        <v>368529.7</v>
      </c>
      <c r="Q248" s="610" t="str">
        <f t="shared" si="34"/>
        <v>6-Coût des ventes</v>
      </c>
      <c r="R248" s="609" t="str">
        <f t="shared" si="35"/>
        <v>4701</v>
      </c>
      <c r="S248" s="610" t="str">
        <f t="shared" si="36"/>
        <v>_</v>
      </c>
      <c r="T248" s="612" t="str">
        <f>+VLOOKUP($L248,Data_Validation!$A:$D,1,0)</f>
        <v>5701</v>
      </c>
      <c r="U248" s="612" t="str">
        <f>+VLOOKUP($L248,Data_Validation!$A:$D,3,0)</f>
        <v>Pièces</v>
      </c>
      <c r="V248" s="612" t="str">
        <f>+VLOOKUP($L248,Data_Validation!$A:$D,4,0)</f>
        <v>Pièces Ro Clients</v>
      </c>
      <c r="W248" s="612" t="str">
        <f>+VLOOKUP($L248,Data_Validation!$A:$E,5,0)</f>
        <v>$</v>
      </c>
      <c r="X248" s="612">
        <f>+VLOOKUP($L248,Data_Validation!$A:$F,6,0)</f>
        <v>0</v>
      </c>
    </row>
    <row r="249" spans="1:24" ht="15" customHeight="1">
      <c r="A249" s="1188" t="s">
        <v>1083</v>
      </c>
      <c r="B249" s="1188" t="s">
        <v>2141</v>
      </c>
      <c r="C249" s="1190">
        <v>3470.93</v>
      </c>
      <c r="D249" s="1190">
        <v>441.45</v>
      </c>
      <c r="E249" s="1190">
        <v>3912.38</v>
      </c>
      <c r="F249" s="1188" t="s">
        <v>1055</v>
      </c>
      <c r="G249" s="1188" t="s">
        <v>1012</v>
      </c>
      <c r="H249" s="1188" t="s">
        <v>3845</v>
      </c>
      <c r="I249" s="623"/>
      <c r="J249" s="623"/>
      <c r="K249" s="623"/>
      <c r="L249" s="609" t="str">
        <f t="shared" si="32"/>
        <v>5702</v>
      </c>
      <c r="M249" s="610" t="str">
        <f t="shared" si="33"/>
        <v>C/V - SHOP SUPPLY VW</v>
      </c>
      <c r="N249" s="611">
        <f>+IF(OR($Q249=Parametres!$G$2,$Q249=Parametres!$G$3),I249,C249)</f>
        <v>3470.93</v>
      </c>
      <c r="O249" s="611">
        <f>+IF(OR($Q249=Parametres!$G$2,$Q249=Parametres!$G$3),J249,D249)</f>
        <v>441.45</v>
      </c>
      <c r="P249" s="611">
        <f>+IF(OR($Q249=Parametres!$G$2,$Q249=Parametres!$G$3),K249,E249)</f>
        <v>3912.38</v>
      </c>
      <c r="Q249" s="610" t="str">
        <f t="shared" si="34"/>
        <v>6-Coût des ventes</v>
      </c>
      <c r="R249" s="609" t="str">
        <f t="shared" si="35"/>
        <v>4702</v>
      </c>
      <c r="S249" s="610" t="str">
        <f t="shared" si="36"/>
        <v>_</v>
      </c>
      <c r="T249" s="612" t="str">
        <f>+VLOOKUP($L249,Data_Validation!$A:$D,1,0)</f>
        <v>5702</v>
      </c>
      <c r="U249" s="612" t="str">
        <f>+VLOOKUP($L249,Data_Validation!$A:$D,3,0)</f>
        <v>Service</v>
      </c>
      <c r="V249" s="612" t="str">
        <f>+VLOOKUP($L249,Data_Validation!$A:$D,4,0)</f>
        <v>M/O Client</v>
      </c>
      <c r="W249" s="612" t="str">
        <f>+VLOOKUP($L249,Data_Validation!$A:$E,5,0)</f>
        <v>$</v>
      </c>
      <c r="X249" s="612">
        <f>+VLOOKUP($L249,Data_Validation!$A:$F,6,0)</f>
        <v>0</v>
      </c>
    </row>
    <row r="250" spans="1:24" ht="15" customHeight="1">
      <c r="A250" s="1188" t="s">
        <v>3619</v>
      </c>
      <c r="B250" s="1188" t="s">
        <v>2144</v>
      </c>
      <c r="C250" s="1190">
        <v>344530.05</v>
      </c>
      <c r="D250" s="1190">
        <v>48290.9</v>
      </c>
      <c r="E250" s="1190">
        <v>392820.95</v>
      </c>
      <c r="F250" s="1188" t="s">
        <v>1055</v>
      </c>
      <c r="G250" s="1188" t="s">
        <v>1014</v>
      </c>
      <c r="H250" s="1188" t="s">
        <v>3845</v>
      </c>
      <c r="I250" s="622"/>
      <c r="J250" s="622"/>
      <c r="K250" s="622"/>
      <c r="L250" s="609" t="str">
        <f t="shared" si="32"/>
        <v>5703</v>
      </c>
      <c r="M250" s="610" t="str">
        <f t="shared" si="33"/>
        <v>VW P&amp;A - BR - GARANTIE - MCI</v>
      </c>
      <c r="N250" s="611">
        <f>+IF(OR($Q250=Parametres!$G$2,$Q250=Parametres!$G$3),I250,C250)</f>
        <v>344530.05</v>
      </c>
      <c r="O250" s="611">
        <f>+IF(OR($Q250=Parametres!$G$2,$Q250=Parametres!$G$3),J250,D250)</f>
        <v>48290.9</v>
      </c>
      <c r="P250" s="611">
        <f>+IF(OR($Q250=Parametres!$G$2,$Q250=Parametres!$G$3),K250,E250)</f>
        <v>392820.95</v>
      </c>
      <c r="Q250" s="610" t="str">
        <f t="shared" si="34"/>
        <v>6-Coût des ventes</v>
      </c>
      <c r="R250" s="609" t="str">
        <f t="shared" si="35"/>
        <v>4703</v>
      </c>
      <c r="S250" s="610" t="str">
        <f t="shared" si="36"/>
        <v>_</v>
      </c>
      <c r="T250" s="612" t="str">
        <f>+VLOOKUP($L250,Data_Validation!$A:$D,1,0)</f>
        <v>5703</v>
      </c>
      <c r="U250" s="612" t="str">
        <f>+VLOOKUP($L250,Data_Validation!$A:$D,3,0)</f>
        <v>Pièces</v>
      </c>
      <c r="V250" s="612" t="str">
        <f>+VLOOKUP($L250,Data_Validation!$A:$D,4,0)</f>
        <v>P/A Garantie</v>
      </c>
      <c r="W250" s="612" t="str">
        <f>+VLOOKUP($L250,Data_Validation!$A:$E,5,0)</f>
        <v>$</v>
      </c>
      <c r="X250" s="612">
        <f>+VLOOKUP($L250,Data_Validation!$A:$F,6,0)</f>
        <v>0</v>
      </c>
    </row>
    <row r="251" spans="1:24" ht="15" customHeight="1">
      <c r="A251" s="1188" t="s">
        <v>3620</v>
      </c>
      <c r="B251" s="1188" t="s">
        <v>2147</v>
      </c>
      <c r="C251" s="1190">
        <v>233760.44</v>
      </c>
      <c r="D251" s="1190">
        <v>33476.050000000003</v>
      </c>
      <c r="E251" s="1190">
        <v>267236.49</v>
      </c>
      <c r="F251" s="1188" t="s">
        <v>1055</v>
      </c>
      <c r="G251" s="1188" t="s">
        <v>1018</v>
      </c>
      <c r="H251" s="1188" t="s">
        <v>3845</v>
      </c>
      <c r="I251" s="608"/>
      <c r="J251" s="608"/>
      <c r="K251" s="608"/>
      <c r="L251" s="609" t="str">
        <f t="shared" si="32"/>
        <v>5705</v>
      </c>
      <c r="M251" s="610" t="str">
        <f t="shared" si="33"/>
        <v>VW P&amp;A - BR - INTERNE - MCI</v>
      </c>
      <c r="N251" s="611">
        <f>+IF(OR($Q251=Parametres!$G$2,$Q251=Parametres!$G$3),I251,C251)</f>
        <v>233760.44</v>
      </c>
      <c r="O251" s="611">
        <f>+IF(OR($Q251=Parametres!$G$2,$Q251=Parametres!$G$3),J251,D251)</f>
        <v>33476.050000000003</v>
      </c>
      <c r="P251" s="611">
        <f>+IF(OR($Q251=Parametres!$G$2,$Q251=Parametres!$G$3),K251,E251)</f>
        <v>267236.49</v>
      </c>
      <c r="Q251" s="610" t="str">
        <f t="shared" si="34"/>
        <v>6-Coût des ventes</v>
      </c>
      <c r="R251" s="609" t="str">
        <f t="shared" si="35"/>
        <v>4705</v>
      </c>
      <c r="S251" s="610" t="str">
        <f t="shared" si="36"/>
        <v>_</v>
      </c>
      <c r="T251" s="612" t="str">
        <f>+VLOOKUP($L251,Data_Validation!$A:$D,1,0)</f>
        <v>5705</v>
      </c>
      <c r="U251" s="612" t="str">
        <f>+VLOOKUP($L251,Data_Validation!$A:$D,3,0)</f>
        <v>Pièces</v>
      </c>
      <c r="V251" s="612" t="str">
        <f>+VLOOKUP($L251,Data_Validation!$A:$D,4,0)</f>
        <v>Ventes Internes</v>
      </c>
      <c r="W251" s="612" t="str">
        <f>+VLOOKUP($L251,Data_Validation!$A:$E,5,0)</f>
        <v>$</v>
      </c>
      <c r="X251" s="612">
        <f>+VLOOKUP($L251,Data_Validation!$A:$F,6,0)</f>
        <v>0</v>
      </c>
    </row>
    <row r="252" spans="1:24" ht="15.75" customHeight="1">
      <c r="A252" s="1188" t="s">
        <v>3621</v>
      </c>
      <c r="B252" s="1188" t="s">
        <v>2150</v>
      </c>
      <c r="C252" s="1190">
        <v>669.65</v>
      </c>
      <c r="D252" s="1190">
        <v>111.32</v>
      </c>
      <c r="E252" s="1190">
        <v>780.97</v>
      </c>
      <c r="F252" s="1188" t="s">
        <v>1055</v>
      </c>
      <c r="G252" s="1188" t="s">
        <v>1021</v>
      </c>
      <c r="H252" s="1188" t="s">
        <v>3845</v>
      </c>
      <c r="I252" s="626"/>
      <c r="J252" s="607"/>
      <c r="K252" s="626"/>
      <c r="L252" s="609" t="str">
        <f t="shared" si="32"/>
        <v>5706</v>
      </c>
      <c r="M252" s="610" t="str">
        <f t="shared" si="33"/>
        <v>VW P&amp;A - BR - CLIENT - VEB</v>
      </c>
      <c r="N252" s="611">
        <f>+IF(OR($Q252=Parametres!$G$2,$Q252=Parametres!$G$3),I252,C252)</f>
        <v>669.65</v>
      </c>
      <c r="O252" s="611">
        <f>+IF(OR($Q252=Parametres!$G$2,$Q252=Parametres!$G$3),J252,D252)</f>
        <v>111.32</v>
      </c>
      <c r="P252" s="611">
        <f>+IF(OR($Q252=Parametres!$G$2,$Q252=Parametres!$G$3),K252,E252)</f>
        <v>780.97</v>
      </c>
      <c r="Q252" s="610" t="str">
        <f t="shared" si="34"/>
        <v>6-Coût des ventes</v>
      </c>
      <c r="R252" s="609" t="str">
        <f t="shared" si="35"/>
        <v>4706</v>
      </c>
      <c r="S252" s="610" t="str">
        <f t="shared" si="36"/>
        <v>_</v>
      </c>
      <c r="T252" s="612" t="str">
        <f>+VLOOKUP($L252,Data_Validation!$A:$D,1,0)</f>
        <v>5706</v>
      </c>
      <c r="U252" s="612" t="str">
        <f>+VLOOKUP($L252,Data_Validation!$A:$D,3,0)</f>
        <v>Service</v>
      </c>
      <c r="V252" s="612" t="str">
        <f>+VLOOKUP($L252,Data_Validation!$A:$D,4,0)</f>
        <v>M/O Interne</v>
      </c>
      <c r="W252" s="612" t="str">
        <f>+VLOOKUP($L252,Data_Validation!$A:$E,5,0)</f>
        <v>$</v>
      </c>
      <c r="X252" s="612">
        <f>+VLOOKUP($L252,Data_Validation!$A:$F,6,0)</f>
        <v>0</v>
      </c>
    </row>
    <row r="253" spans="1:24" ht="15" customHeight="1">
      <c r="A253" s="1188" t="s">
        <v>1086</v>
      </c>
      <c r="B253" s="1188" t="s">
        <v>2153</v>
      </c>
      <c r="C253" s="1190">
        <v>13035.02</v>
      </c>
      <c r="D253" s="1190">
        <v>2082.75</v>
      </c>
      <c r="E253" s="1190">
        <v>15117.77</v>
      </c>
      <c r="F253" s="1188" t="s">
        <v>1055</v>
      </c>
      <c r="G253" s="1188" t="s">
        <v>1087</v>
      </c>
      <c r="H253" s="1188" t="s">
        <v>3845</v>
      </c>
      <c r="I253" s="608"/>
      <c r="J253" s="608"/>
      <c r="K253" s="608"/>
      <c r="L253" s="609" t="str">
        <f t="shared" si="32"/>
        <v>5711</v>
      </c>
      <c r="M253" s="610" t="str">
        <f t="shared" si="33"/>
        <v>C/V - AUTRE PIECE/ACC/CARR B.R. CLIENT</v>
      </c>
      <c r="N253" s="611">
        <f>+IF(OR($Q253=Parametres!$G$2,$Q253=Parametres!$G$3),I253,C253)</f>
        <v>13035.02</v>
      </c>
      <c r="O253" s="611">
        <f>+IF(OR($Q253=Parametres!$G$2,$Q253=Parametres!$G$3),J253,D253)</f>
        <v>2082.75</v>
      </c>
      <c r="P253" s="611">
        <f>+IF(OR($Q253=Parametres!$G$2,$Q253=Parametres!$G$3),K253,E253)</f>
        <v>15117.77</v>
      </c>
      <c r="Q253" s="610" t="str">
        <f t="shared" si="34"/>
        <v>6-Coût des ventes</v>
      </c>
      <c r="R253" s="609" t="str">
        <f t="shared" si="35"/>
        <v>4711</v>
      </c>
      <c r="S253" s="610" t="str">
        <f t="shared" si="36"/>
        <v>_</v>
      </c>
      <c r="T253" s="612" t="str">
        <f>+VLOOKUP($L253,Data_Validation!$A:$D,1,0)</f>
        <v>5711</v>
      </c>
      <c r="U253" s="612" t="str">
        <f>+VLOOKUP($L253,Data_Validation!$A:$D,3,0)</f>
        <v>Pièces</v>
      </c>
      <c r="V253" s="612" t="str">
        <f>+VLOOKUP($L253,Data_Validation!$A:$D,4,0)</f>
        <v>Pièces Ro Clients</v>
      </c>
      <c r="W253" s="612" t="str">
        <f>+VLOOKUP($L253,Data_Validation!$A:$E,5,0)</f>
        <v>$</v>
      </c>
      <c r="X253" s="612">
        <f>+VLOOKUP($L253,Data_Validation!$A:$F,6,0)</f>
        <v>0</v>
      </c>
    </row>
    <row r="254" spans="1:24" ht="15" customHeight="1">
      <c r="A254" s="1188" t="s">
        <v>3622</v>
      </c>
      <c r="B254" s="1188" t="s">
        <v>2159</v>
      </c>
      <c r="C254" s="1190">
        <v>2492.98</v>
      </c>
      <c r="D254" s="1190">
        <v>2453.98</v>
      </c>
      <c r="E254" s="1190">
        <v>4946.96</v>
      </c>
      <c r="F254" s="1188" t="s">
        <v>1055</v>
      </c>
      <c r="G254" s="1188" t="s">
        <v>1031</v>
      </c>
      <c r="H254" s="1188" t="s">
        <v>3845</v>
      </c>
      <c r="I254" s="626"/>
      <c r="J254" s="607"/>
      <c r="K254" s="626"/>
      <c r="L254" s="609" t="str">
        <f t="shared" si="32"/>
        <v>5731</v>
      </c>
      <c r="M254" s="610" t="str">
        <f t="shared" si="33"/>
        <v>VW-P&amp;A-P&amp;BRO-CLIENT - MCI</v>
      </c>
      <c r="N254" s="611">
        <f>+IF(OR($Q254=Parametres!$G$2,$Q254=Parametres!$G$3),I254,C254)</f>
        <v>2492.98</v>
      </c>
      <c r="O254" s="611">
        <f>+IF(OR($Q254=Parametres!$G$2,$Q254=Parametres!$G$3),J254,D254)</f>
        <v>2453.98</v>
      </c>
      <c r="P254" s="611">
        <f>+IF(OR($Q254=Parametres!$G$2,$Q254=Parametres!$G$3),K254,E254)</f>
        <v>4946.96</v>
      </c>
      <c r="Q254" s="610" t="str">
        <f t="shared" si="34"/>
        <v>6-Coût des ventes</v>
      </c>
      <c r="R254" s="609" t="str">
        <f t="shared" si="35"/>
        <v>4731</v>
      </c>
      <c r="S254" s="610" t="str">
        <f t="shared" si="36"/>
        <v>_</v>
      </c>
      <c r="T254" s="612" t="str">
        <f>+VLOOKUP($L254,Data_Validation!$A:$D,1,0)</f>
        <v>5731</v>
      </c>
      <c r="U254" s="612" t="str">
        <f>+VLOOKUP($L254,Data_Validation!$A:$D,3,0)</f>
        <v>Pièces</v>
      </c>
      <c r="V254" s="612" t="str">
        <f>+VLOOKUP($L254,Data_Validation!$A:$D,4,0)</f>
        <v>Pièces Ro Carrosserie</v>
      </c>
      <c r="W254" s="612" t="str">
        <f>+VLOOKUP($L254,Data_Validation!$A:$E,5,0)</f>
        <v>$</v>
      </c>
      <c r="X254" s="612">
        <f>+VLOOKUP($L254,Data_Validation!$A:$F,6,0)</f>
        <v>0</v>
      </c>
    </row>
    <row r="255" spans="1:24" ht="15" customHeight="1">
      <c r="A255" s="1188" t="s">
        <v>3623</v>
      </c>
      <c r="B255" s="1188" t="s">
        <v>2162</v>
      </c>
      <c r="C255" s="1190">
        <v>267213.78000000003</v>
      </c>
      <c r="D255" s="1190">
        <v>39787.730000000003</v>
      </c>
      <c r="E255" s="1190">
        <v>307001.51</v>
      </c>
      <c r="F255" s="1188" t="s">
        <v>1055</v>
      </c>
      <c r="G255" s="1188" t="s">
        <v>1035</v>
      </c>
      <c r="H255" s="1188" t="s">
        <v>3845</v>
      </c>
      <c r="I255" s="608"/>
      <c r="J255" s="608"/>
      <c r="K255" s="608"/>
      <c r="L255" s="609" t="str">
        <f t="shared" si="32"/>
        <v>5733</v>
      </c>
      <c r="M255" s="610" t="str">
        <f t="shared" si="33"/>
        <v>VW-P&amp;A-P&amp;BRO-GARANTIE - MCI</v>
      </c>
      <c r="N255" s="611">
        <f>+IF(OR($Q255=Parametres!$G$2,$Q255=Parametres!$G$3),I255,C255)</f>
        <v>267213.78000000003</v>
      </c>
      <c r="O255" s="611">
        <f>+IF(OR($Q255=Parametres!$G$2,$Q255=Parametres!$G$3),J255,D255)</f>
        <v>39787.730000000003</v>
      </c>
      <c r="P255" s="611">
        <f>+IF(OR($Q255=Parametres!$G$2,$Q255=Parametres!$G$3),K255,E255)</f>
        <v>307001.51</v>
      </c>
      <c r="Q255" s="610" t="str">
        <f t="shared" si="34"/>
        <v>6-Coût des ventes</v>
      </c>
      <c r="R255" s="609" t="str">
        <f t="shared" si="35"/>
        <v>4733</v>
      </c>
      <c r="S255" s="610" t="str">
        <f t="shared" si="36"/>
        <v>_</v>
      </c>
      <c r="T255" s="612" t="str">
        <f>+VLOOKUP($L255,Data_Validation!$A:$D,1,0)</f>
        <v>5733</v>
      </c>
      <c r="U255" s="612" t="str">
        <f>+VLOOKUP($L255,Data_Validation!$A:$D,3,0)</f>
        <v>Pièces</v>
      </c>
      <c r="V255" s="612" t="str">
        <f>+VLOOKUP($L255,Data_Validation!$A:$D,4,0)</f>
        <v>Pièces Ro Carrosserie</v>
      </c>
      <c r="W255" s="612" t="str">
        <f>+VLOOKUP($L255,Data_Validation!$A:$E,5,0)</f>
        <v>$</v>
      </c>
      <c r="X255" s="612">
        <f>+VLOOKUP($L255,Data_Validation!$A:$F,6,0)</f>
        <v>0</v>
      </c>
    </row>
    <row r="256" spans="1:24" ht="15.75" customHeight="1">
      <c r="A256" s="1188" t="s">
        <v>3624</v>
      </c>
      <c r="B256" s="1188" t="s">
        <v>2165</v>
      </c>
      <c r="C256" s="1190">
        <v>1737.34</v>
      </c>
      <c r="D256" s="1190">
        <v>-720.01</v>
      </c>
      <c r="E256" s="1190">
        <v>1017.33</v>
      </c>
      <c r="F256" s="1188" t="s">
        <v>1055</v>
      </c>
      <c r="G256" s="1188" t="s">
        <v>1039</v>
      </c>
      <c r="H256" s="1188" t="s">
        <v>3845</v>
      </c>
      <c r="I256" s="626"/>
      <c r="J256" s="607"/>
      <c r="K256" s="626"/>
      <c r="L256" s="609" t="str">
        <f t="shared" si="32"/>
        <v>5735</v>
      </c>
      <c r="M256" s="610" t="str">
        <f t="shared" si="33"/>
        <v>VW-P&amp;A-P&amp;BRO-INTERNE - MCI</v>
      </c>
      <c r="N256" s="611">
        <f>+IF(OR($Q256=Parametres!$G$2,$Q256=Parametres!$G$3),I256,C256)</f>
        <v>1737.34</v>
      </c>
      <c r="O256" s="611">
        <f>+IF(OR($Q256=Parametres!$G$2,$Q256=Parametres!$G$3),J256,D256)</f>
        <v>-720.01</v>
      </c>
      <c r="P256" s="611">
        <f>+IF(OR($Q256=Parametres!$G$2,$Q256=Parametres!$G$3),K256,E256)</f>
        <v>1017.33</v>
      </c>
      <c r="Q256" s="610" t="str">
        <f t="shared" si="34"/>
        <v>6-Coût des ventes</v>
      </c>
      <c r="R256" s="609" t="str">
        <f t="shared" si="35"/>
        <v>4735</v>
      </c>
      <c r="S256" s="610" t="str">
        <f t="shared" si="36"/>
        <v>_</v>
      </c>
      <c r="T256" s="612" t="str">
        <f>+VLOOKUP($L256,Data_Validation!$A:$D,1,0)</f>
        <v>5735</v>
      </c>
      <c r="U256" s="612" t="str">
        <f>+VLOOKUP($L256,Data_Validation!$A:$D,3,0)</f>
        <v>Pièces</v>
      </c>
      <c r="V256" s="612" t="str">
        <f>+VLOOKUP($L256,Data_Validation!$A:$D,4,0)</f>
        <v>Pièces Ro Carrosserie</v>
      </c>
      <c r="W256" s="612" t="str">
        <f>+VLOOKUP($L256,Data_Validation!$A:$E,5,0)</f>
        <v>$</v>
      </c>
      <c r="X256" s="612">
        <f>+VLOOKUP($L256,Data_Validation!$A:$F,6,0)</f>
        <v>0</v>
      </c>
    </row>
    <row r="257" spans="1:24" ht="15" customHeight="1">
      <c r="A257" s="1188" t="s">
        <v>1092</v>
      </c>
      <c r="B257" s="1188" t="s">
        <v>2168</v>
      </c>
      <c r="C257" s="1190">
        <v>56586.41</v>
      </c>
      <c r="D257" s="1190">
        <v>7606.41</v>
      </c>
      <c r="E257" s="1190">
        <v>64192.82</v>
      </c>
      <c r="F257" s="1188" t="s">
        <v>1055</v>
      </c>
      <c r="G257" s="1188" t="s">
        <v>1043</v>
      </c>
      <c r="H257" s="1188" t="s">
        <v>3845</v>
      </c>
      <c r="I257" s="626"/>
      <c r="J257" s="607"/>
      <c r="K257" s="626"/>
      <c r="L257" s="609" t="str">
        <f t="shared" si="32"/>
        <v>5761</v>
      </c>
      <c r="M257" s="610" t="str">
        <f t="shared" si="33"/>
        <v>C/V - P&amp;A VW COMPTOIR - DETAIL</v>
      </c>
      <c r="N257" s="611">
        <f>+IF(OR($Q257=Parametres!$G$2,$Q257=Parametres!$G$3),I257,C257)</f>
        <v>56586.41</v>
      </c>
      <c r="O257" s="611">
        <f>+IF(OR($Q257=Parametres!$G$2,$Q257=Parametres!$G$3),J257,D257)</f>
        <v>7606.41</v>
      </c>
      <c r="P257" s="611">
        <f>+IF(OR($Q257=Parametres!$G$2,$Q257=Parametres!$G$3),K257,E257)</f>
        <v>64192.82</v>
      </c>
      <c r="Q257" s="610" t="str">
        <f t="shared" si="34"/>
        <v>6-Coût des ventes</v>
      </c>
      <c r="R257" s="609" t="str">
        <f t="shared" si="35"/>
        <v>4761</v>
      </c>
      <c r="S257" s="610" t="str">
        <f t="shared" si="36"/>
        <v>_</v>
      </c>
      <c r="T257" s="612" t="str">
        <f>+VLOOKUP($L257,Data_Validation!$A:$D,1,0)</f>
        <v>5761</v>
      </c>
      <c r="U257" s="612" t="str">
        <f>+VLOOKUP($L257,Data_Validation!$A:$D,3,0)</f>
        <v>Pièces</v>
      </c>
      <c r="V257" s="612" t="str">
        <f>+VLOOKUP($L257,Data_Validation!$A:$D,4,0)</f>
        <v>Ventes Détails</v>
      </c>
      <c r="W257" s="612" t="str">
        <f>+VLOOKUP($L257,Data_Validation!$A:$E,5,0)</f>
        <v>$</v>
      </c>
      <c r="X257" s="612">
        <f>+VLOOKUP($L257,Data_Validation!$A:$F,6,0)</f>
        <v>0</v>
      </c>
    </row>
    <row r="258" spans="1:24" ht="15" customHeight="1">
      <c r="A258" s="1188" t="s">
        <v>1093</v>
      </c>
      <c r="B258" s="1188" t="s">
        <v>2171</v>
      </c>
      <c r="C258" s="1190">
        <v>1039907.09</v>
      </c>
      <c r="D258" s="1190">
        <v>219291.45</v>
      </c>
      <c r="E258" s="1190">
        <v>1259198.54</v>
      </c>
      <c r="F258" s="1188" t="s">
        <v>1055</v>
      </c>
      <c r="G258" s="1188" t="s">
        <v>1047</v>
      </c>
      <c r="H258" s="1188" t="s">
        <v>3845</v>
      </c>
      <c r="I258" s="626"/>
      <c r="J258" s="607"/>
      <c r="K258" s="626"/>
      <c r="L258" s="609" t="str">
        <f t="shared" si="32"/>
        <v>5763</v>
      </c>
      <c r="M258" s="610" t="str">
        <f t="shared" si="33"/>
        <v>C/V - P&amp;A VW COMPTOIR GROS - ECHANGE</v>
      </c>
      <c r="N258" s="611">
        <f>+IF(OR($Q258=Parametres!$G$2,$Q258=Parametres!$G$3),I258,C258)</f>
        <v>1039907.09</v>
      </c>
      <c r="O258" s="611">
        <f>+IF(OR($Q258=Parametres!$G$2,$Q258=Parametres!$G$3),J258,D258)</f>
        <v>219291.45</v>
      </c>
      <c r="P258" s="611">
        <f>+IF(OR($Q258=Parametres!$G$2,$Q258=Parametres!$G$3),K258,E258)</f>
        <v>1259198.54</v>
      </c>
      <c r="Q258" s="610" t="str">
        <f t="shared" si="34"/>
        <v>6-Coût des ventes</v>
      </c>
      <c r="R258" s="609" t="str">
        <f t="shared" si="35"/>
        <v>4763</v>
      </c>
      <c r="S258" s="610" t="str">
        <f t="shared" si="36"/>
        <v>_</v>
      </c>
      <c r="T258" s="612" t="str">
        <f>+VLOOKUP($L258,Data_Validation!$A:$D,1,0)</f>
        <v>5763</v>
      </c>
      <c r="U258" s="612" t="str">
        <f>+VLOOKUP($L258,Data_Validation!$A:$D,3,0)</f>
        <v>Pièces</v>
      </c>
      <c r="V258" s="612" t="str">
        <f>+VLOOKUP($L258,Data_Validation!$A:$D,4,0)</f>
        <v>Ventes de Gros</v>
      </c>
      <c r="W258" s="612" t="str">
        <f>+VLOOKUP($L258,Data_Validation!$A:$E,5,0)</f>
        <v>$</v>
      </c>
      <c r="X258" s="612">
        <f>+VLOOKUP($L258,Data_Validation!$A:$F,6,0)</f>
        <v>0</v>
      </c>
    </row>
    <row r="259" spans="1:24" ht="15" customHeight="1">
      <c r="A259" s="1188" t="s">
        <v>3627</v>
      </c>
      <c r="B259" s="1188" t="s">
        <v>3628</v>
      </c>
      <c r="C259" s="1190">
        <v>29568.1</v>
      </c>
      <c r="D259" s="1190">
        <v>5546.97</v>
      </c>
      <c r="E259" s="1190">
        <v>35115.07</v>
      </c>
      <c r="F259" s="1188" t="s">
        <v>1055</v>
      </c>
      <c r="G259" s="1188" t="s">
        <v>3629</v>
      </c>
      <c r="H259" s="1188" t="s">
        <v>3845</v>
      </c>
      <c r="I259" s="626"/>
      <c r="J259" s="607"/>
      <c r="K259" s="626"/>
      <c r="L259" s="609" t="str">
        <f t="shared" si="32"/>
        <v>5773</v>
      </c>
      <c r="M259" s="610" t="str">
        <f t="shared" si="33"/>
        <v>C/V - P&amp;A - COMPTOIR - ENGROS - AUDI</v>
      </c>
      <c r="N259" s="611">
        <f>+IF(OR($Q259=Parametres!$G$2,$Q259=Parametres!$G$3),I259,C259)</f>
        <v>29568.1</v>
      </c>
      <c r="O259" s="615">
        <f>+IF(OR($Q259=Parametres!$G$2,$Q259=Parametres!$G$3),J259,D259)</f>
        <v>5546.97</v>
      </c>
      <c r="P259" s="611">
        <f>+IF(OR($Q259=Parametres!$G$2,$Q259=Parametres!$G$3),K259,E259)</f>
        <v>35115.07</v>
      </c>
      <c r="Q259" s="610" t="str">
        <f t="shared" si="34"/>
        <v>6-Coût des ventes</v>
      </c>
      <c r="R259" s="609" t="str">
        <f t="shared" si="35"/>
        <v>4773</v>
      </c>
      <c r="S259" s="610" t="str">
        <f t="shared" si="36"/>
        <v>_</v>
      </c>
      <c r="T259" s="612" t="str">
        <f>+VLOOKUP($L259,Data_Validation!$A:$D,1,0)</f>
        <v>5773</v>
      </c>
      <c r="U259" s="612" t="str">
        <f>+VLOOKUP($L259,Data_Validation!$A:$D,3,0)</f>
        <v>Pièces</v>
      </c>
      <c r="V259" s="612" t="str">
        <f>+VLOOKUP($L259,Data_Validation!$A:$D,4,0)</f>
        <v>Ventes de Gros</v>
      </c>
      <c r="W259" s="612" t="str">
        <f>+VLOOKUP($L259,Data_Validation!$A:$E,5,0)</f>
        <v>$</v>
      </c>
      <c r="X259" s="612">
        <f>+VLOOKUP($L259,Data_Validation!$A:$F,6,0)</f>
        <v>0</v>
      </c>
    </row>
    <row r="260" spans="1:24" ht="15" customHeight="1">
      <c r="A260" s="1188" t="s">
        <v>1094</v>
      </c>
      <c r="B260" s="1188" t="s">
        <v>2174</v>
      </c>
      <c r="C260" s="1190">
        <v>260730.94</v>
      </c>
      <c r="D260" s="1190">
        <v>18903.900000000001</v>
      </c>
      <c r="E260" s="1190">
        <v>279634.84000000003</v>
      </c>
      <c r="F260" s="1188" t="s">
        <v>1055</v>
      </c>
      <c r="G260" s="1188" t="s">
        <v>1051</v>
      </c>
      <c r="H260" s="1188" t="s">
        <v>3845</v>
      </c>
      <c r="I260" s="626"/>
      <c r="J260" s="607"/>
      <c r="K260" s="626"/>
      <c r="L260" s="609" t="str">
        <f t="shared" si="32"/>
        <v>5781</v>
      </c>
      <c r="M260" s="610" t="str">
        <f t="shared" si="33"/>
        <v>COUT PNEUS</v>
      </c>
      <c r="N260" s="611">
        <f>+IF(OR($Q260=Parametres!$G$2,$Q260=Parametres!$G$3),I260,C260)</f>
        <v>260730.94</v>
      </c>
      <c r="O260" s="611">
        <f>+IF(OR($Q260=Parametres!$G$2,$Q260=Parametres!$G$3),J260,D260)</f>
        <v>18903.900000000001</v>
      </c>
      <c r="P260" s="611">
        <f>+IF(OR($Q260=Parametres!$G$2,$Q260=Parametres!$G$3),K260,E260)</f>
        <v>279634.84000000003</v>
      </c>
      <c r="Q260" s="610" t="str">
        <f t="shared" si="34"/>
        <v>6-Coût des ventes</v>
      </c>
      <c r="R260" s="609" t="str">
        <f t="shared" si="35"/>
        <v>4781</v>
      </c>
      <c r="S260" s="610" t="str">
        <f t="shared" si="36"/>
        <v>_</v>
      </c>
      <c r="T260" s="612" t="str">
        <f>+VLOOKUP($L260,Data_Validation!$A:$D,1,0)</f>
        <v>5781</v>
      </c>
      <c r="U260" s="612" t="str">
        <f>+VLOOKUP($L260,Data_Validation!$A:$D,3,0)</f>
        <v>Pièces</v>
      </c>
      <c r="V260" s="612" t="str">
        <f>+VLOOKUP($L260,Data_Validation!$A:$D,4,0)</f>
        <v>Ventes Pneus</v>
      </c>
      <c r="W260" s="612" t="str">
        <f>+VLOOKUP($L260,Data_Validation!$A:$E,5,0)</f>
        <v>$</v>
      </c>
      <c r="X260" s="612">
        <f>+VLOOKUP($L260,Data_Validation!$A:$F,6,0)</f>
        <v>0</v>
      </c>
    </row>
    <row r="261" spans="1:24" ht="15" customHeight="1">
      <c r="A261" s="1188" t="s">
        <v>1095</v>
      </c>
      <c r="B261" s="1188" t="s">
        <v>2177</v>
      </c>
      <c r="C261" s="1190">
        <v>2357.16</v>
      </c>
      <c r="D261" s="1190">
        <v>0</v>
      </c>
      <c r="E261" s="1190">
        <v>2357.16</v>
      </c>
      <c r="F261" s="1188" t="s">
        <v>1055</v>
      </c>
      <c r="G261" s="1188" t="s">
        <v>1051</v>
      </c>
      <c r="H261" s="1188" t="s">
        <v>3845</v>
      </c>
      <c r="I261" s="608"/>
      <c r="J261" s="608"/>
      <c r="K261" s="608"/>
      <c r="L261" s="609" t="str">
        <f t="shared" si="32"/>
        <v>5785</v>
      </c>
      <c r="M261" s="610" t="str">
        <f t="shared" si="33"/>
        <v>C/V - VW PNEUS</v>
      </c>
      <c r="N261" s="611">
        <f>+IF(OR($Q261=Parametres!$G$2,$Q261=Parametres!$G$3),I261,C261)</f>
        <v>2357.16</v>
      </c>
      <c r="O261" s="611">
        <f>+IF(OR($Q261=Parametres!$G$2,$Q261=Parametres!$G$3),J261,D261)</f>
        <v>0</v>
      </c>
      <c r="P261" s="611">
        <f>+IF(OR($Q261=Parametres!$G$2,$Q261=Parametres!$G$3),K261,E261)</f>
        <v>2357.16</v>
      </c>
      <c r="Q261" s="610" t="str">
        <f t="shared" si="34"/>
        <v>6-Coût des ventes</v>
      </c>
      <c r="R261" s="609" t="str">
        <f t="shared" si="35"/>
        <v>4781</v>
      </c>
      <c r="S261" s="610" t="str">
        <f t="shared" si="36"/>
        <v>_</v>
      </c>
      <c r="T261" s="612" t="str">
        <f>+VLOOKUP($L261,Data_Validation!$A:$D,1,0)</f>
        <v>5785</v>
      </c>
      <c r="U261" s="612" t="str">
        <f>+VLOOKUP($L261,Data_Validation!$A:$D,3,0)</f>
        <v>Pièces</v>
      </c>
      <c r="V261" s="612" t="str">
        <f>+VLOOKUP($L261,Data_Validation!$A:$D,4,0)</f>
        <v>Ventes Pneus</v>
      </c>
      <c r="W261" s="612" t="str">
        <f>+VLOOKUP($L261,Data_Validation!$A:$E,5,0)</f>
        <v>$</v>
      </c>
      <c r="X261" s="612">
        <f>+VLOOKUP($L261,Data_Validation!$A:$F,6,0)</f>
        <v>0</v>
      </c>
    </row>
    <row r="262" spans="1:24" ht="15.75" customHeight="1">
      <c r="A262" s="1188" t="s">
        <v>1096</v>
      </c>
      <c r="B262" s="1188" t="s">
        <v>2182</v>
      </c>
      <c r="C262" s="1190">
        <v>-20857.59</v>
      </c>
      <c r="D262" s="1190">
        <v>1995.72</v>
      </c>
      <c r="E262" s="1190">
        <v>-18861.87</v>
      </c>
      <c r="F262" s="1188" t="s">
        <v>1055</v>
      </c>
      <c r="G262" s="1188" t="s">
        <v>1097</v>
      </c>
      <c r="H262" s="1188" t="s">
        <v>3845</v>
      </c>
      <c r="I262" s="628"/>
      <c r="J262" s="619"/>
      <c r="K262" s="628"/>
      <c r="L262" s="609" t="str">
        <f t="shared" si="32"/>
        <v>5796</v>
      </c>
      <c r="M262" s="610" t="str">
        <f t="shared" si="33"/>
        <v>C/V - BONI / ESCPTE PI VW</v>
      </c>
      <c r="N262" s="611">
        <f>+IF(OR($Q262=Parametres!$G$2,$Q262=Parametres!$G$3),I262,C262)</f>
        <v>-20857.59</v>
      </c>
      <c r="O262" s="611">
        <f>+IF(OR($Q262=Parametres!$G$2,$Q262=Parametres!$G$3),J262,D262)</f>
        <v>1995.72</v>
      </c>
      <c r="P262" s="611">
        <f>+IF(OR($Q262=Parametres!$G$2,$Q262=Parametres!$G$3),K262,E262)</f>
        <v>-18861.87</v>
      </c>
      <c r="Q262" s="610" t="str">
        <f t="shared" si="34"/>
        <v>6-Coût des ventes</v>
      </c>
      <c r="R262" s="609" t="str">
        <f t="shared" si="35"/>
        <v>5792</v>
      </c>
      <c r="S262" s="610" t="str">
        <f t="shared" si="36"/>
        <v>_</v>
      </c>
      <c r="T262" s="627" t="str">
        <f>+VLOOKUP($L262,Data_Validation!$A:$D,1,0)</f>
        <v>5796</v>
      </c>
      <c r="U262" s="612" t="str">
        <f>+VLOOKUP($L262,Data_Validation!$A:$D,3,0)</f>
        <v>Pièces</v>
      </c>
      <c r="V262" s="612" t="str">
        <f>+VLOOKUP($L262,Data_Validation!$A:$D,4,0)</f>
        <v>Escomptes</v>
      </c>
      <c r="W262" s="612" t="str">
        <f>+VLOOKUP($L262,Data_Validation!$A:$E,5,0)</f>
        <v>$</v>
      </c>
      <c r="X262" s="612">
        <f>+VLOOKUP($L262,Data_Validation!$A:$F,6,0)</f>
        <v>0</v>
      </c>
    </row>
    <row r="263" spans="1:24" ht="15" customHeight="1">
      <c r="A263" s="1188" t="s">
        <v>1098</v>
      </c>
      <c r="B263" s="1188" t="s">
        <v>1100</v>
      </c>
      <c r="C263" s="1190">
        <v>235149.84</v>
      </c>
      <c r="D263" s="1190">
        <v>39746.379999999997</v>
      </c>
      <c r="E263" s="1190">
        <v>274896.21999999997</v>
      </c>
      <c r="F263" s="1188" t="s">
        <v>1099</v>
      </c>
      <c r="G263" s="1188" t="s">
        <v>1100</v>
      </c>
      <c r="H263" s="1188" t="s">
        <v>3845</v>
      </c>
      <c r="I263" s="626"/>
      <c r="J263" s="607"/>
      <c r="K263" s="626"/>
      <c r="L263" s="609" t="str">
        <f t="shared" si="32"/>
        <v>6101</v>
      </c>
      <c r="M263" s="610" t="str">
        <f t="shared" si="33"/>
        <v>COMMISSION VENDEUR NEUFS</v>
      </c>
      <c r="N263" s="611">
        <f>+IF(OR($Q263=Parametres!$G$2,$Q263=Parametres!$G$3),I263,C263)</f>
        <v>235149.84</v>
      </c>
      <c r="O263" s="611">
        <f>+IF(OR($Q263=Parametres!$G$2,$Q263=Parametres!$G$3),J263,D263)</f>
        <v>39746.379999999997</v>
      </c>
      <c r="P263" s="611">
        <f>+IF(OR($Q263=Parametres!$G$2,$Q263=Parametres!$G$3),K263,E263)</f>
        <v>274896.21999999997</v>
      </c>
      <c r="Q263" s="610" t="str">
        <f t="shared" si="34"/>
        <v>7-Dépenses</v>
      </c>
      <c r="R263" s="609" t="str">
        <f t="shared" si="35"/>
        <v>6101</v>
      </c>
      <c r="S263" s="610" t="str">
        <f t="shared" si="36"/>
        <v>_</v>
      </c>
      <c r="T263" s="612" t="str">
        <f>+VLOOKUP($L263,Data_Validation!$A:$D,1,0)</f>
        <v>6101</v>
      </c>
      <c r="U263" s="612" t="str">
        <f>+VLOOKUP($L263,Data_Validation!$A:$D,3,0)</f>
        <v>Véhicules neufs</v>
      </c>
      <c r="V263" s="612" t="str">
        <f>+VLOOKUP($L263,Data_Validation!$A:$D,4,0)</f>
        <v>Comm. vendeurs</v>
      </c>
      <c r="W263" s="612" t="str">
        <f>+VLOOKUP($L263,Data_Validation!$A:$E,5,0)</f>
        <v>$</v>
      </c>
      <c r="X263" s="612">
        <f>+VLOOKUP($L263,Data_Validation!$A:$F,6,0)</f>
        <v>0</v>
      </c>
    </row>
    <row r="264" spans="1:24" ht="15" customHeight="1">
      <c r="A264" s="1188" t="s">
        <v>1101</v>
      </c>
      <c r="B264" s="1188" t="s">
        <v>1102</v>
      </c>
      <c r="C264" s="1190">
        <v>85091.55</v>
      </c>
      <c r="D264" s="1190">
        <v>16623.39</v>
      </c>
      <c r="E264" s="1190">
        <v>101714.94</v>
      </c>
      <c r="F264" s="1188" t="s">
        <v>1099</v>
      </c>
      <c r="G264" s="1188" t="s">
        <v>1102</v>
      </c>
      <c r="H264" s="1188" t="s">
        <v>3845</v>
      </c>
      <c r="I264" s="608"/>
      <c r="J264" s="608"/>
      <c r="K264" s="608"/>
      <c r="L264" s="609" t="str">
        <f t="shared" si="32"/>
        <v>6102</v>
      </c>
      <c r="M264" s="610" t="str">
        <f t="shared" si="33"/>
        <v>RENUMERATION F &amp; I</v>
      </c>
      <c r="N264" s="611">
        <f>+IF(OR($Q264=Parametres!$G$2,$Q264=Parametres!$G$3),I264,C264)</f>
        <v>85091.55</v>
      </c>
      <c r="O264" s="615">
        <f>+IF(OR($Q264=Parametres!$G$2,$Q264=Parametres!$G$3),J264,D264)</f>
        <v>16623.39</v>
      </c>
      <c r="P264" s="611">
        <f>+IF(OR($Q264=Parametres!$G$2,$Q264=Parametres!$G$3),K264,E264)</f>
        <v>101714.94</v>
      </c>
      <c r="Q264" s="610" t="str">
        <f t="shared" si="34"/>
        <v>7-Dépenses</v>
      </c>
      <c r="R264" s="609" t="str">
        <f t="shared" si="35"/>
        <v>6102</v>
      </c>
      <c r="S264" s="610" t="str">
        <f t="shared" si="36"/>
        <v>_</v>
      </c>
      <c r="T264" s="612" t="str">
        <f>+VLOOKUP($L264,Data_Validation!$A:$D,1,0)</f>
        <v>6102</v>
      </c>
      <c r="U264" s="612" t="str">
        <f>+VLOOKUP($L264,Data_Validation!$A:$D,3,0)</f>
        <v>Véhicules neufs</v>
      </c>
      <c r="V264" s="612" t="str">
        <f>+VLOOKUP($L264,Data_Validation!$A:$D,4,0)</f>
        <v>Comm. F&amp;I</v>
      </c>
      <c r="W264" s="612" t="str">
        <f>+VLOOKUP($L264,Data_Validation!$A:$E,5,0)</f>
        <v>$</v>
      </c>
      <c r="X264" s="612">
        <f>+VLOOKUP($L264,Data_Validation!$A:$F,6,0)</f>
        <v>0</v>
      </c>
    </row>
    <row r="265" spans="1:24" ht="15" customHeight="1">
      <c r="A265" s="1188" t="s">
        <v>1103</v>
      </c>
      <c r="B265" s="1188" t="s">
        <v>1104</v>
      </c>
      <c r="C265" s="1190">
        <v>652.80999999999995</v>
      </c>
      <c r="D265" s="1190">
        <v>0</v>
      </c>
      <c r="E265" s="1190">
        <v>652.80999999999995</v>
      </c>
      <c r="F265" s="1188" t="s">
        <v>1099</v>
      </c>
      <c r="G265" s="1188" t="s">
        <v>1104</v>
      </c>
      <c r="H265" s="1188" t="s">
        <v>3845</v>
      </c>
      <c r="I265" s="607"/>
      <c r="J265" s="607"/>
      <c r="K265" s="607"/>
      <c r="L265" s="609" t="str">
        <f t="shared" si="32"/>
        <v>6103</v>
      </c>
      <c r="M265" s="610" t="str">
        <f t="shared" si="33"/>
        <v>RELAT. A LA CLIENTELE &amp; AJUST.</v>
      </c>
      <c r="N265" s="611">
        <f>+IF(OR($Q265=Parametres!$G$2,$Q265=Parametres!$G$3),I265,C265)</f>
        <v>652.80999999999995</v>
      </c>
      <c r="O265" s="615">
        <f>+IF(OR($Q265=Parametres!$G$2,$Q265=Parametres!$G$3),J265,D265)</f>
        <v>0</v>
      </c>
      <c r="P265" s="611">
        <f>+IF(OR($Q265=Parametres!$G$2,$Q265=Parametres!$G$3),K265,E265)</f>
        <v>652.80999999999995</v>
      </c>
      <c r="Q265" s="610" t="str">
        <f t="shared" si="34"/>
        <v>7-Dépenses</v>
      </c>
      <c r="R265" s="609" t="str">
        <f t="shared" si="35"/>
        <v>6103</v>
      </c>
      <c r="S265" s="610" t="str">
        <f t="shared" si="36"/>
        <v>_</v>
      </c>
      <c r="T265" s="612" t="str">
        <f>+VLOOKUP($L265,Data_Validation!$A:$D,1,0)</f>
        <v>6103</v>
      </c>
      <c r="U265" s="612" t="str">
        <f>+VLOOKUP($L265,Data_Validation!$A:$D,3,0)</f>
        <v>Véhicules neufs</v>
      </c>
      <c r="V265" s="612" t="str">
        <f>+VLOOKUP($L265,Data_Validation!$A:$D,4,0)</f>
        <v>Service gratuit 1</v>
      </c>
      <c r="W265" s="612" t="str">
        <f>+VLOOKUP($L265,Data_Validation!$A:$E,5,0)</f>
        <v>$</v>
      </c>
      <c r="X265" s="612">
        <f>+VLOOKUP($L265,Data_Validation!$A:$F,6,0)</f>
        <v>0</v>
      </c>
    </row>
    <row r="266" spans="1:24" ht="15" customHeight="1">
      <c r="A266" s="1188" t="s">
        <v>1105</v>
      </c>
      <c r="B266" s="1188" t="s">
        <v>1106</v>
      </c>
      <c r="C266" s="1190">
        <v>43079.53</v>
      </c>
      <c r="D266" s="1190">
        <v>2203.6999999999998</v>
      </c>
      <c r="E266" s="1190">
        <v>45283.23</v>
      </c>
      <c r="F266" s="1188" t="s">
        <v>1099</v>
      </c>
      <c r="G266" s="1188" t="s">
        <v>1106</v>
      </c>
      <c r="H266" s="1188" t="s">
        <v>3845</v>
      </c>
      <c r="I266" s="626"/>
      <c r="J266" s="607"/>
      <c r="K266" s="626"/>
      <c r="L266" s="609" t="str">
        <f t="shared" si="32"/>
        <v>6106</v>
      </c>
      <c r="M266" s="610" t="str">
        <f t="shared" si="33"/>
        <v>ENTRETIEN DES STOCKS</v>
      </c>
      <c r="N266" s="611">
        <f>+IF(OR($Q266=Parametres!$G$2,$Q266=Parametres!$G$3),I266,C266)</f>
        <v>43079.53</v>
      </c>
      <c r="O266" s="611">
        <f>+IF(OR($Q266=Parametres!$G$2,$Q266=Parametres!$G$3),J266,D266)</f>
        <v>2203.6999999999998</v>
      </c>
      <c r="P266" s="611">
        <f>+IF(OR($Q266=Parametres!$G$2,$Q266=Parametres!$G$3),K266,E266)</f>
        <v>45283.23</v>
      </c>
      <c r="Q266" s="610" t="str">
        <f t="shared" si="34"/>
        <v>7-Dépenses</v>
      </c>
      <c r="R266" s="609" t="str">
        <f t="shared" si="35"/>
        <v>6106</v>
      </c>
      <c r="S266" s="610" t="str">
        <f t="shared" si="36"/>
        <v>_</v>
      </c>
      <c r="T266" s="612" t="str">
        <f>+VLOOKUP($L266,Data_Validation!$A:$D,1,0)</f>
        <v>6106</v>
      </c>
      <c r="U266" s="612" t="str">
        <f>+VLOOKUP($L266,Data_Validation!$A:$D,3,0)</f>
        <v>Véhicules neufs</v>
      </c>
      <c r="V266" s="612" t="str">
        <f>+VLOOKUP($L266,Data_Validation!$A:$D,4,0)</f>
        <v>Entretien stock</v>
      </c>
      <c r="W266" s="612" t="str">
        <f>+VLOOKUP($L266,Data_Validation!$A:$E,5,0)</f>
        <v>$</v>
      </c>
      <c r="X266" s="612">
        <f>+VLOOKUP($L266,Data_Validation!$A:$F,6,0)</f>
        <v>0</v>
      </c>
    </row>
    <row r="267" spans="1:24" ht="15" customHeight="1">
      <c r="A267" s="1188" t="s">
        <v>1107</v>
      </c>
      <c r="B267" s="1188" t="s">
        <v>1108</v>
      </c>
      <c r="C267" s="1190">
        <v>155747.82999999999</v>
      </c>
      <c r="D267" s="1190">
        <v>20507.099999999999</v>
      </c>
      <c r="E267" s="1190">
        <v>176254.93</v>
      </c>
      <c r="F267" s="1188" t="s">
        <v>1099</v>
      </c>
      <c r="G267" s="1188" t="s">
        <v>1108</v>
      </c>
      <c r="H267" s="1188" t="s">
        <v>3845</v>
      </c>
      <c r="I267" s="626"/>
      <c r="J267" s="607"/>
      <c r="K267" s="626"/>
      <c r="L267" s="609" t="str">
        <f t="shared" si="32"/>
        <v>6107</v>
      </c>
      <c r="M267" s="610" t="str">
        <f t="shared" si="33"/>
        <v>INTERET-PLAN DE FINANCEMENT</v>
      </c>
      <c r="N267" s="611">
        <f>+IF(OR($Q267=Parametres!$G$2,$Q267=Parametres!$G$3),I267,C267)</f>
        <v>155747.82999999999</v>
      </c>
      <c r="O267" s="611">
        <f>+IF(OR($Q267=Parametres!$G$2,$Q267=Parametres!$G$3),J267,D267)</f>
        <v>20507.099999999999</v>
      </c>
      <c r="P267" s="611">
        <f>+IF(OR($Q267=Parametres!$G$2,$Q267=Parametres!$G$3),K267,E267)</f>
        <v>176254.93</v>
      </c>
      <c r="Q267" s="610" t="str">
        <f t="shared" si="34"/>
        <v>7-Dépenses</v>
      </c>
      <c r="R267" s="609" t="str">
        <f t="shared" si="35"/>
        <v>6107</v>
      </c>
      <c r="S267" s="610" t="str">
        <f t="shared" si="36"/>
        <v>_</v>
      </c>
      <c r="T267" s="612" t="str">
        <f>+VLOOKUP($L267,Data_Validation!$A:$D,1,0)</f>
        <v>6107</v>
      </c>
      <c r="U267" s="612" t="str">
        <f>+VLOOKUP($L267,Data_Validation!$A:$D,3,0)</f>
        <v>Véhicules neufs</v>
      </c>
      <c r="V267" s="612" t="str">
        <f>+VLOOKUP($L267,Data_Validation!$A:$D,4,0)</f>
        <v>Intérêt de gros</v>
      </c>
      <c r="W267" s="612" t="str">
        <f>+VLOOKUP($L267,Data_Validation!$A:$E,5,0)</f>
        <v>$</v>
      </c>
      <c r="X267" s="612">
        <f>+VLOOKUP($L267,Data_Validation!$A:$F,6,0)</f>
        <v>0</v>
      </c>
    </row>
    <row r="268" spans="1:24" ht="15" customHeight="1">
      <c r="A268" s="1188" t="s">
        <v>1109</v>
      </c>
      <c r="B268" s="1188" t="s">
        <v>1110</v>
      </c>
      <c r="C268" s="1190">
        <v>24927.25</v>
      </c>
      <c r="D268" s="1190">
        <v>4430.68</v>
      </c>
      <c r="E268" s="1190">
        <v>29357.93</v>
      </c>
      <c r="F268" s="1188" t="s">
        <v>1099</v>
      </c>
      <c r="G268" s="1188" t="s">
        <v>1110</v>
      </c>
      <c r="H268" s="1188" t="s">
        <v>3845</v>
      </c>
      <c r="I268" s="626"/>
      <c r="J268" s="607"/>
      <c r="K268" s="626"/>
      <c r="L268" s="609" t="str">
        <f t="shared" si="32"/>
        <v>6108</v>
      </c>
      <c r="M268" s="610" t="str">
        <f t="shared" si="33"/>
        <v>FRAIS DE LIVRAISON</v>
      </c>
      <c r="N268" s="611">
        <f>+IF(OR($Q268=Parametres!$G$2,$Q268=Parametres!$G$3),I268,C268)</f>
        <v>24927.25</v>
      </c>
      <c r="O268" s="611">
        <f>+IF(OR($Q268=Parametres!$G$2,$Q268=Parametres!$G$3),J268,D268)</f>
        <v>4430.68</v>
      </c>
      <c r="P268" s="611">
        <f>+IF(OR($Q268=Parametres!$G$2,$Q268=Parametres!$G$3),K268,E268)</f>
        <v>29357.93</v>
      </c>
      <c r="Q268" s="610" t="str">
        <f t="shared" si="34"/>
        <v>7-Dépenses</v>
      </c>
      <c r="R268" s="609" t="str">
        <f t="shared" si="35"/>
        <v>6108</v>
      </c>
      <c r="S268" s="610" t="str">
        <f t="shared" si="36"/>
        <v>_</v>
      </c>
      <c r="T268" s="612" t="str">
        <f>+VLOOKUP($L268,Data_Validation!$A:$D,1,0)</f>
        <v>6108</v>
      </c>
      <c r="U268" s="612" t="str">
        <f>+VLOOKUP($L268,Data_Validation!$A:$D,3,0)</f>
        <v>Véhicules neufs</v>
      </c>
      <c r="V268" s="612" t="str">
        <f>+VLOOKUP($L268,Data_Validation!$A:$D,4,0)</f>
        <v>Frais de livraison</v>
      </c>
      <c r="W268" s="612" t="str">
        <f>+VLOOKUP($L268,Data_Validation!$A:$E,5,0)</f>
        <v>$</v>
      </c>
      <c r="X268" s="612">
        <f>+VLOOKUP($L268,Data_Validation!$A:$F,6,0)</f>
        <v>0</v>
      </c>
    </row>
    <row r="269" spans="1:24" ht="15" customHeight="1">
      <c r="A269" s="1188" t="s">
        <v>1111</v>
      </c>
      <c r="B269" s="1188" t="s">
        <v>1112</v>
      </c>
      <c r="C269" s="1190">
        <v>94600.22</v>
      </c>
      <c r="D269" s="1190">
        <v>13190.59</v>
      </c>
      <c r="E269" s="1190">
        <v>107790.81</v>
      </c>
      <c r="F269" s="1188" t="s">
        <v>1099</v>
      </c>
      <c r="G269" s="1188" t="s">
        <v>1112</v>
      </c>
      <c r="H269" s="1188" t="s">
        <v>3845</v>
      </c>
      <c r="I269" s="608"/>
      <c r="J269" s="608"/>
      <c r="K269" s="608"/>
      <c r="L269" s="609" t="str">
        <f t="shared" si="32"/>
        <v>6114</v>
      </c>
      <c r="M269" s="610" t="str">
        <f t="shared" si="33"/>
        <v>PUBLICITE</v>
      </c>
      <c r="N269" s="611">
        <f>+IF(OR($Q269=Parametres!$G$2,$Q269=Parametres!$G$3),I269,C269)</f>
        <v>94600.22</v>
      </c>
      <c r="O269" s="611">
        <f>+IF(OR($Q269=Parametres!$G$2,$Q269=Parametres!$G$3),J269,D269)</f>
        <v>13190.59</v>
      </c>
      <c r="P269" s="611">
        <f>+IF(OR($Q269=Parametres!$G$2,$Q269=Parametres!$G$3),K269,E269)</f>
        <v>107790.81</v>
      </c>
      <c r="Q269" s="610" t="str">
        <f t="shared" si="34"/>
        <v>7-Dépenses</v>
      </c>
      <c r="R269" s="609" t="str">
        <f t="shared" si="35"/>
        <v>6114</v>
      </c>
      <c r="S269" s="610" t="str">
        <f t="shared" si="36"/>
        <v>_</v>
      </c>
      <c r="T269" s="612" t="str">
        <f>+VLOOKUP($L269,Data_Validation!$A:$D,1,0)</f>
        <v>6114</v>
      </c>
      <c r="U269" s="612" t="str">
        <f>+VLOOKUP($L269,Data_Validation!$A:$D,3,0)</f>
        <v>Véhicules neufs</v>
      </c>
      <c r="V269" s="612" t="str">
        <f>+VLOOKUP($L269,Data_Validation!$A:$D,4,0)</f>
        <v>Publicité 1</v>
      </c>
      <c r="W269" s="612" t="str">
        <f>+VLOOKUP($L269,Data_Validation!$A:$E,5,0)</f>
        <v>$</v>
      </c>
      <c r="X269" s="612">
        <f>+VLOOKUP($L269,Data_Validation!$A:$F,6,0)</f>
        <v>0</v>
      </c>
    </row>
    <row r="270" spans="1:24" ht="15" customHeight="1">
      <c r="A270" s="1188" t="s">
        <v>1113</v>
      </c>
      <c r="B270" s="1188" t="s">
        <v>2202</v>
      </c>
      <c r="C270" s="1190">
        <v>-55650</v>
      </c>
      <c r="D270" s="1190">
        <v>-9600</v>
      </c>
      <c r="E270" s="1190">
        <v>-65250</v>
      </c>
      <c r="F270" s="1188" t="s">
        <v>1099</v>
      </c>
      <c r="G270" s="1188" t="s">
        <v>1112</v>
      </c>
      <c r="H270" s="1188" t="s">
        <v>3845</v>
      </c>
      <c r="I270" s="608"/>
      <c r="J270" s="608"/>
      <c r="K270" s="608"/>
      <c r="L270" s="609" t="str">
        <f t="shared" si="32"/>
        <v>6115</v>
      </c>
      <c r="M270" s="610" t="str">
        <f t="shared" si="33"/>
        <v>CREDIT PUBLICITE NEUF</v>
      </c>
      <c r="N270" s="611">
        <f>+IF(OR($Q270=Parametres!$G$2,$Q270=Parametres!$G$3),I270,C270)</f>
        <v>-55650</v>
      </c>
      <c r="O270" s="611">
        <f>+IF(OR($Q270=Parametres!$G$2,$Q270=Parametres!$G$3),J270,D270)</f>
        <v>-9600</v>
      </c>
      <c r="P270" s="611">
        <f>+IF(OR($Q270=Parametres!$G$2,$Q270=Parametres!$G$3),K270,E270)</f>
        <v>-65250</v>
      </c>
      <c r="Q270" s="610" t="str">
        <f t="shared" si="34"/>
        <v>7-Dépenses</v>
      </c>
      <c r="R270" s="609" t="str">
        <f t="shared" si="35"/>
        <v>6114</v>
      </c>
      <c r="S270" s="610" t="str">
        <f t="shared" si="36"/>
        <v>_</v>
      </c>
      <c r="T270" s="612" t="str">
        <f>+VLOOKUP($L270,Data_Validation!$A:$D,1,0)</f>
        <v>6115</v>
      </c>
      <c r="U270" s="612" t="str">
        <f>+VLOOKUP($L270,Data_Validation!$A:$D,3,0)</f>
        <v>Véhicules neufs</v>
      </c>
      <c r="V270" s="612" t="str">
        <f>+VLOOKUP($L270,Data_Validation!$A:$D,4,0)</f>
        <v>Publicité 1</v>
      </c>
      <c r="W270" s="612" t="str">
        <f>+VLOOKUP($L270,Data_Validation!$A:$E,5,0)</f>
        <v>$</v>
      </c>
      <c r="X270" s="612">
        <f>+VLOOKUP($L270,Data_Validation!$A:$F,6,0)</f>
        <v>0</v>
      </c>
    </row>
    <row r="271" spans="1:24" ht="15" customHeight="1">
      <c r="A271" s="1188" t="s">
        <v>3862</v>
      </c>
      <c r="B271" s="1188" t="s">
        <v>1115</v>
      </c>
      <c r="C271" s="1190">
        <v>34247.86</v>
      </c>
      <c r="D271" s="1190">
        <v>7121.7</v>
      </c>
      <c r="E271" s="1190">
        <v>41369.56</v>
      </c>
      <c r="F271" s="1188" t="s">
        <v>1099</v>
      </c>
      <c r="G271" s="1188" t="s">
        <v>1115</v>
      </c>
      <c r="H271" s="1188" t="s">
        <v>3845</v>
      </c>
      <c r="I271" s="626"/>
      <c r="J271" s="607"/>
      <c r="K271" s="626"/>
      <c r="L271" s="609" t="str">
        <f t="shared" si="32"/>
        <v>6121</v>
      </c>
      <c r="M271" s="610" t="str">
        <f t="shared" si="33"/>
        <v>SALAIRES - DIRECTION GENERALE</v>
      </c>
      <c r="N271" s="611">
        <f>+IF(OR($Q271=Parametres!$G$2,$Q271=Parametres!$G$3),I271,C271)</f>
        <v>34247.86</v>
      </c>
      <c r="O271" s="611">
        <f>+IF(OR($Q271=Parametres!$G$2,$Q271=Parametres!$G$3),J271,D271)</f>
        <v>7121.7</v>
      </c>
      <c r="P271" s="611">
        <f>+IF(OR($Q271=Parametres!$G$2,$Q271=Parametres!$G$3),K271,E271)</f>
        <v>41369.56</v>
      </c>
      <c r="Q271" s="610" t="str">
        <f t="shared" si="34"/>
        <v>7-Dépenses</v>
      </c>
      <c r="R271" s="609" t="str">
        <f t="shared" si="35"/>
        <v>6121</v>
      </c>
      <c r="S271" s="610" t="str">
        <f t="shared" si="36"/>
        <v>_</v>
      </c>
      <c r="T271" s="612" t="str">
        <f>+VLOOKUP($L271,Data_Validation!$A:$D,1,0)</f>
        <v>6121</v>
      </c>
      <c r="U271" s="612" t="str">
        <f>+VLOOKUP($L271,Data_Validation!$A:$D,3,0)</f>
        <v>Véhicules neufs</v>
      </c>
      <c r="V271" s="612" t="str">
        <f>+VLOOKUP($L271,Data_Validation!$A:$D,4,0)</f>
        <v>Salaires propriétaire</v>
      </c>
      <c r="W271" s="612" t="str">
        <f>+VLOOKUP($L271,Data_Validation!$A:$E,5,0)</f>
        <v>$</v>
      </c>
      <c r="X271" s="612">
        <f>+VLOOKUP($L271,Data_Validation!$A:$F,6,0)</f>
        <v>0</v>
      </c>
    </row>
    <row r="272" spans="1:24" ht="15.75" customHeight="1">
      <c r="A272" s="1188" t="s">
        <v>1116</v>
      </c>
      <c r="B272" s="1188" t="s">
        <v>1117</v>
      </c>
      <c r="C272" s="1190">
        <v>85481.78</v>
      </c>
      <c r="D272" s="1190">
        <v>9096.94</v>
      </c>
      <c r="E272" s="1190">
        <v>94578.72</v>
      </c>
      <c r="F272" s="1188" t="s">
        <v>1099</v>
      </c>
      <c r="G272" s="1188" t="s">
        <v>1117</v>
      </c>
      <c r="H272" s="1188" t="s">
        <v>3845</v>
      </c>
      <c r="I272" s="628"/>
      <c r="J272" s="619"/>
      <c r="K272" s="628"/>
      <c r="L272" s="609" t="str">
        <f t="shared" si="32"/>
        <v>6122</v>
      </c>
      <c r="M272" s="610" t="str">
        <f t="shared" si="33"/>
        <v>SAL SUPERVISION / GERANT</v>
      </c>
      <c r="N272" s="611">
        <f>+IF(OR($Q272=Parametres!$G$2,$Q272=Parametres!$G$3),I272,C272)</f>
        <v>85481.78</v>
      </c>
      <c r="O272" s="611">
        <f>+IF(OR($Q272=Parametres!$G$2,$Q272=Parametres!$G$3),J272,D272)</f>
        <v>9096.94</v>
      </c>
      <c r="P272" s="611">
        <f>+IF(OR($Q272=Parametres!$G$2,$Q272=Parametres!$G$3),K272,E272)</f>
        <v>94578.72</v>
      </c>
      <c r="Q272" s="610" t="str">
        <f t="shared" si="34"/>
        <v>7-Dépenses</v>
      </c>
      <c r="R272" s="609" t="str">
        <f t="shared" si="35"/>
        <v>6122</v>
      </c>
      <c r="S272" s="610" t="str">
        <f t="shared" si="36"/>
        <v>_</v>
      </c>
      <c r="T272" s="612" t="str">
        <f>+VLOOKUP($L272,Data_Validation!$A:$D,1,0)</f>
        <v>6122</v>
      </c>
      <c r="U272" s="612" t="str">
        <f>+VLOOKUP($L272,Data_Validation!$A:$D,3,0)</f>
        <v>Véhicules neufs</v>
      </c>
      <c r="V272" s="612" t="str">
        <f>+VLOOKUP($L272,Data_Validation!$A:$D,4,0)</f>
        <v>Salaires cadres</v>
      </c>
      <c r="W272" s="612" t="str">
        <f>+VLOOKUP($L272,Data_Validation!$A:$E,5,0)</f>
        <v>$</v>
      </c>
      <c r="X272" s="612">
        <f>+VLOOKUP($L272,Data_Validation!$A:$F,6,0)</f>
        <v>0</v>
      </c>
    </row>
    <row r="273" spans="1:24" ht="15" customHeight="1">
      <c r="A273" s="1188" t="s">
        <v>1118</v>
      </c>
      <c r="B273" s="1188" t="s">
        <v>1119</v>
      </c>
      <c r="C273" s="1190">
        <v>81636.83</v>
      </c>
      <c r="D273" s="1190">
        <v>-358.64</v>
      </c>
      <c r="E273" s="1190">
        <v>81278.19</v>
      </c>
      <c r="F273" s="1188" t="s">
        <v>1099</v>
      </c>
      <c r="G273" s="1188" t="s">
        <v>1119</v>
      </c>
      <c r="H273" s="1188" t="s">
        <v>3845</v>
      </c>
      <c r="I273" s="608"/>
      <c r="J273" s="608"/>
      <c r="K273" s="608"/>
      <c r="L273" s="609" t="str">
        <f t="shared" si="32"/>
        <v>6123</v>
      </c>
      <c r="M273" s="610" t="str">
        <f t="shared" si="33"/>
        <v>SAL. &amp; RENUM. - CLERICAL</v>
      </c>
      <c r="N273" s="611">
        <f>+IF(OR($Q273=Parametres!$G$2,$Q273=Parametres!$G$3),I273,C273)</f>
        <v>81636.83</v>
      </c>
      <c r="O273" s="615">
        <f>+IF(OR($Q273=Parametres!$G$2,$Q273=Parametres!$G$3),J273,D273)</f>
        <v>-358.64</v>
      </c>
      <c r="P273" s="611">
        <f>+IF(OR($Q273=Parametres!$G$2,$Q273=Parametres!$G$3),K273,E273)</f>
        <v>81278.19</v>
      </c>
      <c r="Q273" s="610" t="str">
        <f t="shared" si="34"/>
        <v>7-Dépenses</v>
      </c>
      <c r="R273" s="609" t="str">
        <f t="shared" si="35"/>
        <v>6123</v>
      </c>
      <c r="S273" s="610" t="str">
        <f t="shared" si="36"/>
        <v>_</v>
      </c>
      <c r="T273" s="612" t="str">
        <f>+VLOOKUP($L273,Data_Validation!$A:$D,1,0)</f>
        <v>6123</v>
      </c>
      <c r="U273" s="612" t="str">
        <f>+VLOOKUP($L273,Data_Validation!$A:$D,3,0)</f>
        <v>Véhicules neufs</v>
      </c>
      <c r="V273" s="612" t="str">
        <f>+VLOOKUP($L273,Data_Validation!$A:$D,4,0)</f>
        <v>Salaires commis</v>
      </c>
      <c r="W273" s="612" t="str">
        <f>+VLOOKUP($L273,Data_Validation!$A:$E,5,0)</f>
        <v>$</v>
      </c>
      <c r="X273" s="612">
        <f>+VLOOKUP($L273,Data_Validation!$A:$F,6,0)</f>
        <v>0</v>
      </c>
    </row>
    <row r="274" spans="1:24" ht="15" customHeight="1">
      <c r="A274" s="1188" t="s">
        <v>1120</v>
      </c>
      <c r="B274" s="1188" t="s">
        <v>1121</v>
      </c>
      <c r="C274" s="1190">
        <v>25067.55</v>
      </c>
      <c r="D274" s="1190">
        <v>-3433.81</v>
      </c>
      <c r="E274" s="1190">
        <v>21633.74</v>
      </c>
      <c r="F274" s="1188" t="s">
        <v>1099</v>
      </c>
      <c r="G274" s="1188" t="s">
        <v>1121</v>
      </c>
      <c r="H274" s="1188" t="s">
        <v>3845</v>
      </c>
      <c r="I274" s="626"/>
      <c r="J274" s="607"/>
      <c r="K274" s="626"/>
      <c r="L274" s="609" t="str">
        <f t="shared" si="32"/>
        <v>6124</v>
      </c>
      <c r="M274" s="610" t="str">
        <f t="shared" si="33"/>
        <v>SALAIRES &amp; RENUM. - AUTRES</v>
      </c>
      <c r="N274" s="611">
        <f>+IF(OR($Q274=Parametres!$G$2,$Q274=Parametres!$G$3),I274,C274)</f>
        <v>25067.55</v>
      </c>
      <c r="O274" s="611">
        <f>+IF(OR($Q274=Parametres!$G$2,$Q274=Parametres!$G$3),J274,D274)</f>
        <v>-3433.81</v>
      </c>
      <c r="P274" s="611">
        <f>+IF(OR($Q274=Parametres!$G$2,$Q274=Parametres!$G$3),K274,E274)</f>
        <v>21633.74</v>
      </c>
      <c r="Q274" s="610" t="str">
        <f t="shared" si="34"/>
        <v>7-Dépenses</v>
      </c>
      <c r="R274" s="609" t="str">
        <f t="shared" si="35"/>
        <v>6124</v>
      </c>
      <c r="S274" s="610" t="str">
        <f t="shared" si="36"/>
        <v>_</v>
      </c>
      <c r="T274" s="612" t="str">
        <f>+VLOOKUP($L274,Data_Validation!$A:$D,1,0)</f>
        <v>6124</v>
      </c>
      <c r="U274" s="612" t="str">
        <f>+VLOOKUP($L274,Data_Validation!$A:$D,3,0)</f>
        <v>Véhicules neufs</v>
      </c>
      <c r="V274" s="612" t="str">
        <f>+VLOOKUP($L274,Data_Validation!$A:$D,4,0)</f>
        <v>Salaires autres</v>
      </c>
      <c r="W274" s="612" t="str">
        <f>+VLOOKUP($L274,Data_Validation!$A:$E,5,0)</f>
        <v>$</v>
      </c>
      <c r="X274" s="612">
        <f>+VLOOKUP($L274,Data_Validation!$A:$F,6,0)</f>
        <v>0</v>
      </c>
    </row>
    <row r="275" spans="1:24" ht="15" customHeight="1">
      <c r="A275" s="1188" t="s">
        <v>1122</v>
      </c>
      <c r="B275" s="1188" t="s">
        <v>1123</v>
      </c>
      <c r="C275" s="1190">
        <v>74750.11</v>
      </c>
      <c r="D275" s="1190">
        <v>11054.71</v>
      </c>
      <c r="E275" s="1190">
        <v>85804.82</v>
      </c>
      <c r="F275" s="1188" t="s">
        <v>1099</v>
      </c>
      <c r="G275" s="1188" t="s">
        <v>1123</v>
      </c>
      <c r="H275" s="1188" t="s">
        <v>3845</v>
      </c>
      <c r="I275" s="608"/>
      <c r="J275" s="608"/>
      <c r="K275" s="608"/>
      <c r="L275" s="609" t="str">
        <f t="shared" si="32"/>
        <v>6129</v>
      </c>
      <c r="M275" s="610" t="str">
        <f t="shared" si="33"/>
        <v>ABS., VACANCE &amp; SAL. JOURS FER</v>
      </c>
      <c r="N275" s="611">
        <f>+IF(OR($Q275=Parametres!$G$2,$Q275=Parametres!$G$3),I275,C275)</f>
        <v>74750.11</v>
      </c>
      <c r="O275" s="611">
        <f>+IF(OR($Q275=Parametres!$G$2,$Q275=Parametres!$G$3),J275,D275)</f>
        <v>11054.71</v>
      </c>
      <c r="P275" s="611">
        <f>+IF(OR($Q275=Parametres!$G$2,$Q275=Parametres!$G$3),K275,E275)</f>
        <v>85804.82</v>
      </c>
      <c r="Q275" s="610" t="str">
        <f t="shared" si="34"/>
        <v>7-Dépenses</v>
      </c>
      <c r="R275" s="609" t="str">
        <f t="shared" si="35"/>
        <v>6129</v>
      </c>
      <c r="S275" s="610" t="str">
        <f t="shared" si="36"/>
        <v>_</v>
      </c>
      <c r="T275" s="612" t="str">
        <f>+VLOOKUP($L275,Data_Validation!$A:$D,1,0)</f>
        <v>6129</v>
      </c>
      <c r="U275" s="612" t="str">
        <f>+VLOOKUP($L275,Data_Validation!$A:$D,3,0)</f>
        <v>Véhicules neufs</v>
      </c>
      <c r="V275" s="612" t="str">
        <f>+VLOOKUP($L275,Data_Validation!$A:$D,4,0)</f>
        <v>Salaires en absences</v>
      </c>
      <c r="W275" s="612" t="str">
        <f>+VLOOKUP($L275,Data_Validation!$A:$E,5,0)</f>
        <v>$</v>
      </c>
      <c r="X275" s="612">
        <f>+VLOOKUP($L275,Data_Validation!$A:$F,6,0)</f>
        <v>0</v>
      </c>
    </row>
    <row r="276" spans="1:24" ht="15" customHeight="1">
      <c r="A276" s="1188" t="s">
        <v>1124</v>
      </c>
      <c r="B276" s="1188" t="s">
        <v>1125</v>
      </c>
      <c r="C276" s="1190">
        <v>14458.8</v>
      </c>
      <c r="D276" s="1190">
        <v>2404.11</v>
      </c>
      <c r="E276" s="1190">
        <v>16862.91</v>
      </c>
      <c r="F276" s="1188" t="s">
        <v>1099</v>
      </c>
      <c r="G276" s="1188" t="s">
        <v>1125</v>
      </c>
      <c r="H276" s="1188" t="s">
        <v>3845</v>
      </c>
      <c r="I276" s="626"/>
      <c r="J276" s="607"/>
      <c r="K276" s="626"/>
      <c r="L276" s="609" t="str">
        <f t="shared" si="32"/>
        <v>6131</v>
      </c>
      <c r="M276" s="610" t="str">
        <f t="shared" si="33"/>
        <v>CSST</v>
      </c>
      <c r="N276" s="611">
        <f>+IF(OR($Q276=Parametres!$G$2,$Q276=Parametres!$G$3),I276,C276)</f>
        <v>14458.8</v>
      </c>
      <c r="O276" s="611">
        <f>+IF(OR($Q276=Parametres!$G$2,$Q276=Parametres!$G$3),J276,D276)</f>
        <v>2404.11</v>
      </c>
      <c r="P276" s="611">
        <f>+IF(OR($Q276=Parametres!$G$2,$Q276=Parametres!$G$3),K276,E276)</f>
        <v>16862.91</v>
      </c>
      <c r="Q276" s="610" t="str">
        <f t="shared" si="34"/>
        <v>7-Dépenses</v>
      </c>
      <c r="R276" s="609" t="str">
        <f t="shared" si="35"/>
        <v>6131</v>
      </c>
      <c r="S276" s="610" t="str">
        <f t="shared" si="36"/>
        <v>_</v>
      </c>
      <c r="T276" s="612" t="str">
        <f>+VLOOKUP($L276,Data_Validation!$A:$D,1,0)</f>
        <v>6131</v>
      </c>
      <c r="U276" s="612" t="str">
        <f>+VLOOKUP($L276,Data_Validation!$A:$D,3,0)</f>
        <v>Véhicules neufs</v>
      </c>
      <c r="V276" s="612" t="str">
        <f>+VLOOKUP($L276,Data_Validation!$A:$D,4,0)</f>
        <v>Csst</v>
      </c>
      <c r="W276" s="612" t="str">
        <f>+VLOOKUP($L276,Data_Validation!$A:$E,5,0)</f>
        <v>$</v>
      </c>
      <c r="X276" s="612">
        <f>+VLOOKUP($L276,Data_Validation!$A:$F,6,0)</f>
        <v>0</v>
      </c>
    </row>
    <row r="277" spans="1:24" ht="15" customHeight="1">
      <c r="A277" s="1188" t="s">
        <v>1126</v>
      </c>
      <c r="B277" s="1188" t="s">
        <v>1127</v>
      </c>
      <c r="C277" s="1190">
        <v>81115.289999999994</v>
      </c>
      <c r="D277" s="1190">
        <v>14133.73</v>
      </c>
      <c r="E277" s="1190">
        <v>95249.02</v>
      </c>
      <c r="F277" s="1188" t="s">
        <v>1099</v>
      </c>
      <c r="G277" s="1188" t="s">
        <v>1127</v>
      </c>
      <c r="H277" s="1188" t="s">
        <v>3845</v>
      </c>
      <c r="I277" s="608"/>
      <c r="J277" s="608"/>
      <c r="K277" s="608"/>
      <c r="L277" s="609" t="str">
        <f t="shared" si="32"/>
        <v>6132</v>
      </c>
      <c r="M277" s="610" t="str">
        <f t="shared" si="33"/>
        <v>RRQ RAMQ AC</v>
      </c>
      <c r="N277" s="611">
        <f>+IF(OR($Q277=Parametres!$G$2,$Q277=Parametres!$G$3),I277,C277)</f>
        <v>81115.289999999994</v>
      </c>
      <c r="O277" s="611">
        <f>+IF(OR($Q277=Parametres!$G$2,$Q277=Parametres!$G$3),J277,D277)</f>
        <v>14133.73</v>
      </c>
      <c r="P277" s="611">
        <f>+IF(OR($Q277=Parametres!$G$2,$Q277=Parametres!$G$3),K277,E277)</f>
        <v>95249.02</v>
      </c>
      <c r="Q277" s="610" t="str">
        <f t="shared" si="34"/>
        <v>7-Dépenses</v>
      </c>
      <c r="R277" s="609" t="str">
        <f t="shared" si="35"/>
        <v>6132</v>
      </c>
      <c r="S277" s="610" t="str">
        <f t="shared" si="36"/>
        <v>_</v>
      </c>
      <c r="T277" s="612" t="str">
        <f>+VLOOKUP($L277,Data_Validation!$A:$D,1,0)</f>
        <v>6132</v>
      </c>
      <c r="U277" s="612" t="str">
        <f>+VLOOKUP($L277,Data_Validation!$A:$D,3,0)</f>
        <v>Véhicules neufs</v>
      </c>
      <c r="V277" s="612" t="str">
        <f>+VLOOKUP($L277,Data_Validation!$A:$D,4,0)</f>
        <v>Déduction à la source</v>
      </c>
      <c r="W277" s="612" t="str">
        <f>+VLOOKUP($L277,Data_Validation!$A:$E,5,0)</f>
        <v>$</v>
      </c>
      <c r="X277" s="612">
        <f>+VLOOKUP($L277,Data_Validation!$A:$F,6,0)</f>
        <v>0</v>
      </c>
    </row>
    <row r="278" spans="1:24" ht="15" customHeight="1">
      <c r="A278" s="1188" t="s">
        <v>1128</v>
      </c>
      <c r="B278" s="1188" t="s">
        <v>1129</v>
      </c>
      <c r="C278" s="1190">
        <v>22221.05</v>
      </c>
      <c r="D278" s="1190">
        <v>3035.04</v>
      </c>
      <c r="E278" s="1190">
        <v>25256.09</v>
      </c>
      <c r="F278" s="1188" t="s">
        <v>1099</v>
      </c>
      <c r="G278" s="1188" t="s">
        <v>1129</v>
      </c>
      <c r="H278" s="1188" t="s">
        <v>3845</v>
      </c>
      <c r="I278" s="626"/>
      <c r="J278" s="607"/>
      <c r="K278" s="626"/>
      <c r="L278" s="609" t="str">
        <f t="shared" si="32"/>
        <v>6133</v>
      </c>
      <c r="M278" s="610" t="str">
        <f t="shared" si="33"/>
        <v>FOND PENSION - NEUF</v>
      </c>
      <c r="N278" s="611">
        <f>+IF(OR($Q278=Parametres!$G$2,$Q278=Parametres!$G$3),I278,C278)</f>
        <v>22221.05</v>
      </c>
      <c r="O278" s="615">
        <f>+IF(OR($Q278=Parametres!$G$2,$Q278=Parametres!$G$3),J278,D278)</f>
        <v>3035.04</v>
      </c>
      <c r="P278" s="611">
        <f>+IF(OR($Q278=Parametres!$G$2,$Q278=Parametres!$G$3),K278,E278)</f>
        <v>25256.09</v>
      </c>
      <c r="Q278" s="610" t="str">
        <f t="shared" si="34"/>
        <v>7-Dépenses</v>
      </c>
      <c r="R278" s="609" t="str">
        <f t="shared" si="35"/>
        <v>6133</v>
      </c>
      <c r="S278" s="610" t="str">
        <f t="shared" si="36"/>
        <v>_</v>
      </c>
      <c r="T278" s="612" t="str">
        <f>+VLOOKUP($L278,Data_Validation!$A:$D,1,0)</f>
        <v>6133</v>
      </c>
      <c r="U278" s="612" t="str">
        <f>+VLOOKUP($L278,Data_Validation!$A:$D,3,0)</f>
        <v>Véhicules neufs</v>
      </c>
      <c r="V278" s="612" t="str">
        <f>+VLOOKUP($L278,Data_Validation!$A:$D,4,0)</f>
        <v>Bénéfices marginaux</v>
      </c>
      <c r="W278" s="612" t="str">
        <f>+VLOOKUP($L278,Data_Validation!$A:$E,5,0)</f>
        <v>$</v>
      </c>
      <c r="X278" s="612">
        <f>+VLOOKUP($L278,Data_Validation!$A:$F,6,0)</f>
        <v>0</v>
      </c>
    </row>
    <row r="279" spans="1:24" ht="15.75" customHeight="1">
      <c r="A279" s="1188" t="s">
        <v>1130</v>
      </c>
      <c r="B279" s="1188" t="s">
        <v>1131</v>
      </c>
      <c r="C279" s="1190">
        <v>16886.900000000001</v>
      </c>
      <c r="D279" s="1190">
        <v>2968.13</v>
      </c>
      <c r="E279" s="1190">
        <v>19855.03</v>
      </c>
      <c r="F279" s="1188" t="s">
        <v>1099</v>
      </c>
      <c r="G279" s="1188" t="s">
        <v>1131</v>
      </c>
      <c r="H279" s="1188" t="s">
        <v>3845</v>
      </c>
      <c r="I279" s="608"/>
      <c r="J279" s="608"/>
      <c r="K279" s="608"/>
      <c r="L279" s="609" t="str">
        <f t="shared" si="32"/>
        <v>6139</v>
      </c>
      <c r="M279" s="610" t="str">
        <f t="shared" si="33"/>
        <v>ASSURANCE GROUPS</v>
      </c>
      <c r="N279" s="611">
        <f>+IF(OR($Q279=Parametres!$G$2,$Q279=Parametres!$G$3),I279,C279)</f>
        <v>16886.900000000001</v>
      </c>
      <c r="O279" s="615">
        <f>+IF(OR($Q279=Parametres!$G$2,$Q279=Parametres!$G$3),J279,D279)</f>
        <v>2968.13</v>
      </c>
      <c r="P279" s="611">
        <f>+IF(OR($Q279=Parametres!$G$2,$Q279=Parametres!$G$3),K279,E279)</f>
        <v>19855.03</v>
      </c>
      <c r="Q279" s="610" t="str">
        <f t="shared" si="34"/>
        <v>7-Dépenses</v>
      </c>
      <c r="R279" s="609" t="str">
        <f t="shared" si="35"/>
        <v>6139</v>
      </c>
      <c r="S279" s="610" t="str">
        <f t="shared" si="36"/>
        <v>_</v>
      </c>
      <c r="T279" s="612" t="str">
        <f>+VLOOKUP($L279,Data_Validation!$A:$D,1,0)</f>
        <v>6139</v>
      </c>
      <c r="U279" s="612" t="str">
        <f>+VLOOKUP($L279,Data_Validation!$A:$D,3,0)</f>
        <v>Véhicules neufs</v>
      </c>
      <c r="V279" s="612" t="str">
        <f>+VLOOKUP($L279,Data_Validation!$A:$D,4,0)</f>
        <v>Bénéfices marginaux</v>
      </c>
      <c r="W279" s="612" t="str">
        <f>+VLOOKUP($L279,Data_Validation!$A:$E,5,0)</f>
        <v>$</v>
      </c>
      <c r="X279" s="612">
        <f>+VLOOKUP($L279,Data_Validation!$A:$F,6,0)</f>
        <v>0</v>
      </c>
    </row>
    <row r="280" spans="1:24" ht="15" customHeight="1">
      <c r="A280" s="1188" t="s">
        <v>1134</v>
      </c>
      <c r="B280" s="1188" t="s">
        <v>1135</v>
      </c>
      <c r="C280" s="1190">
        <v>124.75</v>
      </c>
      <c r="D280" s="1190">
        <v>0</v>
      </c>
      <c r="E280" s="1190">
        <v>124.75</v>
      </c>
      <c r="F280" s="1188" t="s">
        <v>1099</v>
      </c>
      <c r="G280" s="1188" t="s">
        <v>1135</v>
      </c>
      <c r="H280" s="1188" t="s">
        <v>3845</v>
      </c>
      <c r="I280" s="608"/>
      <c r="J280" s="608"/>
      <c r="K280" s="608"/>
      <c r="L280" s="609" t="str">
        <f t="shared" si="32"/>
        <v>6143</v>
      </c>
      <c r="M280" s="610" t="str">
        <f t="shared" si="33"/>
        <v>UNIFORMES &amp; LESSIVE</v>
      </c>
      <c r="N280" s="611">
        <f>+IF(OR($Q280=Parametres!$G$2,$Q280=Parametres!$G$3),I280,C280)</f>
        <v>124.75</v>
      </c>
      <c r="O280" s="611">
        <f>+IF(OR($Q280=Parametres!$G$2,$Q280=Parametres!$G$3),J280,D280)</f>
        <v>0</v>
      </c>
      <c r="P280" s="611">
        <f>+IF(OR($Q280=Parametres!$G$2,$Q280=Parametres!$G$3),K280,E280)</f>
        <v>124.75</v>
      </c>
      <c r="Q280" s="610" t="str">
        <f t="shared" si="34"/>
        <v>7-Dépenses</v>
      </c>
      <c r="R280" s="609" t="str">
        <f t="shared" si="35"/>
        <v>6143</v>
      </c>
      <c r="S280" s="610" t="str">
        <f t="shared" si="36"/>
        <v>_</v>
      </c>
      <c r="T280" s="612" t="str">
        <f>+VLOOKUP($L280,Data_Validation!$A:$D,1,0)</f>
        <v>6143</v>
      </c>
      <c r="U280" s="612" t="str">
        <f>+VLOOKUP($L280,Data_Validation!$A:$D,3,0)</f>
        <v>Véhicules neufs</v>
      </c>
      <c r="V280" s="612" t="str">
        <f>+VLOOKUP($L280,Data_Validation!$A:$D,4,0)</f>
        <v>Uniformes</v>
      </c>
      <c r="W280" s="612" t="str">
        <f>+VLOOKUP($L280,Data_Validation!$A:$E,5,0)</f>
        <v>$</v>
      </c>
      <c r="X280" s="612">
        <f>+VLOOKUP($L280,Data_Validation!$A:$F,6,0)</f>
        <v>0</v>
      </c>
    </row>
    <row r="281" spans="1:24" ht="15" customHeight="1">
      <c r="A281" s="1188" t="s">
        <v>1136</v>
      </c>
      <c r="B281" s="1188" t="s">
        <v>1137</v>
      </c>
      <c r="C281" s="1190">
        <v>13572.97</v>
      </c>
      <c r="D281" s="1190">
        <v>0</v>
      </c>
      <c r="E281" s="1190">
        <v>13572.97</v>
      </c>
      <c r="F281" s="1188" t="s">
        <v>1099</v>
      </c>
      <c r="G281" s="1188" t="s">
        <v>1137</v>
      </c>
      <c r="H281" s="1188" t="s">
        <v>3845</v>
      </c>
      <c r="I281" s="626"/>
      <c r="J281" s="616"/>
      <c r="K281" s="626"/>
      <c r="L281" s="609" t="str">
        <f t="shared" si="32"/>
        <v>6144</v>
      </c>
      <c r="M281" s="624" t="str">
        <f t="shared" si="33"/>
        <v>FORMATION</v>
      </c>
      <c r="N281" s="611">
        <f>+IF(OR($Q281=Parametres!$G$2,$Q281=Parametres!$G$3),I281,C281)</f>
        <v>13572.97</v>
      </c>
      <c r="O281" s="615">
        <f>+IF(OR($Q281=Parametres!$G$2,$Q281=Parametres!$G$3),J281,D281)</f>
        <v>0</v>
      </c>
      <c r="P281" s="625">
        <f>+IF(OR($Q281=Parametres!$G$2,$Q281=Parametres!$G$3),K281,E281)</f>
        <v>13572.97</v>
      </c>
      <c r="Q281" s="610" t="str">
        <f t="shared" si="34"/>
        <v>7-Dépenses</v>
      </c>
      <c r="R281" s="609" t="str">
        <f t="shared" si="35"/>
        <v>6144</v>
      </c>
      <c r="S281" s="610" t="str">
        <f t="shared" si="36"/>
        <v>_</v>
      </c>
      <c r="T281" s="612" t="str">
        <f>+VLOOKUP($L281,Data_Validation!$A:$D,1,0)</f>
        <v>6144</v>
      </c>
      <c r="U281" s="612" t="str">
        <f>+VLOOKUP($L281,Data_Validation!$A:$D,3,0)</f>
        <v>Véhicules neufs</v>
      </c>
      <c r="V281" s="612" t="str">
        <f>+VLOOKUP($L281,Data_Validation!$A:$D,4,0)</f>
        <v>Formation</v>
      </c>
      <c r="W281" s="612" t="str">
        <f>+VLOOKUP($L281,Data_Validation!$A:$E,5,0)</f>
        <v>$</v>
      </c>
      <c r="X281" s="612">
        <f>+VLOOKUP($L281,Data_Validation!$A:$F,6,0)</f>
        <v>0</v>
      </c>
    </row>
    <row r="282" spans="1:24" ht="15" customHeight="1">
      <c r="A282" s="1188" t="s">
        <v>1138</v>
      </c>
      <c r="B282" s="1188" t="s">
        <v>1139</v>
      </c>
      <c r="C282" s="1190">
        <v>41323.79</v>
      </c>
      <c r="D282" s="1190">
        <v>7900.54</v>
      </c>
      <c r="E282" s="1190">
        <v>49224.33</v>
      </c>
      <c r="F282" s="1188" t="s">
        <v>1099</v>
      </c>
      <c r="G282" s="1188" t="s">
        <v>1139</v>
      </c>
      <c r="H282" s="1188" t="s">
        <v>3845</v>
      </c>
      <c r="I282" s="608"/>
      <c r="J282" s="608"/>
      <c r="K282" s="608"/>
      <c r="L282" s="609" t="str">
        <f t="shared" si="32"/>
        <v>6145</v>
      </c>
      <c r="M282" s="610" t="str">
        <f t="shared" si="33"/>
        <v>VEHICULE DE COMPAGNIE - DEPENS</v>
      </c>
      <c r="N282" s="611">
        <f>+IF(OR($Q282=Parametres!$G$2,$Q282=Parametres!$G$3),I282,C282)</f>
        <v>41323.79</v>
      </c>
      <c r="O282" s="611">
        <f>+IF(OR($Q282=Parametres!$G$2,$Q282=Parametres!$G$3),J282,D282)</f>
        <v>7900.54</v>
      </c>
      <c r="P282" s="611">
        <f>+IF(OR($Q282=Parametres!$G$2,$Q282=Parametres!$G$3),K282,E282)</f>
        <v>49224.33</v>
      </c>
      <c r="Q282" s="610" t="str">
        <f t="shared" si="34"/>
        <v>7-Dépenses</v>
      </c>
      <c r="R282" s="609" t="str">
        <f t="shared" si="35"/>
        <v>6145</v>
      </c>
      <c r="S282" s="610" t="str">
        <f t="shared" si="36"/>
        <v>_</v>
      </c>
      <c r="T282" s="612" t="str">
        <f>+VLOOKUP($L282,Data_Validation!$A:$D,1,0)</f>
        <v>6145</v>
      </c>
      <c r="U282" s="612" t="str">
        <f>+VLOOKUP($L282,Data_Validation!$A:$D,3,0)</f>
        <v>Véhicules neufs</v>
      </c>
      <c r="V282" s="612" t="str">
        <f>+VLOOKUP($L282,Data_Validation!$A:$D,4,0)</f>
        <v>Frais véhicules de cie</v>
      </c>
      <c r="W282" s="612" t="str">
        <f>+VLOOKUP($L282,Data_Validation!$A:$E,5,0)</f>
        <v>$</v>
      </c>
      <c r="X282" s="612">
        <f>+VLOOKUP($L282,Data_Validation!$A:$F,6,0)</f>
        <v>0</v>
      </c>
    </row>
    <row r="283" spans="1:24" ht="15.75" customHeight="1">
      <c r="A283" s="1188" t="s">
        <v>1140</v>
      </c>
      <c r="B283" s="1188" t="s">
        <v>1141</v>
      </c>
      <c r="C283" s="1190">
        <v>776.32</v>
      </c>
      <c r="D283" s="1190">
        <v>90.83</v>
      </c>
      <c r="E283" s="1190">
        <v>867.15</v>
      </c>
      <c r="F283" s="1188" t="s">
        <v>1099</v>
      </c>
      <c r="G283" s="1188" t="s">
        <v>1141</v>
      </c>
      <c r="H283" s="1188" t="s">
        <v>3845</v>
      </c>
      <c r="I283" s="619"/>
      <c r="J283" s="619"/>
      <c r="K283" s="619"/>
      <c r="L283" s="609" t="str">
        <f t="shared" si="32"/>
        <v>6147</v>
      </c>
      <c r="M283" s="610" t="str">
        <f t="shared" si="33"/>
        <v>FRET/EXPRESS/TRANS. PAR CAMION</v>
      </c>
      <c r="N283" s="611">
        <f>+IF(OR($Q283=Parametres!$G$2,$Q283=Parametres!$G$3),I283,C283)</f>
        <v>776.32</v>
      </c>
      <c r="O283" s="611">
        <f>+IF(OR($Q283=Parametres!$G$2,$Q283=Parametres!$G$3),J283,D283)</f>
        <v>90.83</v>
      </c>
      <c r="P283" s="611">
        <f>+IF(OR($Q283=Parametres!$G$2,$Q283=Parametres!$G$3),K283,E283)</f>
        <v>867.15</v>
      </c>
      <c r="Q283" s="610" t="str">
        <f t="shared" si="34"/>
        <v>7-Dépenses</v>
      </c>
      <c r="R283" s="609" t="str">
        <f t="shared" si="35"/>
        <v>6147</v>
      </c>
      <c r="S283" s="610" t="str">
        <f t="shared" si="36"/>
        <v>_</v>
      </c>
      <c r="T283" s="612" t="str">
        <f>+VLOOKUP($L283,Data_Validation!$A:$D,1,0)</f>
        <v>6147</v>
      </c>
      <c r="U283" s="612" t="str">
        <f>+VLOOKUP($L283,Data_Validation!$A:$D,3,0)</f>
        <v>Véhicules neufs</v>
      </c>
      <c r="V283" s="612" t="str">
        <f>+VLOOKUP($L283,Data_Validation!$A:$D,4,0)</f>
        <v>Frais postaux</v>
      </c>
      <c r="W283" s="612" t="str">
        <f>+VLOOKUP($L283,Data_Validation!$A:$E,5,0)</f>
        <v>$</v>
      </c>
      <c r="X283" s="612">
        <f>+VLOOKUP($L283,Data_Validation!$A:$F,6,0)</f>
        <v>0</v>
      </c>
    </row>
    <row r="284" spans="1:24" ht="15" customHeight="1">
      <c r="A284" s="1188" t="s">
        <v>1142</v>
      </c>
      <c r="B284" s="1188" t="s">
        <v>1143</v>
      </c>
      <c r="C284" s="1190">
        <v>48352.11</v>
      </c>
      <c r="D284" s="1190">
        <v>9319.94</v>
      </c>
      <c r="E284" s="1190">
        <v>57672.05</v>
      </c>
      <c r="F284" s="1188" t="s">
        <v>1099</v>
      </c>
      <c r="G284" s="1188" t="s">
        <v>1143</v>
      </c>
      <c r="H284" s="1188" t="s">
        <v>3845</v>
      </c>
      <c r="I284" s="607"/>
      <c r="J284" s="607"/>
      <c r="K284" s="626"/>
      <c r="L284" s="609" t="str">
        <f t="shared" si="32"/>
        <v>6151</v>
      </c>
      <c r="M284" s="610" t="str">
        <f t="shared" si="33"/>
        <v>DEP. DU TRAITEMENT DES DONNEES</v>
      </c>
      <c r="N284" s="611">
        <f>+IF(OR($Q284=Parametres!$G$2,$Q284=Parametres!$G$3),I284,C284)</f>
        <v>48352.11</v>
      </c>
      <c r="O284" s="615">
        <f>+IF(OR($Q284=Parametres!$G$2,$Q284=Parametres!$G$3),J284,D284)</f>
        <v>9319.94</v>
      </c>
      <c r="P284" s="611">
        <f>+IF(OR($Q284=Parametres!$G$2,$Q284=Parametres!$G$3),K284,E284)</f>
        <v>57672.05</v>
      </c>
      <c r="Q284" s="610" t="str">
        <f t="shared" si="34"/>
        <v>7-Dépenses</v>
      </c>
      <c r="R284" s="609" t="str">
        <f t="shared" si="35"/>
        <v>6151</v>
      </c>
      <c r="S284" s="610" t="str">
        <f t="shared" si="36"/>
        <v>_</v>
      </c>
      <c r="T284" s="612" t="str">
        <f>+VLOOKUP($L284,Data_Validation!$A:$D,1,0)</f>
        <v>6151</v>
      </c>
      <c r="U284" s="612" t="str">
        <f>+VLOOKUP($L284,Data_Validation!$A:$D,3,0)</f>
        <v>Véhicules neufs</v>
      </c>
      <c r="V284" s="612" t="str">
        <f>+VLOOKUP($L284,Data_Validation!$A:$D,4,0)</f>
        <v>Informatique</v>
      </c>
      <c r="W284" s="612" t="str">
        <f>+VLOOKUP($L284,Data_Validation!$A:$E,5,0)</f>
        <v>$</v>
      </c>
      <c r="X284" s="612">
        <f>+VLOOKUP($L284,Data_Validation!$A:$F,6,0)</f>
        <v>0</v>
      </c>
    </row>
    <row r="285" spans="1:24" ht="15" customHeight="1">
      <c r="A285" s="1188" t="s">
        <v>1144</v>
      </c>
      <c r="B285" s="1188" t="s">
        <v>1145</v>
      </c>
      <c r="C285" s="1190">
        <v>4453.13</v>
      </c>
      <c r="D285" s="1190">
        <v>491.25</v>
      </c>
      <c r="E285" s="1190">
        <v>4944.38</v>
      </c>
      <c r="F285" s="1188" t="s">
        <v>1099</v>
      </c>
      <c r="G285" s="1188" t="s">
        <v>1145</v>
      </c>
      <c r="H285" s="1188" t="s">
        <v>3845</v>
      </c>
      <c r="I285" s="608"/>
      <c r="J285" s="608"/>
      <c r="K285" s="608"/>
      <c r="L285" s="609" t="str">
        <f t="shared" si="32"/>
        <v>6152</v>
      </c>
      <c r="M285" s="610" t="str">
        <f t="shared" si="33"/>
        <v>PAPETERIE</v>
      </c>
      <c r="N285" s="611">
        <f>+IF(OR($Q285=Parametres!$G$2,$Q285=Parametres!$G$3),I285,C285)</f>
        <v>4453.13</v>
      </c>
      <c r="O285" s="611">
        <f>+IF(OR($Q285=Parametres!$G$2,$Q285=Parametres!$G$3),J285,D285)</f>
        <v>491.25</v>
      </c>
      <c r="P285" s="611">
        <f>+IF(OR($Q285=Parametres!$G$2,$Q285=Parametres!$G$3),K285,E285)</f>
        <v>4944.38</v>
      </c>
      <c r="Q285" s="610" t="str">
        <f t="shared" si="34"/>
        <v>7-Dépenses</v>
      </c>
      <c r="R285" s="609" t="str">
        <f t="shared" si="35"/>
        <v>6152</v>
      </c>
      <c r="S285" s="610" t="str">
        <f t="shared" si="36"/>
        <v>_</v>
      </c>
      <c r="T285" s="612" t="str">
        <f>+VLOOKUP($L285,Data_Validation!$A:$D,1,0)</f>
        <v>6152</v>
      </c>
      <c r="U285" s="612" t="str">
        <f>+VLOOKUP($L285,Data_Validation!$A:$D,3,0)</f>
        <v>Véhicules neufs</v>
      </c>
      <c r="V285" s="612" t="str">
        <f>+VLOOKUP($L285,Data_Validation!$A:$D,4,0)</f>
        <v>Papeterie</v>
      </c>
      <c r="W285" s="612" t="str">
        <f>+VLOOKUP($L285,Data_Validation!$A:$E,5,0)</f>
        <v>$</v>
      </c>
      <c r="X285" s="612">
        <f>+VLOOKUP($L285,Data_Validation!$A:$F,6,0)</f>
        <v>0</v>
      </c>
    </row>
    <row r="286" spans="1:24" ht="15" customHeight="1">
      <c r="A286" s="1188" t="s">
        <v>1146</v>
      </c>
      <c r="B286" s="1188" t="s">
        <v>1147</v>
      </c>
      <c r="C286" s="1190">
        <v>1718.45</v>
      </c>
      <c r="D286" s="1190">
        <v>273.23</v>
      </c>
      <c r="E286" s="1190">
        <v>1991.68</v>
      </c>
      <c r="F286" s="1188" t="s">
        <v>1099</v>
      </c>
      <c r="G286" s="1188" t="s">
        <v>1147</v>
      </c>
      <c r="H286" s="1188" t="s">
        <v>3845</v>
      </c>
      <c r="I286" s="608"/>
      <c r="J286" s="608"/>
      <c r="K286" s="608"/>
      <c r="L286" s="609" t="str">
        <f t="shared" si="32"/>
        <v>6153</v>
      </c>
      <c r="M286" s="610" t="str">
        <f t="shared" si="33"/>
        <v>TELEPHONE ET TELEX</v>
      </c>
      <c r="N286" s="611">
        <f>+IF(OR($Q286=Parametres!$G$2,$Q286=Parametres!$G$3),I286,C286)</f>
        <v>1718.45</v>
      </c>
      <c r="O286" s="615">
        <f>+IF(OR($Q286=Parametres!$G$2,$Q286=Parametres!$G$3),J286,D286)</f>
        <v>273.23</v>
      </c>
      <c r="P286" s="611">
        <f>+IF(OR($Q286=Parametres!$G$2,$Q286=Parametres!$G$3),K286,E286)</f>
        <v>1991.68</v>
      </c>
      <c r="Q286" s="610" t="str">
        <f t="shared" si="34"/>
        <v>7-Dépenses</v>
      </c>
      <c r="R286" s="609" t="str">
        <f t="shared" si="35"/>
        <v>6153</v>
      </c>
      <c r="S286" s="610" t="str">
        <f t="shared" si="36"/>
        <v>_</v>
      </c>
      <c r="T286" s="612" t="str">
        <f>+VLOOKUP($L286,Data_Validation!$A:$D,1,0)</f>
        <v>6153</v>
      </c>
      <c r="U286" s="612" t="str">
        <f>+VLOOKUP($L286,Data_Validation!$A:$D,3,0)</f>
        <v>Véhicules neufs</v>
      </c>
      <c r="V286" s="612" t="str">
        <f>+VLOOKUP($L286,Data_Validation!$A:$D,4,0)</f>
        <v>Téléphone</v>
      </c>
      <c r="W286" s="612" t="str">
        <f>+VLOOKUP($L286,Data_Validation!$A:$E,5,0)</f>
        <v>$</v>
      </c>
      <c r="X286" s="612">
        <f>+VLOOKUP($L286,Data_Validation!$A:$F,6,0)</f>
        <v>0</v>
      </c>
    </row>
    <row r="287" spans="1:24" ht="15.75" customHeight="1">
      <c r="A287" s="1188" t="s">
        <v>1148</v>
      </c>
      <c r="B287" s="1188" t="s">
        <v>1149</v>
      </c>
      <c r="C287" s="1190">
        <v>1061.31</v>
      </c>
      <c r="D287" s="1190">
        <v>18.850000000000001</v>
      </c>
      <c r="E287" s="1190">
        <v>1080.1600000000001</v>
      </c>
      <c r="F287" s="1188" t="s">
        <v>1099</v>
      </c>
      <c r="G287" s="1188" t="s">
        <v>1149</v>
      </c>
      <c r="H287" s="1188" t="s">
        <v>3845</v>
      </c>
      <c r="I287" s="608"/>
      <c r="J287" s="608"/>
      <c r="K287" s="608"/>
      <c r="L287" s="609" t="str">
        <f t="shared" si="32"/>
        <v>6155</v>
      </c>
      <c r="M287" s="610" t="str">
        <f t="shared" si="33"/>
        <v>DEPENSES DIVERS</v>
      </c>
      <c r="N287" s="611">
        <f>+IF(OR($Q287=Parametres!$G$2,$Q287=Parametres!$G$3),I287,C287)</f>
        <v>1061.31</v>
      </c>
      <c r="O287" s="611">
        <f>+IF(OR($Q287=Parametres!$G$2,$Q287=Parametres!$G$3),J287,D287)</f>
        <v>18.850000000000001</v>
      </c>
      <c r="P287" s="611">
        <f>+IF(OR($Q287=Parametres!$G$2,$Q287=Parametres!$G$3),K287,E287)</f>
        <v>1080.1600000000001</v>
      </c>
      <c r="Q287" s="610" t="str">
        <f t="shared" si="34"/>
        <v>7-Dépenses</v>
      </c>
      <c r="R287" s="609" t="str">
        <f t="shared" si="35"/>
        <v>6155</v>
      </c>
      <c r="S287" s="610" t="str">
        <f t="shared" si="36"/>
        <v>_</v>
      </c>
      <c r="T287" s="612" t="str">
        <f>+VLOOKUP($L287,Data_Validation!$A:$D,1,0)</f>
        <v>6155</v>
      </c>
      <c r="U287" s="612" t="str">
        <f>+VLOOKUP($L287,Data_Validation!$A:$D,3,0)</f>
        <v>Véhicules neufs</v>
      </c>
      <c r="V287" s="612" t="str">
        <f>+VLOOKUP($L287,Data_Validation!$A:$D,4,0)</f>
        <v>Divers</v>
      </c>
      <c r="W287" s="612" t="str">
        <f>+VLOOKUP($L287,Data_Validation!$A:$E,5,0)</f>
        <v>$</v>
      </c>
      <c r="X287" s="612">
        <f>+VLOOKUP($L287,Data_Validation!$A:$F,6,0)</f>
        <v>0</v>
      </c>
    </row>
    <row r="288" spans="1:24" ht="15" customHeight="1">
      <c r="A288" s="1188" t="s">
        <v>1150</v>
      </c>
      <c r="B288" s="1188" t="s">
        <v>1151</v>
      </c>
      <c r="C288" s="1190">
        <v>7306.45</v>
      </c>
      <c r="D288" s="1190">
        <v>462.42</v>
      </c>
      <c r="E288" s="1190">
        <v>7768.87</v>
      </c>
      <c r="F288" s="1188" t="s">
        <v>1099</v>
      </c>
      <c r="G288" s="1188" t="s">
        <v>1151</v>
      </c>
      <c r="H288" s="1188" t="s">
        <v>3845</v>
      </c>
      <c r="I288" s="619"/>
      <c r="J288" s="619"/>
      <c r="K288" s="619"/>
      <c r="L288" s="609" t="str">
        <f t="shared" si="32"/>
        <v>6156</v>
      </c>
      <c r="M288" s="610" t="str">
        <f t="shared" si="33"/>
        <v>FRAIS REPRESENTATION - NEUF</v>
      </c>
      <c r="N288" s="611">
        <f>+IF(OR($Q288=Parametres!$G$2,$Q288=Parametres!$G$3),I288,C288)</f>
        <v>7306.45</v>
      </c>
      <c r="O288" s="611">
        <f>+IF(OR($Q288=Parametres!$G$2,$Q288=Parametres!$G$3),J288,D288)</f>
        <v>462.42</v>
      </c>
      <c r="P288" s="611">
        <f>+IF(OR($Q288=Parametres!$G$2,$Q288=Parametres!$G$3),K288,E288)</f>
        <v>7768.87</v>
      </c>
      <c r="Q288" s="610" t="str">
        <f t="shared" si="34"/>
        <v>7-Dépenses</v>
      </c>
      <c r="R288" s="609" t="str">
        <f t="shared" si="35"/>
        <v>6156</v>
      </c>
      <c r="S288" s="610" t="str">
        <f t="shared" si="36"/>
        <v>_</v>
      </c>
      <c r="T288" s="612" t="str">
        <f>+VLOOKUP($L288,Data_Validation!$A:$D,1,0)</f>
        <v>6156</v>
      </c>
      <c r="U288" s="612" t="str">
        <f>+VLOOKUP($L288,Data_Validation!$A:$D,3,0)</f>
        <v>Véhicules neufs</v>
      </c>
      <c r="V288" s="612" t="str">
        <f>+VLOOKUP($L288,Data_Validation!$A:$D,4,0)</f>
        <v>Frais de déplacement</v>
      </c>
      <c r="W288" s="612" t="str">
        <f>+VLOOKUP($L288,Data_Validation!$A:$E,5,0)</f>
        <v>$</v>
      </c>
      <c r="X288" s="612">
        <f>+VLOOKUP($L288,Data_Validation!$A:$F,6,0)</f>
        <v>0</v>
      </c>
    </row>
    <row r="289" spans="1:24" ht="15" customHeight="1">
      <c r="A289" s="1188" t="s">
        <v>1152</v>
      </c>
      <c r="B289" s="1188" t="s">
        <v>3332</v>
      </c>
      <c r="C289" s="1190">
        <v>25811.39</v>
      </c>
      <c r="D289" s="1190">
        <v>4203.97</v>
      </c>
      <c r="E289" s="1190">
        <v>30015.360000000001</v>
      </c>
      <c r="F289" s="1188" t="s">
        <v>1099</v>
      </c>
      <c r="G289" s="1188" t="s">
        <v>1153</v>
      </c>
      <c r="H289" s="1188" t="s">
        <v>3845</v>
      </c>
      <c r="I289" s="626"/>
      <c r="J289" s="607"/>
      <c r="K289" s="626"/>
      <c r="L289" s="609" t="str">
        <f t="shared" si="32"/>
        <v>6157</v>
      </c>
      <c r="M289" s="610" t="str">
        <f t="shared" si="33"/>
        <v>FRAIS BANCAIRES - NEUF</v>
      </c>
      <c r="N289" s="611">
        <f>+IF(OR($Q289=Parametres!$G$2,$Q289=Parametres!$G$3),I289,C289)</f>
        <v>25811.39</v>
      </c>
      <c r="O289" s="611">
        <f>+IF(OR($Q289=Parametres!$G$2,$Q289=Parametres!$G$3),J289,D289)</f>
        <v>4203.97</v>
      </c>
      <c r="P289" s="611">
        <f>+IF(OR($Q289=Parametres!$G$2,$Q289=Parametres!$G$3),K289,E289)</f>
        <v>30015.360000000001</v>
      </c>
      <c r="Q289" s="610" t="str">
        <f t="shared" si="34"/>
        <v>7-Dépenses</v>
      </c>
      <c r="R289" s="609" t="str">
        <f t="shared" si="35"/>
        <v>615</v>
      </c>
      <c r="S289" s="610" t="str">
        <f t="shared" si="36"/>
        <v>_</v>
      </c>
      <c r="T289" s="612" t="str">
        <f>+VLOOKUP($L289,Data_Validation!$A:$D,1,0)</f>
        <v>6157</v>
      </c>
      <c r="U289" s="612" t="str">
        <f>+VLOOKUP($L289,Data_Validation!$A:$D,3,0)</f>
        <v>Véhicules neufs</v>
      </c>
      <c r="V289" s="612" t="str">
        <f>+VLOOKUP($L289,Data_Validation!$A:$D,4,0)</f>
        <v>Frais bancaires</v>
      </c>
      <c r="W289" s="612" t="str">
        <f>+VLOOKUP($L289,Data_Validation!$A:$E,5,0)</f>
        <v>$</v>
      </c>
      <c r="X289" s="612">
        <f>+VLOOKUP($L289,Data_Validation!$A:$F,6,0)</f>
        <v>0</v>
      </c>
    </row>
    <row r="290" spans="1:24" ht="15" customHeight="1">
      <c r="A290" s="1188" t="s">
        <v>1154</v>
      </c>
      <c r="B290" s="1188" t="s">
        <v>1155</v>
      </c>
      <c r="C290" s="1190">
        <v>28179.24</v>
      </c>
      <c r="D290" s="1190">
        <v>3731.26</v>
      </c>
      <c r="E290" s="1190">
        <v>31910.5</v>
      </c>
      <c r="F290" s="1188" t="s">
        <v>1099</v>
      </c>
      <c r="G290" s="1188" t="s">
        <v>1155</v>
      </c>
      <c r="H290" s="1188" t="s">
        <v>3845</v>
      </c>
      <c r="I290" s="608"/>
      <c r="J290" s="608"/>
      <c r="K290" s="608"/>
      <c r="L290" s="609" t="str">
        <f t="shared" si="32"/>
        <v>6159</v>
      </c>
      <c r="M290" s="610" t="str">
        <f t="shared" si="33"/>
        <v>SERVICE EXTERIEUR</v>
      </c>
      <c r="N290" s="611">
        <f>+IF(OR($Q290=Parametres!$G$2,$Q290=Parametres!$G$3),I290,C290)</f>
        <v>28179.24</v>
      </c>
      <c r="O290" s="611">
        <f>+IF(OR($Q290=Parametres!$G$2,$Q290=Parametres!$G$3),J290,D290)</f>
        <v>3731.26</v>
      </c>
      <c r="P290" s="611">
        <f>+IF(OR($Q290=Parametres!$G$2,$Q290=Parametres!$G$3),K290,E290)</f>
        <v>31910.5</v>
      </c>
      <c r="Q290" s="610" t="str">
        <f t="shared" si="34"/>
        <v>7-Dépenses</v>
      </c>
      <c r="R290" s="609" t="str">
        <f t="shared" si="35"/>
        <v>6159</v>
      </c>
      <c r="S290" s="610" t="str">
        <f t="shared" si="36"/>
        <v>_</v>
      </c>
      <c r="T290" s="612" t="str">
        <f>+VLOOKUP($L290,Data_Validation!$A:$D,1,0)</f>
        <v>6159</v>
      </c>
      <c r="U290" s="612" t="str">
        <f>+VLOOKUP($L290,Data_Validation!$A:$D,3,0)</f>
        <v>Véhicules neufs</v>
      </c>
      <c r="V290" s="612" t="str">
        <f>+VLOOKUP($L290,Data_Validation!$A:$D,4,0)</f>
        <v>Services extérieurs</v>
      </c>
      <c r="W290" s="612" t="str">
        <f>+VLOOKUP($L290,Data_Validation!$A:$E,5,0)</f>
        <v>$</v>
      </c>
      <c r="X290" s="612">
        <f>+VLOOKUP($L290,Data_Validation!$A:$F,6,0)</f>
        <v>0</v>
      </c>
    </row>
    <row r="291" spans="1:24" ht="15.75" customHeight="1">
      <c r="A291" s="1188" t="s">
        <v>1156</v>
      </c>
      <c r="B291" s="1188" t="s">
        <v>1157</v>
      </c>
      <c r="C291" s="1190">
        <v>18272.64</v>
      </c>
      <c r="D291" s="1190">
        <v>3045.44</v>
      </c>
      <c r="E291" s="1190">
        <v>21318.080000000002</v>
      </c>
      <c r="F291" s="1188" t="s">
        <v>1099</v>
      </c>
      <c r="G291" s="1188" t="s">
        <v>1157</v>
      </c>
      <c r="H291" s="1188" t="s">
        <v>3845</v>
      </c>
      <c r="I291" s="607"/>
      <c r="J291" s="607"/>
      <c r="K291" s="626"/>
      <c r="L291" s="609" t="str">
        <f t="shared" si="32"/>
        <v>6161</v>
      </c>
      <c r="M291" s="610" t="str">
        <f t="shared" si="33"/>
        <v>DEPRECIATION EQUIP. &amp; FIXTURES</v>
      </c>
      <c r="N291" s="611">
        <f>+IF(OR($Q291=Parametres!$G$2,$Q291=Parametres!$G$3),I291,C291)</f>
        <v>18272.64</v>
      </c>
      <c r="O291" s="615">
        <f>+IF(OR($Q291=Parametres!$G$2,$Q291=Parametres!$G$3),J291,D291)</f>
        <v>3045.44</v>
      </c>
      <c r="P291" s="611">
        <f>+IF(OR($Q291=Parametres!$G$2,$Q291=Parametres!$G$3),K291,E291)</f>
        <v>21318.080000000002</v>
      </c>
      <c r="Q291" s="610" t="str">
        <f t="shared" si="34"/>
        <v>7-Dépenses</v>
      </c>
      <c r="R291" s="609" t="str">
        <f t="shared" si="35"/>
        <v>6161</v>
      </c>
      <c r="S291" s="610" t="str">
        <f t="shared" si="36"/>
        <v>_</v>
      </c>
      <c r="T291" s="612" t="str">
        <f>+VLOOKUP($L291,Data_Validation!$A:$D,1,0)</f>
        <v>6161</v>
      </c>
      <c r="U291" s="612" t="str">
        <f>+VLOOKUP($L291,Data_Validation!$A:$D,3,0)</f>
        <v>Véhicules neufs</v>
      </c>
      <c r="V291" s="612" t="str">
        <f>+VLOOKUP($L291,Data_Validation!$A:$D,4,0)</f>
        <v>Amortissement</v>
      </c>
      <c r="W291" s="612" t="str">
        <f>+VLOOKUP($L291,Data_Validation!$A:$E,5,0)</f>
        <v>$</v>
      </c>
      <c r="X291" s="612">
        <f>+VLOOKUP($L291,Data_Validation!$A:$F,6,0)</f>
        <v>0</v>
      </c>
    </row>
    <row r="292" spans="1:24" ht="15" customHeight="1">
      <c r="A292" s="1188" t="s">
        <v>1158</v>
      </c>
      <c r="B292" s="1188" t="s">
        <v>1159</v>
      </c>
      <c r="C292" s="1190">
        <v>14767.42</v>
      </c>
      <c r="D292" s="1190">
        <v>1326.32</v>
      </c>
      <c r="E292" s="1190">
        <v>16093.74</v>
      </c>
      <c r="F292" s="1188" t="s">
        <v>1099</v>
      </c>
      <c r="G292" s="1188" t="s">
        <v>1159</v>
      </c>
      <c r="H292" s="1188" t="s">
        <v>3845</v>
      </c>
      <c r="I292" s="608"/>
      <c r="J292" s="608"/>
      <c r="K292" s="608"/>
      <c r="L292" s="609" t="str">
        <f t="shared" si="32"/>
        <v>6181</v>
      </c>
      <c r="M292" s="610" t="str">
        <f t="shared" si="33"/>
        <v>ELECTRICITE CHAUFFAGE</v>
      </c>
      <c r="N292" s="611">
        <f>+IF(OR($Q292=Parametres!$G$2,$Q292=Parametres!$G$3),I292,C292)</f>
        <v>14767.42</v>
      </c>
      <c r="O292" s="611">
        <f>+IF(OR($Q292=Parametres!$G$2,$Q292=Parametres!$G$3),J292,D292)</f>
        <v>1326.32</v>
      </c>
      <c r="P292" s="611">
        <f>+IF(OR($Q292=Parametres!$G$2,$Q292=Parametres!$G$3),K292,E292)</f>
        <v>16093.74</v>
      </c>
      <c r="Q292" s="610" t="str">
        <f t="shared" si="34"/>
        <v>7-Dépenses</v>
      </c>
      <c r="R292" s="609" t="str">
        <f t="shared" si="35"/>
        <v>6181</v>
      </c>
      <c r="S292" s="610" t="str">
        <f t="shared" si="36"/>
        <v>_</v>
      </c>
      <c r="T292" s="612" t="str">
        <f>+VLOOKUP($L292,Data_Validation!$A:$D,1,0)</f>
        <v>6181</v>
      </c>
      <c r="U292" s="612" t="str">
        <f>+VLOOKUP($L292,Data_Validation!$A:$D,3,0)</f>
        <v>Véhicules neufs</v>
      </c>
      <c r="V292" s="612" t="str">
        <f>+VLOOKUP($L292,Data_Validation!$A:$D,4,0)</f>
        <v>Chauffage, éclairage</v>
      </c>
      <c r="W292" s="612" t="str">
        <f>+VLOOKUP($L292,Data_Validation!$A:$E,5,0)</f>
        <v>$</v>
      </c>
      <c r="X292" s="612">
        <f>+VLOOKUP($L292,Data_Validation!$A:$F,6,0)</f>
        <v>0</v>
      </c>
    </row>
    <row r="293" spans="1:24" ht="15" customHeight="1">
      <c r="A293" s="1188" t="s">
        <v>1160</v>
      </c>
      <c r="B293" s="1188" t="s">
        <v>1161</v>
      </c>
      <c r="C293" s="1190">
        <v>141920</v>
      </c>
      <c r="D293" s="1190">
        <v>25440</v>
      </c>
      <c r="E293" s="1190">
        <v>167360</v>
      </c>
      <c r="F293" s="1188" t="s">
        <v>1099</v>
      </c>
      <c r="G293" s="1188" t="s">
        <v>1161</v>
      </c>
      <c r="H293" s="1188" t="s">
        <v>3845</v>
      </c>
      <c r="I293" s="607"/>
      <c r="J293" s="607"/>
      <c r="K293" s="607"/>
      <c r="L293" s="609" t="str">
        <f t="shared" si="32"/>
        <v>6182</v>
      </c>
      <c r="M293" s="610" t="str">
        <f t="shared" si="33"/>
        <v>LOYER NEUFS</v>
      </c>
      <c r="N293" s="611">
        <f>+IF(OR($Q293=Parametres!$G$2,$Q293=Parametres!$G$3),I293,C293)</f>
        <v>141920</v>
      </c>
      <c r="O293" s="611">
        <f>+IF(OR($Q293=Parametres!$G$2,$Q293=Parametres!$G$3),J293,D293)</f>
        <v>25440</v>
      </c>
      <c r="P293" s="611">
        <f>+IF(OR($Q293=Parametres!$G$2,$Q293=Parametres!$G$3),K293,E293)</f>
        <v>167360</v>
      </c>
      <c r="Q293" s="610" t="str">
        <f t="shared" si="34"/>
        <v>7-Dépenses</v>
      </c>
      <c r="R293" s="609" t="str">
        <f t="shared" si="35"/>
        <v>6182</v>
      </c>
      <c r="S293" s="610" t="str">
        <f t="shared" si="36"/>
        <v>_</v>
      </c>
      <c r="T293" s="612" t="str">
        <f>+VLOOKUP($L293,Data_Validation!$A:$D,1,0)</f>
        <v>6182</v>
      </c>
      <c r="U293" s="612" t="str">
        <f>+VLOOKUP($L293,Data_Validation!$A:$D,3,0)</f>
        <v>Véhicules neufs</v>
      </c>
      <c r="V293" s="612" t="str">
        <f>+VLOOKUP($L293,Data_Validation!$A:$D,4,0)</f>
        <v>Loyer</v>
      </c>
      <c r="W293" s="612" t="str">
        <f>+VLOOKUP($L293,Data_Validation!$A:$E,5,0)</f>
        <v>$</v>
      </c>
      <c r="X293" s="612">
        <f>+VLOOKUP($L293,Data_Validation!$A:$F,6,0)</f>
        <v>0</v>
      </c>
    </row>
    <row r="294" spans="1:24" ht="15" customHeight="1">
      <c r="A294" s="1188" t="s">
        <v>1162</v>
      </c>
      <c r="B294" s="1188" t="s">
        <v>1163</v>
      </c>
      <c r="C294" s="1190">
        <v>7649.36</v>
      </c>
      <c r="D294" s="1190">
        <v>1280</v>
      </c>
      <c r="E294" s="1190">
        <v>8929.36</v>
      </c>
      <c r="F294" s="1188" t="s">
        <v>1099</v>
      </c>
      <c r="G294" s="1188" t="s">
        <v>1163</v>
      </c>
      <c r="H294" s="1188" t="s">
        <v>3845</v>
      </c>
      <c r="I294" s="607"/>
      <c r="J294" s="607"/>
      <c r="K294" s="607"/>
      <c r="L294" s="609" t="str">
        <f t="shared" si="32"/>
        <v>6186</v>
      </c>
      <c r="M294" s="610" t="str">
        <f t="shared" si="33"/>
        <v>ASSURANCE BATIMENT</v>
      </c>
      <c r="N294" s="611">
        <f>+IF(OR($Q294=Parametres!$G$2,$Q294=Parametres!$G$3),I294,C294)</f>
        <v>7649.36</v>
      </c>
      <c r="O294" s="611">
        <f>+IF(OR($Q294=Parametres!$G$2,$Q294=Parametres!$G$3),J294,D294)</f>
        <v>1280</v>
      </c>
      <c r="P294" s="611">
        <f>+IF(OR($Q294=Parametres!$G$2,$Q294=Parametres!$G$3),K294,E294)</f>
        <v>8929.36</v>
      </c>
      <c r="Q294" s="610" t="str">
        <f t="shared" si="34"/>
        <v>7-Dépenses</v>
      </c>
      <c r="R294" s="609" t="str">
        <f t="shared" si="35"/>
        <v>6186</v>
      </c>
      <c r="S294" s="610" t="str">
        <f t="shared" si="36"/>
        <v>_</v>
      </c>
      <c r="T294" s="612" t="str">
        <f>+VLOOKUP($L294,Data_Validation!$A:$D,1,0)</f>
        <v>6186</v>
      </c>
      <c r="U294" s="612" t="str">
        <f>+VLOOKUP($L294,Data_Validation!$A:$D,3,0)</f>
        <v>Véhicules neufs</v>
      </c>
      <c r="V294" s="612" t="str">
        <f>+VLOOKUP($L294,Data_Validation!$A:$D,4,0)</f>
        <v>Assurances</v>
      </c>
      <c r="W294" s="612" t="str">
        <f>+VLOOKUP($L294,Data_Validation!$A:$E,5,0)</f>
        <v>$</v>
      </c>
      <c r="X294" s="612">
        <f>+VLOOKUP($L294,Data_Validation!$A:$F,6,0)</f>
        <v>0</v>
      </c>
    </row>
    <row r="295" spans="1:24" ht="15" customHeight="1">
      <c r="A295" s="1188" t="s">
        <v>1164</v>
      </c>
      <c r="B295" s="1188" t="s">
        <v>1165</v>
      </c>
      <c r="C295" s="1190">
        <v>31680</v>
      </c>
      <c r="D295" s="1190">
        <v>5280</v>
      </c>
      <c r="E295" s="1190">
        <v>36960</v>
      </c>
      <c r="F295" s="1188" t="s">
        <v>1099</v>
      </c>
      <c r="G295" s="1188" t="s">
        <v>1165</v>
      </c>
      <c r="H295" s="1188" t="s">
        <v>3845</v>
      </c>
      <c r="I295" s="619"/>
      <c r="J295" s="619"/>
      <c r="K295" s="619"/>
      <c r="L295" s="609" t="str">
        <f t="shared" si="32"/>
        <v>6187</v>
      </c>
      <c r="M295" s="610" t="str">
        <f t="shared" si="33"/>
        <v>TAXE SUR PROPRIETE</v>
      </c>
      <c r="N295" s="611">
        <f>+IF(OR($Q295=Parametres!$G$2,$Q295=Parametres!$G$3),I295,C295)</f>
        <v>31680</v>
      </c>
      <c r="O295" s="611">
        <f>+IF(OR($Q295=Parametres!$G$2,$Q295=Parametres!$G$3),J295,D295)</f>
        <v>5280</v>
      </c>
      <c r="P295" s="611">
        <f>+IF(OR($Q295=Parametres!$G$2,$Q295=Parametres!$G$3),K295,E295)</f>
        <v>36960</v>
      </c>
      <c r="Q295" s="610" t="str">
        <f t="shared" si="34"/>
        <v>7-Dépenses</v>
      </c>
      <c r="R295" s="609" t="str">
        <f t="shared" si="35"/>
        <v>6187</v>
      </c>
      <c r="S295" s="610" t="str">
        <f t="shared" si="36"/>
        <v>_</v>
      </c>
      <c r="T295" s="612" t="str">
        <f>+VLOOKUP($L295,Data_Validation!$A:$D,1,0)</f>
        <v>6187</v>
      </c>
      <c r="U295" s="612" t="str">
        <f>+VLOOKUP($L295,Data_Validation!$A:$D,3,0)</f>
        <v>Véhicules neufs</v>
      </c>
      <c r="V295" s="612" t="str">
        <f>+VLOOKUP($L295,Data_Validation!$A:$D,4,0)</f>
        <v>Taxes foncières</v>
      </c>
      <c r="W295" s="612" t="str">
        <f>+VLOOKUP($L295,Data_Validation!$A:$E,5,0)</f>
        <v>$</v>
      </c>
      <c r="X295" s="612">
        <f>+VLOOKUP($L295,Data_Validation!$A:$F,6,0)</f>
        <v>0</v>
      </c>
    </row>
    <row r="296" spans="1:24" ht="15" customHeight="1">
      <c r="A296" s="1188" t="s">
        <v>1166</v>
      </c>
      <c r="B296" s="1188" t="s">
        <v>1167</v>
      </c>
      <c r="C296" s="1190">
        <v>2880</v>
      </c>
      <c r="D296" s="1190">
        <v>480</v>
      </c>
      <c r="E296" s="1190">
        <v>3360</v>
      </c>
      <c r="F296" s="1188" t="s">
        <v>1099</v>
      </c>
      <c r="G296" s="1188" t="s">
        <v>1167</v>
      </c>
      <c r="H296" s="1188" t="s">
        <v>3845</v>
      </c>
      <c r="I296" s="608"/>
      <c r="J296" s="608"/>
      <c r="K296" s="608"/>
      <c r="L296" s="609" t="str">
        <f t="shared" si="32"/>
        <v>6193</v>
      </c>
      <c r="M296" s="610" t="str">
        <f t="shared" si="33"/>
        <v>TAXES AUTRES PERMIS LICENCE</v>
      </c>
      <c r="N296" s="611">
        <f>+IF(OR($Q296=Parametres!$G$2,$Q296=Parametres!$G$3),I296,C296)</f>
        <v>2880</v>
      </c>
      <c r="O296" s="611">
        <f>+IF(OR($Q296=Parametres!$G$2,$Q296=Parametres!$G$3),J296,D296)</f>
        <v>480</v>
      </c>
      <c r="P296" s="611">
        <f>+IF(OR($Q296=Parametres!$G$2,$Q296=Parametres!$G$3),K296,E296)</f>
        <v>3360</v>
      </c>
      <c r="Q296" s="610" t="str">
        <f t="shared" si="34"/>
        <v>7-Dépenses</v>
      </c>
      <c r="R296" s="609" t="str">
        <f t="shared" si="35"/>
        <v>6193</v>
      </c>
      <c r="S296" s="610" t="str">
        <f t="shared" si="36"/>
        <v>_</v>
      </c>
      <c r="T296" s="612" t="str">
        <f>+VLOOKUP($L296,Data_Validation!$A:$D,1,0)</f>
        <v>6193</v>
      </c>
      <c r="U296" s="612" t="str">
        <f>+VLOOKUP($L296,Data_Validation!$A:$D,3,0)</f>
        <v>Véhicules neufs</v>
      </c>
      <c r="V296" s="612" t="str">
        <f>+VLOOKUP($L296,Data_Validation!$A:$D,4,0)</f>
        <v>Taxes d`affaires</v>
      </c>
      <c r="W296" s="612" t="str">
        <f>+VLOOKUP($L296,Data_Validation!$A:$E,5,0)</f>
        <v>$</v>
      </c>
      <c r="X296" s="612">
        <f>+VLOOKUP($L296,Data_Validation!$A:$F,6,0)</f>
        <v>0</v>
      </c>
    </row>
    <row r="297" spans="1:24" ht="15.75" customHeight="1">
      <c r="A297" s="1188" t="s">
        <v>1168</v>
      </c>
      <c r="B297" s="1188" t="s">
        <v>1169</v>
      </c>
      <c r="C297" s="1190">
        <v>21148.79</v>
      </c>
      <c r="D297" s="1190">
        <v>725.44</v>
      </c>
      <c r="E297" s="1190">
        <v>21874.23</v>
      </c>
      <c r="F297" s="1188" t="s">
        <v>1099</v>
      </c>
      <c r="G297" s="1188" t="s">
        <v>1169</v>
      </c>
      <c r="H297" s="1188" t="s">
        <v>3845</v>
      </c>
      <c r="I297" s="619"/>
      <c r="J297" s="619"/>
      <c r="K297" s="619"/>
      <c r="L297" s="609" t="str">
        <f t="shared" si="32"/>
        <v>6194</v>
      </c>
      <c r="M297" s="610" t="str">
        <f t="shared" si="33"/>
        <v>HONORAIRES PROFESSIONNELS</v>
      </c>
      <c r="N297" s="611">
        <f>+IF(OR($Q297=Parametres!$G$2,$Q297=Parametres!$G$3),I297,C297)</f>
        <v>21148.79</v>
      </c>
      <c r="O297" s="611">
        <f>+IF(OR($Q297=Parametres!$G$2,$Q297=Parametres!$G$3),J297,D297)</f>
        <v>725.44</v>
      </c>
      <c r="P297" s="611">
        <f>+IF(OR($Q297=Parametres!$G$2,$Q297=Parametres!$G$3),K297,E297)</f>
        <v>21874.23</v>
      </c>
      <c r="Q297" s="610" t="str">
        <f t="shared" si="34"/>
        <v>7-Dépenses</v>
      </c>
      <c r="R297" s="609" t="str">
        <f t="shared" si="35"/>
        <v>6194</v>
      </c>
      <c r="S297" s="610" t="str">
        <f t="shared" si="36"/>
        <v>_</v>
      </c>
      <c r="T297" s="612" t="str">
        <f>+VLOOKUP($L297,Data_Validation!$A:$D,1,0)</f>
        <v>6194</v>
      </c>
      <c r="U297" s="612" t="str">
        <f>+VLOOKUP($L297,Data_Validation!$A:$D,3,0)</f>
        <v>Véhicules neufs</v>
      </c>
      <c r="V297" s="612" t="str">
        <f>+VLOOKUP($L297,Data_Validation!$A:$D,4,0)</f>
        <v>Honoraires</v>
      </c>
      <c r="W297" s="612" t="str">
        <f>+VLOOKUP($L297,Data_Validation!$A:$E,5,0)</f>
        <v>$</v>
      </c>
      <c r="X297" s="612">
        <f>+VLOOKUP($L297,Data_Validation!$A:$F,6,0)</f>
        <v>0</v>
      </c>
    </row>
    <row r="298" spans="1:24" ht="15" customHeight="1">
      <c r="A298" s="1188" t="s">
        <v>1170</v>
      </c>
      <c r="B298" s="1188" t="s">
        <v>2264</v>
      </c>
      <c r="C298" s="1190">
        <v>73388.58</v>
      </c>
      <c r="D298" s="1190">
        <v>25275.97</v>
      </c>
      <c r="E298" s="1190">
        <v>98664.55</v>
      </c>
      <c r="F298" s="1188" t="s">
        <v>1099</v>
      </c>
      <c r="G298" s="1188" t="s">
        <v>1100</v>
      </c>
      <c r="H298" s="1188" t="s">
        <v>3845</v>
      </c>
      <c r="I298" s="607"/>
      <c r="J298" s="607"/>
      <c r="K298" s="607"/>
      <c r="L298" s="609" t="str">
        <f t="shared" si="32"/>
        <v>6201</v>
      </c>
      <c r="M298" s="610" t="str">
        <f t="shared" si="33"/>
        <v>COMMISSION USAGES</v>
      </c>
      <c r="N298" s="611">
        <f>+IF(OR($Q298=Parametres!$G$2,$Q298=Parametres!$G$3),I298,C298)</f>
        <v>73388.58</v>
      </c>
      <c r="O298" s="611">
        <f>+IF(OR($Q298=Parametres!$G$2,$Q298=Parametres!$G$3),J298,D298)</f>
        <v>25275.97</v>
      </c>
      <c r="P298" s="611">
        <f>+IF(OR($Q298=Parametres!$G$2,$Q298=Parametres!$G$3),K298,E298)</f>
        <v>98664.55</v>
      </c>
      <c r="Q298" s="610" t="str">
        <f t="shared" si="34"/>
        <v>7-Dépenses</v>
      </c>
      <c r="R298" s="609" t="str">
        <f t="shared" si="35"/>
        <v>6101</v>
      </c>
      <c r="S298" s="610" t="str">
        <f t="shared" si="36"/>
        <v>_</v>
      </c>
      <c r="T298" s="612" t="str">
        <f>+VLOOKUP($L298,Data_Validation!$A:$D,1,0)</f>
        <v>6201</v>
      </c>
      <c r="U298" s="612" t="str">
        <f>+VLOOKUP($L298,Data_Validation!$A:$D,3,0)</f>
        <v>Véhicules usagés</v>
      </c>
      <c r="V298" s="612" t="str">
        <f>+VLOOKUP($L298,Data_Validation!$A:$D,4,0)</f>
        <v>Comm. vendeurs</v>
      </c>
      <c r="W298" s="612" t="str">
        <f>+VLOOKUP($L298,Data_Validation!$A:$E,5,0)</f>
        <v>$</v>
      </c>
      <c r="X298" s="612">
        <f>+VLOOKUP($L298,Data_Validation!$A:$F,6,0)</f>
        <v>0</v>
      </c>
    </row>
    <row r="299" spans="1:24" ht="15" customHeight="1">
      <c r="A299" s="1188" t="s">
        <v>1101</v>
      </c>
      <c r="B299" s="1188" t="s">
        <v>2267</v>
      </c>
      <c r="C299" s="1190">
        <v>64884.79</v>
      </c>
      <c r="D299" s="1190">
        <v>18137.96</v>
      </c>
      <c r="E299" s="1190">
        <v>83022.75</v>
      </c>
      <c r="F299" s="1188" t="s">
        <v>1099</v>
      </c>
      <c r="G299" s="1188" t="s">
        <v>1102</v>
      </c>
      <c r="H299" s="1188" t="s">
        <v>3845</v>
      </c>
      <c r="I299" s="607"/>
      <c r="J299" s="607"/>
      <c r="K299" s="607"/>
      <c r="L299" s="609" t="str">
        <f t="shared" si="32"/>
        <v>6202</v>
      </c>
      <c r="M299" s="610" t="str">
        <f t="shared" si="33"/>
        <v>RENUMERATION F &amp; I</v>
      </c>
      <c r="N299" s="611">
        <f>+IF(OR($Q299=Parametres!$G$2,$Q299=Parametres!$G$3),I299,C299)</f>
        <v>64884.79</v>
      </c>
      <c r="O299" s="611">
        <f>+IF(OR($Q299=Parametres!$G$2,$Q299=Parametres!$G$3),J299,D299)</f>
        <v>18137.96</v>
      </c>
      <c r="P299" s="611">
        <f>+IF(OR($Q299=Parametres!$G$2,$Q299=Parametres!$G$3),K299,E299)</f>
        <v>83022.75</v>
      </c>
      <c r="Q299" s="610" t="str">
        <f t="shared" si="34"/>
        <v>7-Dépenses</v>
      </c>
      <c r="R299" s="609" t="str">
        <f t="shared" si="35"/>
        <v>6102</v>
      </c>
      <c r="S299" s="610" t="str">
        <f t="shared" si="36"/>
        <v>_</v>
      </c>
      <c r="T299" s="612" t="str">
        <f>+VLOOKUP($L299,Data_Validation!$A:$D,1,0)</f>
        <v>6202</v>
      </c>
      <c r="U299" s="612" t="str">
        <f>+VLOOKUP($L299,Data_Validation!$A:$D,3,0)</f>
        <v>Véhicules usagés</v>
      </c>
      <c r="V299" s="612" t="str">
        <f>+VLOOKUP($L299,Data_Validation!$A:$D,4,0)</f>
        <v>Comm. F&amp;I</v>
      </c>
      <c r="W299" s="612" t="str">
        <f>+VLOOKUP($L299,Data_Validation!$A:$E,5,0)</f>
        <v>$</v>
      </c>
      <c r="X299" s="612">
        <f>+VLOOKUP($L299,Data_Validation!$A:$F,6,0)</f>
        <v>0</v>
      </c>
    </row>
    <row r="300" spans="1:24" ht="15" customHeight="1">
      <c r="A300" s="1188" t="s">
        <v>1171</v>
      </c>
      <c r="B300" s="1188" t="s">
        <v>2270</v>
      </c>
      <c r="C300" s="1190">
        <v>11615.38</v>
      </c>
      <c r="D300" s="1190">
        <v>1910.79</v>
      </c>
      <c r="E300" s="1190">
        <v>13526.17</v>
      </c>
      <c r="F300" s="1188" t="s">
        <v>1099</v>
      </c>
      <c r="G300" s="1188" t="s">
        <v>1104</v>
      </c>
      <c r="H300" s="1188" t="s">
        <v>3845</v>
      </c>
      <c r="I300" s="607"/>
      <c r="J300" s="607"/>
      <c r="K300" s="626"/>
      <c r="L300" s="609" t="str">
        <f t="shared" si="32"/>
        <v>6203</v>
      </c>
      <c r="M300" s="610" t="str">
        <f t="shared" si="33"/>
        <v>RELAT. A LA CLIENTELLE &amp; AJUST</v>
      </c>
      <c r="N300" s="611">
        <f>+IF(OR($Q300=Parametres!$G$2,$Q300=Parametres!$G$3),I300,C300)</f>
        <v>11615.38</v>
      </c>
      <c r="O300" s="611">
        <f>+IF(OR($Q300=Parametres!$G$2,$Q300=Parametres!$G$3),J300,D300)</f>
        <v>1910.79</v>
      </c>
      <c r="P300" s="611">
        <f>+IF(OR($Q300=Parametres!$G$2,$Q300=Parametres!$G$3),K300,E300)</f>
        <v>13526.17</v>
      </c>
      <c r="Q300" s="610" t="str">
        <f t="shared" si="34"/>
        <v>7-Dépenses</v>
      </c>
      <c r="R300" s="609" t="str">
        <f t="shared" si="35"/>
        <v>6103</v>
      </c>
      <c r="S300" s="610" t="str">
        <f t="shared" si="36"/>
        <v>_</v>
      </c>
      <c r="T300" s="612" t="str">
        <f>+VLOOKUP($L300,Data_Validation!$A:$D,1,0)</f>
        <v>6203</v>
      </c>
      <c r="U300" s="612" t="str">
        <f>+VLOOKUP($L300,Data_Validation!$A:$D,3,0)</f>
        <v>Véhicules usagés</v>
      </c>
      <c r="V300" s="612" t="str">
        <f>+VLOOKUP($L300,Data_Validation!$A:$D,4,0)</f>
        <v>Service gratuit 1</v>
      </c>
      <c r="W300" s="612" t="str">
        <f>+VLOOKUP($L300,Data_Validation!$A:$E,5,0)</f>
        <v>$</v>
      </c>
      <c r="X300" s="612">
        <f>+VLOOKUP($L300,Data_Validation!$A:$F,6,0)</f>
        <v>0</v>
      </c>
    </row>
    <row r="301" spans="1:24" ht="15.75" customHeight="1">
      <c r="A301" s="1188" t="s">
        <v>1105</v>
      </c>
      <c r="B301" s="1188" t="s">
        <v>2273</v>
      </c>
      <c r="C301" s="1190">
        <v>22711.040000000001</v>
      </c>
      <c r="D301" s="1190">
        <v>3613.63</v>
      </c>
      <c r="E301" s="1190">
        <v>26324.67</v>
      </c>
      <c r="F301" s="1188" t="s">
        <v>1099</v>
      </c>
      <c r="G301" s="1188" t="s">
        <v>1106</v>
      </c>
      <c r="H301" s="1188" t="s">
        <v>3845</v>
      </c>
      <c r="I301" s="608"/>
      <c r="J301" s="608"/>
      <c r="K301" s="608"/>
      <c r="L301" s="609" t="str">
        <f t="shared" si="32"/>
        <v>6206</v>
      </c>
      <c r="M301" s="610" t="str">
        <f t="shared" si="33"/>
        <v>ENTRETIEN DES STOCKS</v>
      </c>
      <c r="N301" s="611">
        <f>+IF(OR($Q301=Parametres!$G$2,$Q301=Parametres!$G$3),I301,C301)</f>
        <v>22711.040000000001</v>
      </c>
      <c r="O301" s="611">
        <f>+IF(OR($Q301=Parametres!$G$2,$Q301=Parametres!$G$3),J301,D301)</f>
        <v>3613.63</v>
      </c>
      <c r="P301" s="611">
        <f>+IF(OR($Q301=Parametres!$G$2,$Q301=Parametres!$G$3),K301,E301)</f>
        <v>26324.67</v>
      </c>
      <c r="Q301" s="610" t="str">
        <f t="shared" si="34"/>
        <v>7-Dépenses</v>
      </c>
      <c r="R301" s="609" t="str">
        <f t="shared" si="35"/>
        <v>6106</v>
      </c>
      <c r="S301" s="610" t="str">
        <f t="shared" si="36"/>
        <v>_</v>
      </c>
      <c r="T301" s="612" t="str">
        <f>+VLOOKUP($L301,Data_Validation!$A:$D,1,0)</f>
        <v>6206</v>
      </c>
      <c r="U301" s="612" t="str">
        <f>+VLOOKUP($L301,Data_Validation!$A:$D,3,0)</f>
        <v>Véhicules usagés</v>
      </c>
      <c r="V301" s="612" t="str">
        <f>+VLOOKUP($L301,Data_Validation!$A:$D,4,0)</f>
        <v>Entretien stock</v>
      </c>
      <c r="W301" s="612" t="str">
        <f>+VLOOKUP($L301,Data_Validation!$A:$E,5,0)</f>
        <v>$</v>
      </c>
      <c r="X301" s="612">
        <f>+VLOOKUP($L301,Data_Validation!$A:$F,6,0)</f>
        <v>0</v>
      </c>
    </row>
    <row r="302" spans="1:24" ht="15" customHeight="1">
      <c r="A302" s="1188" t="s">
        <v>1107</v>
      </c>
      <c r="B302" s="1188" t="s">
        <v>2276</v>
      </c>
      <c r="C302" s="1190">
        <v>7712.12</v>
      </c>
      <c r="D302" s="1190">
        <v>2232.2399999999998</v>
      </c>
      <c r="E302" s="1190">
        <v>9944.36</v>
      </c>
      <c r="F302" s="1188" t="s">
        <v>1099</v>
      </c>
      <c r="G302" s="1188" t="s">
        <v>1108</v>
      </c>
      <c r="H302" s="1188" t="s">
        <v>3845</v>
      </c>
      <c r="I302" s="619"/>
      <c r="J302" s="619"/>
      <c r="K302" s="619"/>
      <c r="L302" s="609" t="str">
        <f t="shared" si="32"/>
        <v>6207</v>
      </c>
      <c r="M302" s="610" t="str">
        <f t="shared" si="33"/>
        <v>INTERET-PLAN DE FINANCEMENT</v>
      </c>
      <c r="N302" s="611">
        <f>+IF(OR($Q302=Parametres!$G$2,$Q302=Parametres!$G$3),I302,C302)</f>
        <v>7712.12</v>
      </c>
      <c r="O302" s="611">
        <f>+IF(OR($Q302=Parametres!$G$2,$Q302=Parametres!$G$3),J302,D302)</f>
        <v>2232.2399999999998</v>
      </c>
      <c r="P302" s="611">
        <f>+IF(OR($Q302=Parametres!$G$2,$Q302=Parametres!$G$3),K302,E302)</f>
        <v>9944.36</v>
      </c>
      <c r="Q302" s="610" t="str">
        <f t="shared" si="34"/>
        <v>7-Dépenses</v>
      </c>
      <c r="R302" s="609" t="str">
        <f t="shared" si="35"/>
        <v>6107</v>
      </c>
      <c r="S302" s="610" t="str">
        <f t="shared" si="36"/>
        <v>_</v>
      </c>
      <c r="T302" s="612" t="str">
        <f>+VLOOKUP($L302,Data_Validation!$A:$D,1,0)</f>
        <v>6207</v>
      </c>
      <c r="U302" s="612" t="str">
        <f>+VLOOKUP($L302,Data_Validation!$A:$D,3,0)</f>
        <v>Véhicules usagés</v>
      </c>
      <c r="V302" s="612" t="str">
        <f>+VLOOKUP($L302,Data_Validation!$A:$D,4,0)</f>
        <v>Intérêt de gros</v>
      </c>
      <c r="W302" s="612" t="str">
        <f>+VLOOKUP($L302,Data_Validation!$A:$E,5,0)</f>
        <v>$</v>
      </c>
      <c r="X302" s="612">
        <f>+VLOOKUP($L302,Data_Validation!$A:$F,6,0)</f>
        <v>0</v>
      </c>
    </row>
    <row r="303" spans="1:24" ht="15" customHeight="1">
      <c r="A303" s="1188" t="s">
        <v>1109</v>
      </c>
      <c r="B303" s="1188" t="s">
        <v>2279</v>
      </c>
      <c r="C303" s="1190">
        <v>-6097.28</v>
      </c>
      <c r="D303" s="1190">
        <v>-1442.55</v>
      </c>
      <c r="E303" s="1190">
        <v>-7539.83</v>
      </c>
      <c r="F303" s="1188" t="s">
        <v>1099</v>
      </c>
      <c r="G303" s="1188" t="s">
        <v>1110</v>
      </c>
      <c r="H303" s="1188" t="s">
        <v>3845</v>
      </c>
      <c r="I303" s="608"/>
      <c r="J303" s="608"/>
      <c r="K303" s="608"/>
      <c r="L303" s="609" t="str">
        <f t="shared" si="32"/>
        <v>6208</v>
      </c>
      <c r="M303" s="610" t="str">
        <f t="shared" si="33"/>
        <v>FRAIS DE LIVRAISON</v>
      </c>
      <c r="N303" s="611">
        <f>+IF(OR($Q303=Parametres!$G$2,$Q303=Parametres!$G$3),I303,C303)</f>
        <v>-6097.28</v>
      </c>
      <c r="O303" s="611">
        <f>+IF(OR($Q303=Parametres!$G$2,$Q303=Parametres!$G$3),J303,D303)</f>
        <v>-1442.55</v>
      </c>
      <c r="P303" s="611">
        <f>+IF(OR($Q303=Parametres!$G$2,$Q303=Parametres!$G$3),K303,E303)</f>
        <v>-7539.83</v>
      </c>
      <c r="Q303" s="610" t="str">
        <f t="shared" si="34"/>
        <v>7-Dépenses</v>
      </c>
      <c r="R303" s="609" t="str">
        <f t="shared" si="35"/>
        <v>6108</v>
      </c>
      <c r="S303" s="610" t="str">
        <f t="shared" si="36"/>
        <v>_</v>
      </c>
      <c r="T303" s="612" t="str">
        <f>+VLOOKUP($L303,Data_Validation!$A:$D,1,0)</f>
        <v>6208</v>
      </c>
      <c r="U303" s="612" t="str">
        <f>+VLOOKUP($L303,Data_Validation!$A:$D,3,0)</f>
        <v>Véhicules usagés</v>
      </c>
      <c r="V303" s="612" t="str">
        <f>+VLOOKUP($L303,Data_Validation!$A:$D,4,0)</f>
        <v>Frais de livraison</v>
      </c>
      <c r="W303" s="612" t="str">
        <f>+VLOOKUP($L303,Data_Validation!$A:$E,5,0)</f>
        <v>$</v>
      </c>
      <c r="X303" s="612">
        <f>+VLOOKUP($L303,Data_Validation!$A:$F,6,0)</f>
        <v>0</v>
      </c>
    </row>
    <row r="304" spans="1:24" ht="15" customHeight="1">
      <c r="A304" s="1188" t="s">
        <v>1111</v>
      </c>
      <c r="B304" s="1188" t="s">
        <v>2285</v>
      </c>
      <c r="C304" s="1190">
        <v>70569.94</v>
      </c>
      <c r="D304" s="1190">
        <v>11029.65</v>
      </c>
      <c r="E304" s="1190">
        <v>81599.59</v>
      </c>
      <c r="F304" s="1188" t="s">
        <v>1099</v>
      </c>
      <c r="G304" s="1188" t="s">
        <v>1112</v>
      </c>
      <c r="H304" s="1188" t="s">
        <v>3845</v>
      </c>
      <c r="I304" s="608"/>
      <c r="J304" s="608"/>
      <c r="K304" s="608"/>
      <c r="L304" s="609" t="str">
        <f t="shared" si="32"/>
        <v>6214</v>
      </c>
      <c r="M304" s="610" t="str">
        <f t="shared" si="33"/>
        <v>PUBLICITE</v>
      </c>
      <c r="N304" s="611">
        <f>+IF(OR($Q304=Parametres!$G$2,$Q304=Parametres!$G$3),I304,C304)</f>
        <v>70569.94</v>
      </c>
      <c r="O304" s="611">
        <f>+IF(OR($Q304=Parametres!$G$2,$Q304=Parametres!$G$3),J304,D304)</f>
        <v>11029.65</v>
      </c>
      <c r="P304" s="611">
        <f>+IF(OR($Q304=Parametres!$G$2,$Q304=Parametres!$G$3),K304,E304)</f>
        <v>81599.59</v>
      </c>
      <c r="Q304" s="610" t="str">
        <f t="shared" si="34"/>
        <v>7-Dépenses</v>
      </c>
      <c r="R304" s="609" t="str">
        <f t="shared" si="35"/>
        <v>6114</v>
      </c>
      <c r="S304" s="610" t="str">
        <f t="shared" si="36"/>
        <v>_</v>
      </c>
      <c r="T304" s="612" t="str">
        <f>+VLOOKUP($L304,Data_Validation!$A:$D,1,0)</f>
        <v>6214</v>
      </c>
      <c r="U304" s="612" t="str">
        <f>+VLOOKUP($L304,Data_Validation!$A:$D,3,0)</f>
        <v>Véhicules usagés</v>
      </c>
      <c r="V304" s="612" t="str">
        <f>+VLOOKUP($L304,Data_Validation!$A:$D,4,0)</f>
        <v>Publicité 1</v>
      </c>
      <c r="W304" s="612" t="str">
        <f>+VLOOKUP($L304,Data_Validation!$A:$E,5,0)</f>
        <v>$</v>
      </c>
      <c r="X304" s="612">
        <f>+VLOOKUP($L304,Data_Validation!$A:$F,6,0)</f>
        <v>0</v>
      </c>
    </row>
    <row r="305" spans="1:24" ht="15.75" customHeight="1">
      <c r="A305" s="1188" t="s">
        <v>1172</v>
      </c>
      <c r="B305" s="1188" t="s">
        <v>2288</v>
      </c>
      <c r="C305" s="1190">
        <v>-14600</v>
      </c>
      <c r="D305" s="1190">
        <v>-3300</v>
      </c>
      <c r="E305" s="1190">
        <v>-17900</v>
      </c>
      <c r="F305" s="1188" t="s">
        <v>1099</v>
      </c>
      <c r="G305" s="1188" t="s">
        <v>1112</v>
      </c>
      <c r="H305" s="1188" t="s">
        <v>3845</v>
      </c>
      <c r="I305" s="619"/>
      <c r="J305" s="619"/>
      <c r="K305" s="619"/>
      <c r="L305" s="609" t="str">
        <f t="shared" si="32"/>
        <v>6215</v>
      </c>
      <c r="M305" s="610" t="str">
        <f t="shared" si="33"/>
        <v>CREDIT PUBLICITE USAGES</v>
      </c>
      <c r="N305" s="611">
        <f>+IF(OR($Q305=Parametres!$G$2,$Q305=Parametres!$G$3),I305,C305)</f>
        <v>-14600</v>
      </c>
      <c r="O305" s="611">
        <f>+IF(OR($Q305=Parametres!$G$2,$Q305=Parametres!$G$3),J305,D305)</f>
        <v>-3300</v>
      </c>
      <c r="P305" s="611">
        <f>+IF(OR($Q305=Parametres!$G$2,$Q305=Parametres!$G$3),K305,E305)</f>
        <v>-17900</v>
      </c>
      <c r="Q305" s="610" t="str">
        <f t="shared" si="34"/>
        <v>7-Dépenses</v>
      </c>
      <c r="R305" s="609" t="str">
        <f t="shared" si="35"/>
        <v>6114</v>
      </c>
      <c r="S305" s="610" t="str">
        <f t="shared" si="36"/>
        <v>_</v>
      </c>
      <c r="T305" s="612" t="str">
        <f>+VLOOKUP($L305,Data_Validation!$A:$D,1,0)</f>
        <v>6215</v>
      </c>
      <c r="U305" s="612" t="str">
        <f>+VLOOKUP($L305,Data_Validation!$A:$D,3,0)</f>
        <v>Véhicules usagés</v>
      </c>
      <c r="V305" s="612" t="str">
        <f>+VLOOKUP($L305,Data_Validation!$A:$D,4,0)</f>
        <v>Publicité 1</v>
      </c>
      <c r="W305" s="612" t="str">
        <f>+VLOOKUP($L305,Data_Validation!$A:$E,5,0)</f>
        <v>$</v>
      </c>
      <c r="X305" s="612">
        <f>+VLOOKUP($L305,Data_Validation!$A:$F,6,0)</f>
        <v>0</v>
      </c>
    </row>
    <row r="306" spans="1:24" ht="15" customHeight="1">
      <c r="A306" s="1188" t="s">
        <v>3862</v>
      </c>
      <c r="B306" s="1188" t="s">
        <v>2294</v>
      </c>
      <c r="C306" s="1190">
        <v>7610.64</v>
      </c>
      <c r="D306" s="1190">
        <v>1582.6</v>
      </c>
      <c r="E306" s="1190">
        <v>9193.24</v>
      </c>
      <c r="F306" s="1188" t="s">
        <v>1099</v>
      </c>
      <c r="G306" s="1188" t="s">
        <v>1115</v>
      </c>
      <c r="H306" s="1188" t="s">
        <v>3845</v>
      </c>
      <c r="I306" s="626"/>
      <c r="J306" s="607"/>
      <c r="K306" s="626"/>
      <c r="L306" s="609" t="str">
        <f t="shared" si="32"/>
        <v>6221</v>
      </c>
      <c r="M306" s="610" t="str">
        <f t="shared" si="33"/>
        <v>SALAIRES - DIRECTION GENERALE</v>
      </c>
      <c r="N306" s="611">
        <f>+IF(OR($Q306=Parametres!$G$2,$Q306=Parametres!$G$3),I306,C306)</f>
        <v>7610.64</v>
      </c>
      <c r="O306" s="615">
        <f>+IF(OR($Q306=Parametres!$G$2,$Q306=Parametres!$G$3),J306,D306)</f>
        <v>1582.6</v>
      </c>
      <c r="P306" s="611">
        <f>+IF(OR($Q306=Parametres!$G$2,$Q306=Parametres!$G$3),K306,E306)</f>
        <v>9193.24</v>
      </c>
      <c r="Q306" s="610" t="str">
        <f t="shared" si="34"/>
        <v>7-Dépenses</v>
      </c>
      <c r="R306" s="609" t="str">
        <f t="shared" si="35"/>
        <v>6121</v>
      </c>
      <c r="S306" s="610" t="str">
        <f t="shared" si="36"/>
        <v>_</v>
      </c>
      <c r="T306" s="612" t="str">
        <f>+VLOOKUP($L306,Data_Validation!$A:$D,1,0)</f>
        <v>6221</v>
      </c>
      <c r="U306" s="612" t="str">
        <f>+VLOOKUP($L306,Data_Validation!$A:$D,3,0)</f>
        <v>Véhicules usagés</v>
      </c>
      <c r="V306" s="612" t="str">
        <f>+VLOOKUP($L306,Data_Validation!$A:$D,4,0)</f>
        <v>Salaires propriétaire</v>
      </c>
      <c r="W306" s="612" t="str">
        <f>+VLOOKUP($L306,Data_Validation!$A:$E,5,0)</f>
        <v>$</v>
      </c>
      <c r="X306" s="612">
        <f>+VLOOKUP($L306,Data_Validation!$A:$F,6,0)</f>
        <v>0</v>
      </c>
    </row>
    <row r="307" spans="1:24" ht="15" customHeight="1">
      <c r="A307" s="1188" t="s">
        <v>1116</v>
      </c>
      <c r="B307" s="1188" t="s">
        <v>2297</v>
      </c>
      <c r="C307" s="1190">
        <v>48836.49</v>
      </c>
      <c r="D307" s="1190">
        <v>8896.93</v>
      </c>
      <c r="E307" s="1190">
        <v>57733.42</v>
      </c>
      <c r="F307" s="1188" t="s">
        <v>1099</v>
      </c>
      <c r="G307" s="1188" t="s">
        <v>1117</v>
      </c>
      <c r="H307" s="1188" t="s">
        <v>3845</v>
      </c>
      <c r="I307" s="607"/>
      <c r="J307" s="607"/>
      <c r="K307" s="607"/>
      <c r="L307" s="609" t="str">
        <f t="shared" si="32"/>
        <v>6222</v>
      </c>
      <c r="M307" s="610" t="str">
        <f t="shared" si="33"/>
        <v>SAL SUPERVISION / GERANT</v>
      </c>
      <c r="N307" s="611">
        <f>+IF(OR($Q307=Parametres!$G$2,$Q307=Parametres!$G$3),I307,C307)</f>
        <v>48836.49</v>
      </c>
      <c r="O307" s="615">
        <f>+IF(OR($Q307=Parametres!$G$2,$Q307=Parametres!$G$3),J307,D307)</f>
        <v>8896.93</v>
      </c>
      <c r="P307" s="611">
        <f>+IF(OR($Q307=Parametres!$G$2,$Q307=Parametres!$G$3),K307,E307)</f>
        <v>57733.42</v>
      </c>
      <c r="Q307" s="610" t="str">
        <f t="shared" si="34"/>
        <v>7-Dépenses</v>
      </c>
      <c r="R307" s="609" t="str">
        <f t="shared" si="35"/>
        <v>6122</v>
      </c>
      <c r="S307" s="610" t="str">
        <f t="shared" si="36"/>
        <v>_</v>
      </c>
      <c r="T307" s="612" t="str">
        <f>+VLOOKUP($L307,Data_Validation!$A:$D,1,0)</f>
        <v>6222</v>
      </c>
      <c r="U307" s="612" t="str">
        <f>+VLOOKUP($L307,Data_Validation!$A:$D,3,0)</f>
        <v>Véhicules usagés</v>
      </c>
      <c r="V307" s="612" t="str">
        <f>+VLOOKUP($L307,Data_Validation!$A:$D,4,0)</f>
        <v>Salaires cadres</v>
      </c>
      <c r="W307" s="612" t="str">
        <f>+VLOOKUP($L307,Data_Validation!$A:$E,5,0)</f>
        <v>$</v>
      </c>
      <c r="X307" s="612">
        <f>+VLOOKUP($L307,Data_Validation!$A:$F,6,0)</f>
        <v>0</v>
      </c>
    </row>
    <row r="308" spans="1:24" ht="15" customHeight="1">
      <c r="A308" s="1188" t="s">
        <v>1118</v>
      </c>
      <c r="B308" s="1188" t="s">
        <v>2300</v>
      </c>
      <c r="C308" s="1190">
        <v>19423.669999999998</v>
      </c>
      <c r="D308" s="1190">
        <v>11741.63</v>
      </c>
      <c r="E308" s="1190">
        <v>31165.3</v>
      </c>
      <c r="F308" s="1188" t="s">
        <v>1099</v>
      </c>
      <c r="G308" s="1188" t="s">
        <v>1119</v>
      </c>
      <c r="H308" s="1188" t="s">
        <v>3845</v>
      </c>
      <c r="I308" s="608"/>
      <c r="J308" s="608"/>
      <c r="K308" s="608"/>
      <c r="L308" s="609" t="str">
        <f t="shared" ref="L308:L364" si="37">TEXT(B308,0)</f>
        <v>6223</v>
      </c>
      <c r="M308" s="610" t="str">
        <f t="shared" ref="M308:M364" si="38">+A308</f>
        <v>SAL. &amp; RENUM. - CLERICAL</v>
      </c>
      <c r="N308" s="611">
        <f>+IF(OR($Q308=Parametres!$G$2,$Q308=Parametres!$G$3),I308,C308)</f>
        <v>19423.669999999998</v>
      </c>
      <c r="O308" s="611">
        <f>+IF(OR($Q308=Parametres!$G$2,$Q308=Parametres!$G$3),J308,D308)</f>
        <v>11741.63</v>
      </c>
      <c r="P308" s="611">
        <f>+IF(OR($Q308=Parametres!$G$2,$Q308=Parametres!$G$3),K308,E308)</f>
        <v>31165.3</v>
      </c>
      <c r="Q308" s="610" t="str">
        <f t="shared" ref="Q308:Q364" si="39">+F308</f>
        <v>7-Dépenses</v>
      </c>
      <c r="R308" s="609" t="str">
        <f t="shared" ref="R308:R364" si="40">+G308</f>
        <v>6123</v>
      </c>
      <c r="S308" s="610" t="str">
        <f t="shared" ref="S308:S364" si="41">+H308</f>
        <v>_</v>
      </c>
      <c r="T308" s="612" t="str">
        <f>+VLOOKUP($L308,Data_Validation!$A:$D,1,0)</f>
        <v>6223</v>
      </c>
      <c r="U308" s="612" t="str">
        <f>+VLOOKUP($L308,Data_Validation!$A:$D,3,0)</f>
        <v>Véhicules usagés</v>
      </c>
      <c r="V308" s="612" t="str">
        <f>+VLOOKUP($L308,Data_Validation!$A:$D,4,0)</f>
        <v>Salaires commis</v>
      </c>
      <c r="W308" s="612" t="str">
        <f>+VLOOKUP($L308,Data_Validation!$A:$E,5,0)</f>
        <v>$</v>
      </c>
      <c r="X308" s="612">
        <f>+VLOOKUP($L308,Data_Validation!$A:$F,6,0)</f>
        <v>0</v>
      </c>
    </row>
    <row r="309" spans="1:24" ht="15.75" customHeight="1">
      <c r="A309" s="1188" t="s">
        <v>1173</v>
      </c>
      <c r="B309" s="1188" t="s">
        <v>2303</v>
      </c>
      <c r="C309" s="1190">
        <v>28615.51</v>
      </c>
      <c r="D309" s="1190">
        <v>-3433.81</v>
      </c>
      <c r="E309" s="1190">
        <v>25181.7</v>
      </c>
      <c r="F309" s="1188" t="s">
        <v>1099</v>
      </c>
      <c r="G309" s="1188" t="s">
        <v>1121</v>
      </c>
      <c r="H309" s="1188" t="s">
        <v>3845</v>
      </c>
      <c r="I309" s="619"/>
      <c r="J309" s="619"/>
      <c r="K309" s="619"/>
      <c r="L309" s="609" t="str">
        <f t="shared" si="37"/>
        <v>6224</v>
      </c>
      <c r="M309" s="610" t="str">
        <f t="shared" si="38"/>
        <v>SALAIRE &amp; RENUM. - AUTRES</v>
      </c>
      <c r="N309" s="611">
        <f>+IF(OR($Q309=Parametres!$G$2,$Q309=Parametres!$G$3),I309,C309)</f>
        <v>28615.51</v>
      </c>
      <c r="O309" s="611">
        <f>+IF(OR($Q309=Parametres!$G$2,$Q309=Parametres!$G$3),J309,D309)</f>
        <v>-3433.81</v>
      </c>
      <c r="P309" s="611">
        <f>+IF(OR($Q309=Parametres!$G$2,$Q309=Parametres!$G$3),K309,E309)</f>
        <v>25181.7</v>
      </c>
      <c r="Q309" s="610" t="str">
        <f t="shared" si="39"/>
        <v>7-Dépenses</v>
      </c>
      <c r="R309" s="609" t="str">
        <f t="shared" si="40"/>
        <v>6124</v>
      </c>
      <c r="S309" s="610" t="str">
        <f t="shared" si="41"/>
        <v>_</v>
      </c>
      <c r="T309" s="612" t="str">
        <f>+VLOOKUP($L309,Data_Validation!$A:$D,1,0)</f>
        <v>6224</v>
      </c>
      <c r="U309" s="612" t="str">
        <f>+VLOOKUP($L309,Data_Validation!$A:$D,3,0)</f>
        <v>Véhicules usagés</v>
      </c>
      <c r="V309" s="612" t="str">
        <f>+VLOOKUP($L309,Data_Validation!$A:$D,4,0)</f>
        <v>Salaires autres</v>
      </c>
      <c r="W309" s="612" t="str">
        <f>+VLOOKUP($L309,Data_Validation!$A:$E,5,0)</f>
        <v>$</v>
      </c>
      <c r="X309" s="612">
        <f>+VLOOKUP($L309,Data_Validation!$A:$F,6,0)</f>
        <v>0</v>
      </c>
    </row>
    <row r="310" spans="1:24" ht="15" customHeight="1">
      <c r="A310" s="1188" t="s">
        <v>1174</v>
      </c>
      <c r="B310" s="1188" t="s">
        <v>2304</v>
      </c>
      <c r="C310" s="1190">
        <v>43059.58</v>
      </c>
      <c r="D310" s="1190">
        <v>6443.73</v>
      </c>
      <c r="E310" s="1190">
        <v>49503.31</v>
      </c>
      <c r="F310" s="1188" t="s">
        <v>1099</v>
      </c>
      <c r="G310" s="1188" t="s">
        <v>1123</v>
      </c>
      <c r="H310" s="1188" t="s">
        <v>3845</v>
      </c>
      <c r="I310" s="619"/>
      <c r="J310" s="619"/>
      <c r="K310" s="619"/>
      <c r="L310" s="609" t="str">
        <f t="shared" si="37"/>
        <v>6229</v>
      </c>
      <c r="M310" s="610" t="str">
        <f t="shared" si="38"/>
        <v>ABS.,VACANCES &amp; SAL. JOURS FER</v>
      </c>
      <c r="N310" s="611">
        <f>+IF(OR($Q310=Parametres!$G$2,$Q310=Parametres!$G$3),I310,C310)</f>
        <v>43059.58</v>
      </c>
      <c r="O310" s="611">
        <f>+IF(OR($Q310=Parametres!$G$2,$Q310=Parametres!$G$3),J310,D310)</f>
        <v>6443.73</v>
      </c>
      <c r="P310" s="611">
        <f>+IF(OR($Q310=Parametres!$G$2,$Q310=Parametres!$G$3),K310,E310)</f>
        <v>49503.31</v>
      </c>
      <c r="Q310" s="610" t="str">
        <f t="shared" si="39"/>
        <v>7-Dépenses</v>
      </c>
      <c r="R310" s="609" t="str">
        <f t="shared" si="40"/>
        <v>6129</v>
      </c>
      <c r="S310" s="610" t="str">
        <f t="shared" si="41"/>
        <v>_</v>
      </c>
      <c r="T310" s="612" t="str">
        <f>+VLOOKUP($L310,Data_Validation!$A:$D,1,0)</f>
        <v>6229</v>
      </c>
      <c r="U310" s="612" t="str">
        <f>+VLOOKUP($L310,Data_Validation!$A:$D,3,0)</f>
        <v>Véhicules usagés</v>
      </c>
      <c r="V310" s="612" t="str">
        <f>+VLOOKUP($L310,Data_Validation!$A:$D,4,0)</f>
        <v>Salaires en absences</v>
      </c>
      <c r="W310" s="612" t="str">
        <f>+VLOOKUP($L310,Data_Validation!$A:$E,5,0)</f>
        <v>$</v>
      </c>
      <c r="X310" s="612">
        <f>+VLOOKUP($L310,Data_Validation!$A:$F,6,0)</f>
        <v>0</v>
      </c>
    </row>
    <row r="311" spans="1:24" ht="15" customHeight="1">
      <c r="A311" s="1188" t="s">
        <v>1124</v>
      </c>
      <c r="B311" s="1188" t="s">
        <v>2307</v>
      </c>
      <c r="C311" s="1190">
        <v>6801.92</v>
      </c>
      <c r="D311" s="1190">
        <v>1650.61</v>
      </c>
      <c r="E311" s="1190">
        <v>8452.5300000000007</v>
      </c>
      <c r="F311" s="1188" t="s">
        <v>1099</v>
      </c>
      <c r="G311" s="1188" t="s">
        <v>1125</v>
      </c>
      <c r="H311" s="1188" t="s">
        <v>3845</v>
      </c>
      <c r="I311" s="619"/>
      <c r="J311" s="619"/>
      <c r="K311" s="619"/>
      <c r="L311" s="609" t="str">
        <f t="shared" si="37"/>
        <v>6231</v>
      </c>
      <c r="M311" s="610" t="str">
        <f t="shared" si="38"/>
        <v>CSST</v>
      </c>
      <c r="N311" s="611">
        <f>+IF(OR($Q311=Parametres!$G$2,$Q311=Parametres!$G$3),I311,C311)</f>
        <v>6801.92</v>
      </c>
      <c r="O311" s="611">
        <f>+IF(OR($Q311=Parametres!$G$2,$Q311=Parametres!$G$3),J311,D311)</f>
        <v>1650.61</v>
      </c>
      <c r="P311" s="611">
        <f>+IF(OR($Q311=Parametres!$G$2,$Q311=Parametres!$G$3),K311,E311)</f>
        <v>8452.5300000000007</v>
      </c>
      <c r="Q311" s="610" t="str">
        <f t="shared" si="39"/>
        <v>7-Dépenses</v>
      </c>
      <c r="R311" s="609" t="str">
        <f t="shared" si="40"/>
        <v>6131</v>
      </c>
      <c r="S311" s="610" t="str">
        <f t="shared" si="41"/>
        <v>_</v>
      </c>
      <c r="T311" s="612" t="str">
        <f>+VLOOKUP($L311,Data_Validation!$A:$D,1,0)</f>
        <v>6231</v>
      </c>
      <c r="U311" s="612" t="str">
        <f>+VLOOKUP($L311,Data_Validation!$A:$D,3,0)</f>
        <v>Véhicules usagés</v>
      </c>
      <c r="V311" s="612" t="str">
        <f>+VLOOKUP($L311,Data_Validation!$A:$D,4,0)</f>
        <v>Csst</v>
      </c>
      <c r="W311" s="612" t="str">
        <f>+VLOOKUP($L311,Data_Validation!$A:$E,5,0)</f>
        <v>$</v>
      </c>
      <c r="X311" s="612">
        <f>+VLOOKUP($L311,Data_Validation!$A:$F,6,0)</f>
        <v>0</v>
      </c>
    </row>
    <row r="312" spans="1:24" ht="15" customHeight="1">
      <c r="A312" s="1188" t="s">
        <v>1126</v>
      </c>
      <c r="B312" s="1188" t="s">
        <v>2310</v>
      </c>
      <c r="C312" s="1190">
        <v>52449.06</v>
      </c>
      <c r="D312" s="1190">
        <v>7664.05</v>
      </c>
      <c r="E312" s="1190">
        <v>60113.11</v>
      </c>
      <c r="F312" s="1188" t="s">
        <v>1099</v>
      </c>
      <c r="G312" s="1188" t="s">
        <v>1127</v>
      </c>
      <c r="H312" s="1188" t="s">
        <v>3845</v>
      </c>
      <c r="I312" s="607"/>
      <c r="J312" s="607"/>
      <c r="K312" s="607"/>
      <c r="L312" s="609" t="str">
        <f t="shared" si="37"/>
        <v>6232</v>
      </c>
      <c r="M312" s="610" t="str">
        <f t="shared" si="38"/>
        <v>RRQ RAMQ AC</v>
      </c>
      <c r="N312" s="611">
        <f>+IF(OR($Q312=Parametres!$G$2,$Q312=Parametres!$G$3),I312,C312)</f>
        <v>52449.06</v>
      </c>
      <c r="O312" s="611">
        <f>+IF(OR($Q312=Parametres!$G$2,$Q312=Parametres!$G$3),J312,D312)</f>
        <v>7664.05</v>
      </c>
      <c r="P312" s="611">
        <f>+IF(OR($Q312=Parametres!$G$2,$Q312=Parametres!$G$3),K312,E312)</f>
        <v>60113.11</v>
      </c>
      <c r="Q312" s="610" t="str">
        <f t="shared" si="39"/>
        <v>7-Dépenses</v>
      </c>
      <c r="R312" s="609" t="str">
        <f t="shared" si="40"/>
        <v>6132</v>
      </c>
      <c r="S312" s="610" t="str">
        <f t="shared" si="41"/>
        <v>_</v>
      </c>
      <c r="T312" s="612" t="str">
        <f>+VLOOKUP($L312,Data_Validation!$A:$D,1,0)</f>
        <v>6232</v>
      </c>
      <c r="U312" s="612" t="str">
        <f>+VLOOKUP($L312,Data_Validation!$A:$D,3,0)</f>
        <v>Véhicules usagés</v>
      </c>
      <c r="V312" s="612" t="str">
        <f>+VLOOKUP($L312,Data_Validation!$A:$D,4,0)</f>
        <v>Déduction à la source</v>
      </c>
      <c r="W312" s="612" t="str">
        <f>+VLOOKUP($L312,Data_Validation!$A:$E,5,0)</f>
        <v>$</v>
      </c>
      <c r="X312" s="612">
        <f>+VLOOKUP($L312,Data_Validation!$A:$F,6,0)</f>
        <v>0</v>
      </c>
    </row>
    <row r="313" spans="1:24" ht="15" customHeight="1">
      <c r="A313" s="1188" t="s">
        <v>1175</v>
      </c>
      <c r="B313" s="1188" t="s">
        <v>3334</v>
      </c>
      <c r="C313" s="1190">
        <v>17515.93</v>
      </c>
      <c r="D313" s="1190">
        <v>2184.3000000000002</v>
      </c>
      <c r="E313" s="1190">
        <v>19700.23</v>
      </c>
      <c r="F313" s="1188" t="s">
        <v>1099</v>
      </c>
      <c r="G313" s="1188" t="s">
        <v>1129</v>
      </c>
      <c r="H313" s="1188" t="s">
        <v>3845</v>
      </c>
      <c r="I313" s="608"/>
      <c r="J313" s="608"/>
      <c r="K313" s="608"/>
      <c r="L313" s="609" t="str">
        <f t="shared" si="37"/>
        <v>6233</v>
      </c>
      <c r="M313" s="610" t="str">
        <f t="shared" si="38"/>
        <v>FOND PENSION - USAGE</v>
      </c>
      <c r="N313" s="611">
        <f>+IF(OR($Q313=Parametres!$G$2,$Q313=Parametres!$G$3),I313,C313)</f>
        <v>17515.93</v>
      </c>
      <c r="O313" s="611">
        <f>+IF(OR($Q313=Parametres!$G$2,$Q313=Parametres!$G$3),J313,D313)</f>
        <v>2184.3000000000002</v>
      </c>
      <c r="P313" s="611">
        <f>+IF(OR($Q313=Parametres!$G$2,$Q313=Parametres!$G$3),K313,E313)</f>
        <v>19700.23</v>
      </c>
      <c r="Q313" s="610" t="str">
        <f t="shared" si="39"/>
        <v>7-Dépenses</v>
      </c>
      <c r="R313" s="609" t="str">
        <f t="shared" si="40"/>
        <v>6133</v>
      </c>
      <c r="S313" s="610" t="str">
        <f t="shared" si="41"/>
        <v>_</v>
      </c>
      <c r="T313" s="612" t="str">
        <f>+VLOOKUP($L313,Data_Validation!$A:$D,1,0)</f>
        <v>6233</v>
      </c>
      <c r="U313" s="612" t="str">
        <f>+VLOOKUP($L313,Data_Validation!$A:$D,3,0)</f>
        <v>Véhicules usagés</v>
      </c>
      <c r="V313" s="612" t="str">
        <f>+VLOOKUP($L313,Data_Validation!$A:$D,4,0)</f>
        <v>Bénéfices marginaux</v>
      </c>
      <c r="W313" s="612" t="str">
        <f>+VLOOKUP($L313,Data_Validation!$A:$E,5,0)</f>
        <v>$</v>
      </c>
      <c r="X313" s="612">
        <f>+VLOOKUP($L313,Data_Validation!$A:$F,6,0)</f>
        <v>0</v>
      </c>
    </row>
    <row r="314" spans="1:24" ht="15" customHeight="1">
      <c r="A314" s="1188" t="s">
        <v>1176</v>
      </c>
      <c r="B314" s="1188" t="s">
        <v>2313</v>
      </c>
      <c r="C314" s="1190">
        <v>8514.4599999999991</v>
      </c>
      <c r="D314" s="1190">
        <v>1618.41</v>
      </c>
      <c r="E314" s="1190">
        <v>10132.870000000001</v>
      </c>
      <c r="F314" s="1188" t="s">
        <v>1099</v>
      </c>
      <c r="G314" s="1188" t="s">
        <v>1131</v>
      </c>
      <c r="H314" s="1188" t="s">
        <v>3845</v>
      </c>
      <c r="I314" s="607"/>
      <c r="J314" s="607"/>
      <c r="K314" s="607"/>
      <c r="L314" s="609" t="str">
        <f t="shared" si="37"/>
        <v>6239</v>
      </c>
      <c r="M314" s="610" t="str">
        <f t="shared" si="38"/>
        <v>ASSURANCE GROUPE</v>
      </c>
      <c r="N314" s="611">
        <f>+IF(OR($Q314=Parametres!$G$2,$Q314=Parametres!$G$3),I314,C314)</f>
        <v>8514.4599999999991</v>
      </c>
      <c r="O314" s="615">
        <f>+IF(OR($Q314=Parametres!$G$2,$Q314=Parametres!$G$3),J314,D314)</f>
        <v>1618.41</v>
      </c>
      <c r="P314" s="611">
        <f>+IF(OR($Q314=Parametres!$G$2,$Q314=Parametres!$G$3),K314,E314)</f>
        <v>10132.870000000001</v>
      </c>
      <c r="Q314" s="610" t="str">
        <f t="shared" si="39"/>
        <v>7-Dépenses</v>
      </c>
      <c r="R314" s="609" t="str">
        <f t="shared" si="40"/>
        <v>6139</v>
      </c>
      <c r="S314" s="610" t="str">
        <f t="shared" si="41"/>
        <v>_</v>
      </c>
      <c r="T314" s="612" t="str">
        <f>+VLOOKUP($L314,Data_Validation!$A:$D,1,0)</f>
        <v>6239</v>
      </c>
      <c r="U314" s="612" t="str">
        <f>+VLOOKUP($L314,Data_Validation!$A:$D,3,0)</f>
        <v>Véhicules usagés</v>
      </c>
      <c r="V314" s="612" t="str">
        <f>+VLOOKUP($L314,Data_Validation!$A:$D,4,0)</f>
        <v>Bénéfices marginaux</v>
      </c>
      <c r="W314" s="612" t="str">
        <f>+VLOOKUP($L314,Data_Validation!$A:$E,5,0)</f>
        <v>$</v>
      </c>
      <c r="X314" s="612">
        <f>+VLOOKUP($L314,Data_Validation!$A:$F,6,0)</f>
        <v>0</v>
      </c>
    </row>
    <row r="315" spans="1:24" ht="15" customHeight="1">
      <c r="A315" s="1188" t="s">
        <v>1134</v>
      </c>
      <c r="B315" s="1188" t="s">
        <v>2321</v>
      </c>
      <c r="C315" s="1190">
        <v>124.75</v>
      </c>
      <c r="D315" s="1190">
        <v>0</v>
      </c>
      <c r="E315" s="1190">
        <v>124.75</v>
      </c>
      <c r="F315" s="1188" t="s">
        <v>1099</v>
      </c>
      <c r="G315" s="1188" t="s">
        <v>1135</v>
      </c>
      <c r="H315" s="1188" t="s">
        <v>3845</v>
      </c>
      <c r="I315" s="608"/>
      <c r="J315" s="608"/>
      <c r="K315" s="608"/>
      <c r="L315" s="609" t="str">
        <f t="shared" si="37"/>
        <v>6243</v>
      </c>
      <c r="M315" s="610" t="str">
        <f t="shared" si="38"/>
        <v>UNIFORMES &amp; LESSIVE</v>
      </c>
      <c r="N315" s="611">
        <f>+IF(OR($Q315=Parametres!$G$2,$Q315=Parametres!$G$3),I315,C315)</f>
        <v>124.75</v>
      </c>
      <c r="O315" s="611">
        <f>+IF(OR($Q315=Parametres!$G$2,$Q315=Parametres!$G$3),J315,D315)</f>
        <v>0</v>
      </c>
      <c r="P315" s="611">
        <f>+IF(OR($Q315=Parametres!$G$2,$Q315=Parametres!$G$3),K315,E315)</f>
        <v>124.75</v>
      </c>
      <c r="Q315" s="610" t="str">
        <f t="shared" si="39"/>
        <v>7-Dépenses</v>
      </c>
      <c r="R315" s="609" t="str">
        <f t="shared" si="40"/>
        <v>6143</v>
      </c>
      <c r="S315" s="610" t="str">
        <f t="shared" si="41"/>
        <v>_</v>
      </c>
      <c r="T315" s="612" t="str">
        <f>+VLOOKUP($L315,Data_Validation!$A:$D,1,0)</f>
        <v>6243</v>
      </c>
      <c r="U315" s="612" t="str">
        <f>+VLOOKUP($L315,Data_Validation!$A:$D,3,0)</f>
        <v>Véhicules usagés</v>
      </c>
      <c r="V315" s="612" t="str">
        <f>+VLOOKUP($L315,Data_Validation!$A:$D,4,0)</f>
        <v>Uniformes</v>
      </c>
      <c r="W315" s="612" t="str">
        <f>+VLOOKUP($L315,Data_Validation!$A:$E,5,0)</f>
        <v>$</v>
      </c>
      <c r="X315" s="612">
        <f>+VLOOKUP($L315,Data_Validation!$A:$F,6,0)</f>
        <v>0</v>
      </c>
    </row>
    <row r="316" spans="1:24" ht="15" customHeight="1">
      <c r="A316" s="1188" t="s">
        <v>1136</v>
      </c>
      <c r="B316" s="1188" t="s">
        <v>2324</v>
      </c>
      <c r="C316" s="1190">
        <v>2383.61</v>
      </c>
      <c r="D316" s="1190">
        <v>0</v>
      </c>
      <c r="E316" s="1190">
        <v>2383.61</v>
      </c>
      <c r="F316" s="1188" t="s">
        <v>1099</v>
      </c>
      <c r="G316" s="1188" t="s">
        <v>1137</v>
      </c>
      <c r="H316" s="1188" t="s">
        <v>3845</v>
      </c>
      <c r="I316" s="607"/>
      <c r="J316" s="607"/>
      <c r="K316" s="607"/>
      <c r="L316" s="609" t="str">
        <f t="shared" si="37"/>
        <v>6244</v>
      </c>
      <c r="M316" s="610" t="str">
        <f t="shared" si="38"/>
        <v>FORMATION</v>
      </c>
      <c r="N316" s="611">
        <f>+IF(OR($Q316=Parametres!$G$2,$Q316=Parametres!$G$3),I316,C316)</f>
        <v>2383.61</v>
      </c>
      <c r="O316" s="611">
        <f>+IF(OR($Q316=Parametres!$G$2,$Q316=Parametres!$G$3),J316,D316)</f>
        <v>0</v>
      </c>
      <c r="P316" s="611">
        <f>+IF(OR($Q316=Parametres!$G$2,$Q316=Parametres!$G$3),K316,E316)</f>
        <v>2383.61</v>
      </c>
      <c r="Q316" s="610" t="str">
        <f t="shared" si="39"/>
        <v>7-Dépenses</v>
      </c>
      <c r="R316" s="609" t="str">
        <f t="shared" si="40"/>
        <v>6144</v>
      </c>
      <c r="S316" s="610" t="str">
        <f t="shared" si="41"/>
        <v>_</v>
      </c>
      <c r="T316" s="612" t="str">
        <f>+VLOOKUP($L316,Data_Validation!$A:$D,1,0)</f>
        <v>6244</v>
      </c>
      <c r="U316" s="612" t="str">
        <f>+VLOOKUP($L316,Data_Validation!$A:$D,3,0)</f>
        <v>Véhicules usagés</v>
      </c>
      <c r="V316" s="612" t="str">
        <f>+VLOOKUP($L316,Data_Validation!$A:$D,4,0)</f>
        <v>Formation</v>
      </c>
      <c r="W316" s="612" t="str">
        <f>+VLOOKUP($L316,Data_Validation!$A:$E,5,0)</f>
        <v>$</v>
      </c>
      <c r="X316" s="612">
        <f>+VLOOKUP($L316,Data_Validation!$A:$F,6,0)</f>
        <v>0</v>
      </c>
    </row>
    <row r="317" spans="1:24" ht="15" customHeight="1">
      <c r="A317" s="1188" t="s">
        <v>1138</v>
      </c>
      <c r="B317" s="1188" t="s">
        <v>2327</v>
      </c>
      <c r="C317" s="1190">
        <v>15406.7</v>
      </c>
      <c r="D317" s="1190">
        <v>2909.46</v>
      </c>
      <c r="E317" s="1190">
        <v>18316.16</v>
      </c>
      <c r="F317" s="1188" t="s">
        <v>1099</v>
      </c>
      <c r="G317" s="1188" t="s">
        <v>1139</v>
      </c>
      <c r="H317" s="1188" t="s">
        <v>3845</v>
      </c>
      <c r="I317" s="608"/>
      <c r="J317" s="608"/>
      <c r="K317" s="608"/>
      <c r="L317" s="609" t="str">
        <f t="shared" si="37"/>
        <v>6245</v>
      </c>
      <c r="M317" s="610" t="str">
        <f t="shared" si="38"/>
        <v>VEHICULE DE COMPAGNIE - DEPENS</v>
      </c>
      <c r="N317" s="611">
        <f>+IF(OR($Q317=Parametres!$G$2,$Q317=Parametres!$G$3),I317,C317)</f>
        <v>15406.7</v>
      </c>
      <c r="O317" s="615">
        <f>+IF(OR($Q317=Parametres!$G$2,$Q317=Parametres!$G$3),J317,D317)</f>
        <v>2909.46</v>
      </c>
      <c r="P317" s="611">
        <f>+IF(OR($Q317=Parametres!$G$2,$Q317=Parametres!$G$3),K317,E317)</f>
        <v>18316.16</v>
      </c>
      <c r="Q317" s="610" t="str">
        <f t="shared" si="39"/>
        <v>7-Dépenses</v>
      </c>
      <c r="R317" s="609" t="str">
        <f t="shared" si="40"/>
        <v>6145</v>
      </c>
      <c r="S317" s="610" t="str">
        <f t="shared" si="41"/>
        <v>_</v>
      </c>
      <c r="T317" s="612" t="str">
        <f>+VLOOKUP($L317,Data_Validation!$A:$D,1,0)</f>
        <v>6245</v>
      </c>
      <c r="U317" s="612" t="str">
        <f>+VLOOKUP($L317,Data_Validation!$A:$D,3,0)</f>
        <v>Véhicules usagés</v>
      </c>
      <c r="V317" s="612" t="str">
        <f>+VLOOKUP($L317,Data_Validation!$A:$D,4,0)</f>
        <v>Frais véhicules de cie</v>
      </c>
      <c r="W317" s="612" t="str">
        <f>+VLOOKUP($L317,Data_Validation!$A:$E,5,0)</f>
        <v>$</v>
      </c>
      <c r="X317" s="612">
        <f>+VLOOKUP($L317,Data_Validation!$A:$F,6,0)</f>
        <v>0</v>
      </c>
    </row>
    <row r="318" spans="1:24" ht="15.75" customHeight="1">
      <c r="A318" s="1188" t="s">
        <v>1140</v>
      </c>
      <c r="B318" s="1188" t="s">
        <v>2330</v>
      </c>
      <c r="C318" s="1190">
        <v>514.54</v>
      </c>
      <c r="D318" s="1190">
        <v>34.049999999999997</v>
      </c>
      <c r="E318" s="1190">
        <v>548.59</v>
      </c>
      <c r="F318" s="1188" t="s">
        <v>1099</v>
      </c>
      <c r="G318" s="1188" t="s">
        <v>1141</v>
      </c>
      <c r="H318" s="1188" t="s">
        <v>3845</v>
      </c>
      <c r="I318" s="607"/>
      <c r="J318" s="607"/>
      <c r="K318" s="607"/>
      <c r="L318" s="609" t="str">
        <f t="shared" si="37"/>
        <v>6247</v>
      </c>
      <c r="M318" s="610" t="str">
        <f t="shared" si="38"/>
        <v>FRET/EXPRESS/TRANS. PAR CAMION</v>
      </c>
      <c r="N318" s="611">
        <f>+IF(OR($Q318=Parametres!$G$2,$Q318=Parametres!$G$3),I318,C318)</f>
        <v>514.54</v>
      </c>
      <c r="O318" s="611">
        <f>+IF(OR($Q318=Parametres!$G$2,$Q318=Parametres!$G$3),J318,D318)</f>
        <v>34.049999999999997</v>
      </c>
      <c r="P318" s="611">
        <f>+IF(OR($Q318=Parametres!$G$2,$Q318=Parametres!$G$3),K318,E318)</f>
        <v>548.59</v>
      </c>
      <c r="Q318" s="610" t="str">
        <f t="shared" si="39"/>
        <v>7-Dépenses</v>
      </c>
      <c r="R318" s="609" t="str">
        <f t="shared" si="40"/>
        <v>6147</v>
      </c>
      <c r="S318" s="610" t="str">
        <f t="shared" si="41"/>
        <v>_</v>
      </c>
      <c r="T318" s="612" t="str">
        <f>+VLOOKUP($L318,Data_Validation!$A:$D,1,0)</f>
        <v>6247</v>
      </c>
      <c r="U318" s="612" t="str">
        <f>+VLOOKUP($L318,Data_Validation!$A:$D,3,0)</f>
        <v>Véhicules usagés</v>
      </c>
      <c r="V318" s="612" t="str">
        <f>+VLOOKUP($L318,Data_Validation!$A:$D,4,0)</f>
        <v>Frais postaux</v>
      </c>
      <c r="W318" s="612" t="str">
        <f>+VLOOKUP($L318,Data_Validation!$A:$E,5,0)</f>
        <v>$</v>
      </c>
      <c r="X318" s="612">
        <f>+VLOOKUP($L318,Data_Validation!$A:$F,6,0)</f>
        <v>0</v>
      </c>
    </row>
    <row r="319" spans="1:24" ht="15" customHeight="1">
      <c r="A319" s="1188" t="s">
        <v>1142</v>
      </c>
      <c r="B319" s="1188" t="s">
        <v>2333</v>
      </c>
      <c r="C319" s="1190">
        <v>21007.39</v>
      </c>
      <c r="D319" s="1190">
        <v>4529.91</v>
      </c>
      <c r="E319" s="1190">
        <v>25537.3</v>
      </c>
      <c r="F319" s="1188" t="s">
        <v>1099</v>
      </c>
      <c r="G319" s="1188" t="s">
        <v>1143</v>
      </c>
      <c r="H319" s="1188" t="s">
        <v>3845</v>
      </c>
      <c r="I319" s="608"/>
      <c r="J319" s="608"/>
      <c r="K319" s="608"/>
      <c r="L319" s="609" t="str">
        <f t="shared" si="37"/>
        <v>6251</v>
      </c>
      <c r="M319" s="610" t="str">
        <f t="shared" si="38"/>
        <v>DEP. DU TRAITEMENT DES DONNEES</v>
      </c>
      <c r="N319" s="611">
        <f>+IF(OR($Q319=Parametres!$G$2,$Q319=Parametres!$G$3),I319,C319)</f>
        <v>21007.39</v>
      </c>
      <c r="O319" s="615">
        <f>+IF(OR($Q319=Parametres!$G$2,$Q319=Parametres!$G$3),J319,D319)</f>
        <v>4529.91</v>
      </c>
      <c r="P319" s="611">
        <f>+IF(OR($Q319=Parametres!$G$2,$Q319=Parametres!$G$3),K319,E319)</f>
        <v>25537.3</v>
      </c>
      <c r="Q319" s="610" t="str">
        <f t="shared" si="39"/>
        <v>7-Dépenses</v>
      </c>
      <c r="R319" s="609" t="str">
        <f t="shared" si="40"/>
        <v>6151</v>
      </c>
      <c r="S319" s="610" t="str">
        <f t="shared" si="41"/>
        <v>_</v>
      </c>
      <c r="T319" s="612" t="str">
        <f>+VLOOKUP($L319,Data_Validation!$A:$D,1,0)</f>
        <v>6251</v>
      </c>
      <c r="U319" s="612" t="str">
        <f>+VLOOKUP($L319,Data_Validation!$A:$D,3,0)</f>
        <v>Véhicules usagés</v>
      </c>
      <c r="V319" s="612" t="str">
        <f>+VLOOKUP($L319,Data_Validation!$A:$D,4,0)</f>
        <v>Informatique</v>
      </c>
      <c r="W319" s="612" t="str">
        <f>+VLOOKUP($L319,Data_Validation!$A:$E,5,0)</f>
        <v>$</v>
      </c>
      <c r="X319" s="612">
        <f>+VLOOKUP($L319,Data_Validation!$A:$F,6,0)</f>
        <v>0</v>
      </c>
    </row>
    <row r="320" spans="1:24" ht="15" customHeight="1">
      <c r="A320" s="1188" t="s">
        <v>1144</v>
      </c>
      <c r="B320" s="1188" t="s">
        <v>2336</v>
      </c>
      <c r="C320" s="1190">
        <v>4420.92</v>
      </c>
      <c r="D320" s="1190">
        <v>184.22</v>
      </c>
      <c r="E320" s="1190">
        <v>4605.1400000000003</v>
      </c>
      <c r="F320" s="1188" t="s">
        <v>1099</v>
      </c>
      <c r="G320" s="1188" t="s">
        <v>1145</v>
      </c>
      <c r="H320" s="1188" t="s">
        <v>3845</v>
      </c>
      <c r="I320" s="619"/>
      <c r="J320" s="619"/>
      <c r="K320" s="619"/>
      <c r="L320" s="609" t="str">
        <f t="shared" si="37"/>
        <v>6252</v>
      </c>
      <c r="M320" s="610" t="str">
        <f t="shared" si="38"/>
        <v>PAPETERIE</v>
      </c>
      <c r="N320" s="611">
        <f>+IF(OR($Q320=Parametres!$G$2,$Q320=Parametres!$G$3),I320,C320)</f>
        <v>4420.92</v>
      </c>
      <c r="O320" s="611">
        <f>+IF(OR($Q320=Parametres!$G$2,$Q320=Parametres!$G$3),J320,D320)</f>
        <v>184.22</v>
      </c>
      <c r="P320" s="611">
        <f>+IF(OR($Q320=Parametres!$G$2,$Q320=Parametres!$G$3),K320,E320)</f>
        <v>4605.1400000000003</v>
      </c>
      <c r="Q320" s="610" t="str">
        <f t="shared" si="39"/>
        <v>7-Dépenses</v>
      </c>
      <c r="R320" s="609" t="str">
        <f t="shared" si="40"/>
        <v>6152</v>
      </c>
      <c r="S320" s="610" t="str">
        <f t="shared" si="41"/>
        <v>_</v>
      </c>
      <c r="T320" s="612" t="str">
        <f>+VLOOKUP($L320,Data_Validation!$A:$D,1,0)</f>
        <v>6252</v>
      </c>
      <c r="U320" s="612" t="str">
        <f>+VLOOKUP($L320,Data_Validation!$A:$D,3,0)</f>
        <v>Véhicules usagés</v>
      </c>
      <c r="V320" s="612" t="str">
        <f>+VLOOKUP($L320,Data_Validation!$A:$D,4,0)</f>
        <v>Papeterie</v>
      </c>
      <c r="W320" s="612" t="str">
        <f>+VLOOKUP($L320,Data_Validation!$A:$E,5,0)</f>
        <v>$</v>
      </c>
      <c r="X320" s="612">
        <f>+VLOOKUP($L320,Data_Validation!$A:$F,6,0)</f>
        <v>0</v>
      </c>
    </row>
    <row r="321" spans="1:24" ht="15" customHeight="1">
      <c r="A321" s="1188" t="s">
        <v>1146</v>
      </c>
      <c r="B321" s="1188" t="s">
        <v>2339</v>
      </c>
      <c r="C321" s="1190">
        <v>477.78</v>
      </c>
      <c r="D321" s="1190">
        <v>33.26</v>
      </c>
      <c r="E321" s="1190">
        <v>511.04</v>
      </c>
      <c r="F321" s="1188" t="s">
        <v>1099</v>
      </c>
      <c r="G321" s="1188" t="s">
        <v>1147</v>
      </c>
      <c r="H321" s="1188" t="s">
        <v>3845</v>
      </c>
      <c r="I321" s="1150"/>
      <c r="J321" s="1150"/>
      <c r="K321" s="1150"/>
      <c r="L321" s="609" t="str">
        <f t="shared" si="37"/>
        <v>6253</v>
      </c>
      <c r="M321" s="610" t="str">
        <f t="shared" si="38"/>
        <v>TELEPHONE ET TELEX</v>
      </c>
      <c r="N321" s="611">
        <f>+IF(OR($Q321=Parametres!$G$2,$Q321=Parametres!$G$3),I321,C321)</f>
        <v>477.78</v>
      </c>
      <c r="O321" s="611">
        <f>+IF(OR($Q321=Parametres!$G$2,$Q321=Parametres!$G$3),J321,D321)</f>
        <v>33.26</v>
      </c>
      <c r="P321" s="611">
        <f>+IF(OR($Q321=Parametres!$G$2,$Q321=Parametres!$G$3),K321,E321)</f>
        <v>511.04</v>
      </c>
      <c r="Q321" s="610" t="str">
        <f t="shared" si="39"/>
        <v>7-Dépenses</v>
      </c>
      <c r="R321" s="609" t="str">
        <f t="shared" si="40"/>
        <v>6153</v>
      </c>
      <c r="S321" s="610" t="str">
        <f t="shared" si="41"/>
        <v>_</v>
      </c>
      <c r="T321" s="612" t="str">
        <f>+VLOOKUP($L321,Data_Validation!$A:$D,1,0)</f>
        <v>6253</v>
      </c>
      <c r="U321" s="612" t="str">
        <f>+VLOOKUP($L321,Data_Validation!$A:$D,3,0)</f>
        <v>Véhicules usagés</v>
      </c>
      <c r="V321" s="612" t="str">
        <f>+VLOOKUP($L321,Data_Validation!$A:$D,4,0)</f>
        <v>Téléphone</v>
      </c>
      <c r="W321" s="612" t="str">
        <f>+VLOOKUP($L321,Data_Validation!$A:$E,5,0)</f>
        <v>$</v>
      </c>
      <c r="X321" s="612">
        <f>+VLOOKUP($L321,Data_Validation!$A:$F,6,0)</f>
        <v>0</v>
      </c>
    </row>
    <row r="322" spans="1:24" ht="15.75" customHeight="1">
      <c r="A322" s="1188" t="s">
        <v>1148</v>
      </c>
      <c r="B322" s="1188" t="s">
        <v>2342</v>
      </c>
      <c r="C322" s="1190">
        <v>397.98</v>
      </c>
      <c r="D322" s="1190">
        <v>7.07</v>
      </c>
      <c r="E322" s="1190">
        <v>405.05</v>
      </c>
      <c r="F322" s="1188" t="s">
        <v>1099</v>
      </c>
      <c r="G322" s="1188" t="s">
        <v>1149</v>
      </c>
      <c r="H322" s="1188" t="s">
        <v>3845</v>
      </c>
      <c r="I322" s="1150"/>
      <c r="J322" s="1150"/>
      <c r="K322" s="1150"/>
      <c r="L322" s="609" t="str">
        <f t="shared" si="37"/>
        <v>6255</v>
      </c>
      <c r="M322" s="610" t="str">
        <f t="shared" si="38"/>
        <v>DEPENSES DIVERS</v>
      </c>
      <c r="N322" s="611">
        <f>+IF(OR($Q322=Parametres!$G$2,$Q322=Parametres!$G$3),I322,C322)</f>
        <v>397.98</v>
      </c>
      <c r="O322" s="615">
        <f>+IF(OR($Q322=Parametres!$G$2,$Q322=Parametres!$G$3),J322,D322)</f>
        <v>7.07</v>
      </c>
      <c r="P322" s="611">
        <f>+IF(OR($Q322=Parametres!$G$2,$Q322=Parametres!$G$3),K322,E322)</f>
        <v>405.05</v>
      </c>
      <c r="Q322" s="610" t="str">
        <f t="shared" si="39"/>
        <v>7-Dépenses</v>
      </c>
      <c r="R322" s="609" t="str">
        <f t="shared" si="40"/>
        <v>6155</v>
      </c>
      <c r="S322" s="610" t="str">
        <f t="shared" si="41"/>
        <v>_</v>
      </c>
      <c r="T322" s="612" t="str">
        <f>+VLOOKUP($L322,Data_Validation!$A:$D,1,0)</f>
        <v>6255</v>
      </c>
      <c r="U322" s="612" t="str">
        <f>+VLOOKUP($L322,Data_Validation!$A:$D,3,0)</f>
        <v>Véhicules usagés</v>
      </c>
      <c r="V322" s="612" t="str">
        <f>+VLOOKUP($L322,Data_Validation!$A:$D,4,0)</f>
        <v>Divers</v>
      </c>
      <c r="W322" s="612" t="str">
        <f>+VLOOKUP($L322,Data_Validation!$A:$E,5,0)</f>
        <v>$</v>
      </c>
      <c r="X322" s="612">
        <f>+VLOOKUP($L322,Data_Validation!$A:$F,6,0)</f>
        <v>0</v>
      </c>
    </row>
    <row r="323" spans="1:24" ht="15" customHeight="1">
      <c r="A323" s="1188" t="s">
        <v>1177</v>
      </c>
      <c r="B323" s="1188" t="s">
        <v>2345</v>
      </c>
      <c r="C323" s="1190">
        <v>2275.39</v>
      </c>
      <c r="D323" s="1190">
        <v>118.68</v>
      </c>
      <c r="E323" s="1190">
        <v>2394.0700000000002</v>
      </c>
      <c r="F323" s="1188" t="s">
        <v>1099</v>
      </c>
      <c r="G323" s="1188" t="s">
        <v>1151</v>
      </c>
      <c r="H323" s="1188" t="s">
        <v>3845</v>
      </c>
      <c r="I323" s="1150"/>
      <c r="J323" s="1150"/>
      <c r="K323" s="1150"/>
      <c r="L323" s="609" t="str">
        <f t="shared" si="37"/>
        <v>6256</v>
      </c>
      <c r="M323" s="610" t="str">
        <f t="shared" si="38"/>
        <v>FRAIS REPRESENTATION - USAGE</v>
      </c>
      <c r="N323" s="611">
        <f>+IF(OR($Q323=Parametres!$G$2,$Q323=Parametres!$G$3),I323,C323)</f>
        <v>2275.39</v>
      </c>
      <c r="O323" s="615">
        <f>+IF(OR($Q323=Parametres!$G$2,$Q323=Parametres!$G$3),J323,D323)</f>
        <v>118.68</v>
      </c>
      <c r="P323" s="611">
        <f>+IF(OR($Q323=Parametres!$G$2,$Q323=Parametres!$G$3),K323,E323)</f>
        <v>2394.0700000000002</v>
      </c>
      <c r="Q323" s="610" t="str">
        <f t="shared" si="39"/>
        <v>7-Dépenses</v>
      </c>
      <c r="R323" s="609" t="str">
        <f t="shared" si="40"/>
        <v>6156</v>
      </c>
      <c r="S323" s="610" t="str">
        <f t="shared" si="41"/>
        <v>_</v>
      </c>
      <c r="T323" s="612" t="str">
        <f>+VLOOKUP($L323,Data_Validation!$A:$D,1,0)</f>
        <v>6256</v>
      </c>
      <c r="U323" s="612" t="str">
        <f>+VLOOKUP($L323,Data_Validation!$A:$D,3,0)</f>
        <v>Véhicules usagés</v>
      </c>
      <c r="V323" s="612" t="str">
        <f>+VLOOKUP($L323,Data_Validation!$A:$D,4,0)</f>
        <v>Frais de déplacement</v>
      </c>
      <c r="W323" s="612" t="str">
        <f>+VLOOKUP($L323,Data_Validation!$A:$E,5,0)</f>
        <v>$</v>
      </c>
      <c r="X323" s="612">
        <f>+VLOOKUP($L323,Data_Validation!$A:$F,6,0)</f>
        <v>0</v>
      </c>
    </row>
    <row r="324" spans="1:24" ht="15" customHeight="1">
      <c r="A324" s="1188" t="s">
        <v>1178</v>
      </c>
      <c r="B324" s="1188" t="s">
        <v>3335</v>
      </c>
      <c r="C324" s="1190">
        <v>5738.52</v>
      </c>
      <c r="D324" s="1190">
        <v>934.23</v>
      </c>
      <c r="E324" s="1190">
        <v>6672.75</v>
      </c>
      <c r="F324" s="1188" t="s">
        <v>1099</v>
      </c>
      <c r="G324" s="1188" t="s">
        <v>1179</v>
      </c>
      <c r="H324" s="1188" t="s">
        <v>3845</v>
      </c>
      <c r="I324" s="1150"/>
      <c r="J324" s="1150"/>
      <c r="K324" s="1150"/>
      <c r="L324" s="609" t="str">
        <f t="shared" si="37"/>
        <v>6257</v>
      </c>
      <c r="M324" s="610" t="str">
        <f t="shared" si="38"/>
        <v>FRAIS BANCAIRES - USAGE</v>
      </c>
      <c r="N324" s="611">
        <f>+IF(OR($Q324=Parametres!$G$2,$Q324=Parametres!$G$3),I324,C324)</f>
        <v>5738.52</v>
      </c>
      <c r="O324" s="611">
        <f>+IF(OR($Q324=Parametres!$G$2,$Q324=Parametres!$G$3),J324,D324)</f>
        <v>934.23</v>
      </c>
      <c r="P324" s="611">
        <f>+IF(OR($Q324=Parametres!$G$2,$Q324=Parametres!$G$3),K324,E324)</f>
        <v>6672.75</v>
      </c>
      <c r="Q324" s="610" t="str">
        <f t="shared" si="39"/>
        <v>7-Dépenses</v>
      </c>
      <c r="R324" s="609" t="str">
        <f t="shared" si="40"/>
        <v>625</v>
      </c>
      <c r="S324" s="610" t="str">
        <f t="shared" si="41"/>
        <v>_</v>
      </c>
      <c r="T324" s="612" t="str">
        <f>+VLOOKUP($L324,Data_Validation!$A:$D,1,0)</f>
        <v>6257</v>
      </c>
      <c r="U324" s="612" t="str">
        <f>+VLOOKUP($L324,Data_Validation!$A:$D,3,0)</f>
        <v>Véhicules usagés</v>
      </c>
      <c r="V324" s="612" t="str">
        <f>+VLOOKUP($L324,Data_Validation!$A:$D,4,0)</f>
        <v>Frais bancaires</v>
      </c>
      <c r="W324" s="612" t="str">
        <f>+VLOOKUP($L324,Data_Validation!$A:$E,5,0)</f>
        <v>$</v>
      </c>
      <c r="X324" s="612">
        <f>+VLOOKUP($L324,Data_Validation!$A:$F,6,0)</f>
        <v>0</v>
      </c>
    </row>
    <row r="325" spans="1:24" ht="15" customHeight="1">
      <c r="A325" s="1188" t="s">
        <v>1154</v>
      </c>
      <c r="B325" s="1188" t="s">
        <v>2348</v>
      </c>
      <c r="C325" s="1190">
        <v>14673.36</v>
      </c>
      <c r="D325" s="1190">
        <v>2268.83</v>
      </c>
      <c r="E325" s="1190">
        <v>16942.189999999999</v>
      </c>
      <c r="F325" s="1188" t="s">
        <v>1099</v>
      </c>
      <c r="G325" s="1188" t="s">
        <v>1155</v>
      </c>
      <c r="H325" s="1188" t="s">
        <v>3845</v>
      </c>
      <c r="I325" s="1150"/>
      <c r="J325" s="1150"/>
      <c r="K325" s="1150"/>
      <c r="L325" s="609" t="str">
        <f t="shared" si="37"/>
        <v>6259</v>
      </c>
      <c r="M325" s="610" t="str">
        <f t="shared" si="38"/>
        <v>SERVICE EXTERIEUR</v>
      </c>
      <c r="N325" s="611">
        <f>+IF(OR($Q325=Parametres!$G$2,$Q325=Parametres!$G$3),I325,C325)</f>
        <v>14673.36</v>
      </c>
      <c r="O325" s="615">
        <f>+IF(OR($Q325=Parametres!$G$2,$Q325=Parametres!$G$3),J325,D325)</f>
        <v>2268.83</v>
      </c>
      <c r="P325" s="611">
        <f>+IF(OR($Q325=Parametres!$G$2,$Q325=Parametres!$G$3),K325,E325)</f>
        <v>16942.189999999999</v>
      </c>
      <c r="Q325" s="610" t="str">
        <f t="shared" si="39"/>
        <v>7-Dépenses</v>
      </c>
      <c r="R325" s="609" t="str">
        <f t="shared" si="40"/>
        <v>6159</v>
      </c>
      <c r="S325" s="610" t="str">
        <f t="shared" si="41"/>
        <v>_</v>
      </c>
      <c r="T325" s="612" t="str">
        <f>+VLOOKUP($L325,Data_Validation!$A:$D,1,0)</f>
        <v>6259</v>
      </c>
      <c r="U325" s="612" t="str">
        <f>+VLOOKUP($L325,Data_Validation!$A:$D,3,0)</f>
        <v>Véhicules usagés</v>
      </c>
      <c r="V325" s="612" t="str">
        <f>+VLOOKUP($L325,Data_Validation!$A:$D,4,0)</f>
        <v>Services extérieurs</v>
      </c>
      <c r="W325" s="612" t="str">
        <f>+VLOOKUP($L325,Data_Validation!$A:$E,5,0)</f>
        <v>$</v>
      </c>
      <c r="X325" s="612">
        <f>+VLOOKUP($L325,Data_Validation!$A:$F,6,0)</f>
        <v>0</v>
      </c>
    </row>
    <row r="326" spans="1:24" ht="15" customHeight="1">
      <c r="A326" s="1188" t="s">
        <v>1156</v>
      </c>
      <c r="B326" s="1188" t="s">
        <v>2351</v>
      </c>
      <c r="C326" s="1190">
        <v>6852.24</v>
      </c>
      <c r="D326" s="1190">
        <v>1142.04</v>
      </c>
      <c r="E326" s="1190">
        <v>7994.28</v>
      </c>
      <c r="F326" s="1188" t="s">
        <v>1099</v>
      </c>
      <c r="G326" s="1188" t="s">
        <v>1157</v>
      </c>
      <c r="H326" s="1188" t="s">
        <v>3845</v>
      </c>
      <c r="I326" s="1150"/>
      <c r="J326" s="1150"/>
      <c r="K326" s="1150"/>
      <c r="L326" s="609" t="str">
        <f t="shared" si="37"/>
        <v>6261</v>
      </c>
      <c r="M326" s="610" t="str">
        <f t="shared" si="38"/>
        <v>DEPRECIATION EQUIP. &amp; FIXTURES</v>
      </c>
      <c r="N326" s="611">
        <f>+IF(OR($Q326=Parametres!$G$2,$Q326=Parametres!$G$3),I326,C326)</f>
        <v>6852.24</v>
      </c>
      <c r="O326" s="615">
        <f>+IF(OR($Q326=Parametres!$G$2,$Q326=Parametres!$G$3),J326,D326)</f>
        <v>1142.04</v>
      </c>
      <c r="P326" s="611">
        <f>+IF(OR($Q326=Parametres!$G$2,$Q326=Parametres!$G$3),K326,E326)</f>
        <v>7994.28</v>
      </c>
      <c r="Q326" s="610" t="str">
        <f t="shared" si="39"/>
        <v>7-Dépenses</v>
      </c>
      <c r="R326" s="609" t="str">
        <f t="shared" si="40"/>
        <v>6161</v>
      </c>
      <c r="S326" s="610" t="str">
        <f t="shared" si="41"/>
        <v>_</v>
      </c>
      <c r="T326" s="612" t="str">
        <f>+VLOOKUP($L326,Data_Validation!$A:$D,1,0)</f>
        <v>6261</v>
      </c>
      <c r="U326" s="612" t="str">
        <f>+VLOOKUP($L326,Data_Validation!$A:$D,3,0)</f>
        <v>Véhicules usagés</v>
      </c>
      <c r="V326" s="612" t="str">
        <f>+VLOOKUP($L326,Data_Validation!$A:$D,4,0)</f>
        <v>Amortissement</v>
      </c>
      <c r="W326" s="612" t="str">
        <f>+VLOOKUP($L326,Data_Validation!$A:$E,5,0)</f>
        <v>$</v>
      </c>
      <c r="X326" s="612">
        <f>+VLOOKUP($L326,Data_Validation!$A:$F,6,0)</f>
        <v>0</v>
      </c>
    </row>
    <row r="327" spans="1:24" ht="15.75" customHeight="1">
      <c r="A327" s="1188" t="s">
        <v>1180</v>
      </c>
      <c r="B327" s="1188" t="s">
        <v>2357</v>
      </c>
      <c r="C327" s="1190">
        <v>10993.97</v>
      </c>
      <c r="D327" s="1190">
        <v>497.38</v>
      </c>
      <c r="E327" s="1190">
        <v>11491.35</v>
      </c>
      <c r="F327" s="1188" t="s">
        <v>1099</v>
      </c>
      <c r="G327" s="1188" t="s">
        <v>1159</v>
      </c>
      <c r="H327" s="1188" t="s">
        <v>3845</v>
      </c>
      <c r="I327" s="1150"/>
      <c r="J327" s="1150"/>
      <c r="K327" s="1150"/>
      <c r="L327" s="609" t="str">
        <f t="shared" si="37"/>
        <v>6281</v>
      </c>
      <c r="M327" s="610" t="str">
        <f t="shared" si="38"/>
        <v>CHAUFFAGE,ELECTRICITE,EAU-USAGE</v>
      </c>
      <c r="N327" s="611">
        <f>+IF(OR($Q327=Parametres!$G$2,$Q327=Parametres!$G$3),I327,C327)</f>
        <v>10993.97</v>
      </c>
      <c r="O327" s="611">
        <f>+IF(OR($Q327=Parametres!$G$2,$Q327=Parametres!$G$3),J327,D327)</f>
        <v>497.38</v>
      </c>
      <c r="P327" s="611">
        <f>+IF(OR($Q327=Parametres!$G$2,$Q327=Parametres!$G$3),K327,E327)</f>
        <v>11491.35</v>
      </c>
      <c r="Q327" s="610" t="str">
        <f t="shared" si="39"/>
        <v>7-Dépenses</v>
      </c>
      <c r="R327" s="609" t="str">
        <f t="shared" si="40"/>
        <v>6181</v>
      </c>
      <c r="S327" s="610" t="str">
        <f t="shared" si="41"/>
        <v>_</v>
      </c>
      <c r="T327" s="612" t="str">
        <f>+VLOOKUP($L327,Data_Validation!$A:$D,1,0)</f>
        <v>6281</v>
      </c>
      <c r="U327" s="612" t="str">
        <f>+VLOOKUP($L327,Data_Validation!$A:$D,3,0)</f>
        <v>Véhicules usagés</v>
      </c>
      <c r="V327" s="612" t="str">
        <f>+VLOOKUP($L327,Data_Validation!$A:$D,4,0)</f>
        <v>Chauffage, éclairage</v>
      </c>
      <c r="W327" s="612" t="str">
        <f>+VLOOKUP($L327,Data_Validation!$A:$E,5,0)</f>
        <v>$</v>
      </c>
      <c r="X327" s="612">
        <f>+VLOOKUP($L327,Data_Validation!$A:$F,6,0)</f>
        <v>0</v>
      </c>
    </row>
    <row r="328" spans="1:24" ht="15" customHeight="1">
      <c r="A328" s="1188" t="s">
        <v>1181</v>
      </c>
      <c r="B328" s="1188" t="s">
        <v>2360</v>
      </c>
      <c r="C328" s="1190">
        <v>53220</v>
      </c>
      <c r="D328" s="1190">
        <v>9540</v>
      </c>
      <c r="E328" s="1190">
        <v>62760</v>
      </c>
      <c r="F328" s="1188" t="s">
        <v>1099</v>
      </c>
      <c r="G328" s="1188" t="s">
        <v>1161</v>
      </c>
      <c r="H328" s="1188" t="s">
        <v>3845</v>
      </c>
      <c r="I328" s="1150"/>
      <c r="J328" s="1150"/>
      <c r="K328" s="1150"/>
      <c r="L328" s="609" t="str">
        <f t="shared" si="37"/>
        <v>6282</v>
      </c>
      <c r="M328" s="610" t="str">
        <f t="shared" si="38"/>
        <v>LOYER - USAGE</v>
      </c>
      <c r="N328" s="611">
        <f>+IF(OR($Q328=Parametres!$G$2,$Q328=Parametres!$G$3),I328,C328)</f>
        <v>53220</v>
      </c>
      <c r="O328" s="611">
        <f>+IF(OR($Q328=Parametres!$G$2,$Q328=Parametres!$G$3),J328,D328)</f>
        <v>9540</v>
      </c>
      <c r="P328" s="611">
        <f>+IF(OR($Q328=Parametres!$G$2,$Q328=Parametres!$G$3),K328,E328)</f>
        <v>62760</v>
      </c>
      <c r="Q328" s="610" t="str">
        <f t="shared" si="39"/>
        <v>7-Dépenses</v>
      </c>
      <c r="R328" s="609" t="str">
        <f t="shared" si="40"/>
        <v>6182</v>
      </c>
      <c r="S328" s="610" t="str">
        <f t="shared" si="41"/>
        <v>_</v>
      </c>
      <c r="T328" s="612" t="str">
        <f>+VLOOKUP($L328,Data_Validation!$A:$D,1,0)</f>
        <v>6282</v>
      </c>
      <c r="U328" s="612" t="str">
        <f>+VLOOKUP($L328,Data_Validation!$A:$D,3,0)</f>
        <v>Véhicules usagés</v>
      </c>
      <c r="V328" s="612" t="str">
        <f>+VLOOKUP($L328,Data_Validation!$A:$D,4,0)</f>
        <v>Loyer</v>
      </c>
      <c r="W328" s="612" t="str">
        <f>+VLOOKUP($L328,Data_Validation!$A:$E,5,0)</f>
        <v>$</v>
      </c>
      <c r="X328" s="612">
        <f>+VLOOKUP($L328,Data_Validation!$A:$F,6,0)</f>
        <v>0</v>
      </c>
    </row>
    <row r="329" spans="1:24" ht="15" customHeight="1">
      <c r="A329" s="1188" t="s">
        <v>1182</v>
      </c>
      <c r="B329" s="1188" t="s">
        <v>2363</v>
      </c>
      <c r="C329" s="1190">
        <v>2868.51</v>
      </c>
      <c r="D329" s="1190">
        <v>480</v>
      </c>
      <c r="E329" s="1190">
        <v>3348.51</v>
      </c>
      <c r="F329" s="1188" t="s">
        <v>1099</v>
      </c>
      <c r="G329" s="1188" t="s">
        <v>1163</v>
      </c>
      <c r="H329" s="1188" t="s">
        <v>3845</v>
      </c>
      <c r="I329" s="1150"/>
      <c r="J329" s="1150"/>
      <c r="K329" s="1150"/>
      <c r="L329" s="609" t="str">
        <f t="shared" si="37"/>
        <v>6286</v>
      </c>
      <c r="M329" s="610" t="str">
        <f t="shared" si="38"/>
        <v>ASSURANCE BATISSE &amp; AMEL.-USAGE</v>
      </c>
      <c r="N329" s="611">
        <f>+IF(OR($Q329=Parametres!$G$2,$Q329=Parametres!$G$3),I329,C329)</f>
        <v>2868.51</v>
      </c>
      <c r="O329" s="611">
        <f>+IF(OR($Q329=Parametres!$G$2,$Q329=Parametres!$G$3),J329,D329)</f>
        <v>480</v>
      </c>
      <c r="P329" s="611">
        <f>+IF(OR($Q329=Parametres!$G$2,$Q329=Parametres!$G$3),K329,E329)</f>
        <v>3348.51</v>
      </c>
      <c r="Q329" s="610" t="str">
        <f t="shared" si="39"/>
        <v>7-Dépenses</v>
      </c>
      <c r="R329" s="609" t="str">
        <f t="shared" si="40"/>
        <v>6186</v>
      </c>
      <c r="S329" s="610" t="str">
        <f t="shared" si="41"/>
        <v>_</v>
      </c>
      <c r="T329" s="612" t="str">
        <f>+VLOOKUP($L329,Data_Validation!$A:$D,1,0)</f>
        <v>6286</v>
      </c>
      <c r="U329" s="612" t="str">
        <f>+VLOOKUP($L329,Data_Validation!$A:$D,3,0)</f>
        <v>Véhicules usagés</v>
      </c>
      <c r="V329" s="612" t="str">
        <f>+VLOOKUP($L329,Data_Validation!$A:$D,4,0)</f>
        <v>Assurances</v>
      </c>
      <c r="W329" s="612" t="str">
        <f>+VLOOKUP($L329,Data_Validation!$A:$E,5,0)</f>
        <v>$</v>
      </c>
      <c r="X329" s="612">
        <f>+VLOOKUP($L329,Data_Validation!$A:$F,6,0)</f>
        <v>0</v>
      </c>
    </row>
    <row r="330" spans="1:24" ht="15" customHeight="1">
      <c r="A330" s="1188" t="s">
        <v>1183</v>
      </c>
      <c r="B330" s="1188" t="s">
        <v>2366</v>
      </c>
      <c r="C330" s="1190">
        <v>11880</v>
      </c>
      <c r="D330" s="1190">
        <v>1980</v>
      </c>
      <c r="E330" s="1190">
        <v>13860</v>
      </c>
      <c r="F330" s="1188" t="s">
        <v>1099</v>
      </c>
      <c r="G330" s="1188" t="s">
        <v>1165</v>
      </c>
      <c r="H330" s="1188" t="s">
        <v>3845</v>
      </c>
      <c r="I330" s="1150"/>
      <c r="J330" s="1150"/>
      <c r="K330" s="1150"/>
      <c r="L330" s="609" t="str">
        <f t="shared" si="37"/>
        <v>6287</v>
      </c>
      <c r="M330" s="610" t="str">
        <f t="shared" si="38"/>
        <v>TAXES FONCIERES - USAGE</v>
      </c>
      <c r="N330" s="611">
        <f>+IF(OR($Q330=Parametres!$G$2,$Q330=Parametres!$G$3),I330,C330)</f>
        <v>11880</v>
      </c>
      <c r="O330" s="611">
        <f>+IF(OR($Q330=Parametres!$G$2,$Q330=Parametres!$G$3),J330,D330)</f>
        <v>1980</v>
      </c>
      <c r="P330" s="611">
        <f>+IF(OR($Q330=Parametres!$G$2,$Q330=Parametres!$G$3),K330,E330)</f>
        <v>13860</v>
      </c>
      <c r="Q330" s="610" t="str">
        <f t="shared" si="39"/>
        <v>7-Dépenses</v>
      </c>
      <c r="R330" s="609" t="str">
        <f t="shared" si="40"/>
        <v>6187</v>
      </c>
      <c r="S330" s="610" t="str">
        <f t="shared" si="41"/>
        <v>_</v>
      </c>
      <c r="T330" s="612" t="str">
        <f>+VLOOKUP($L330,Data_Validation!$A:$D,1,0)</f>
        <v>6287</v>
      </c>
      <c r="U330" s="612" t="str">
        <f>+VLOOKUP($L330,Data_Validation!$A:$D,3,0)</f>
        <v>Véhicules usagés</v>
      </c>
      <c r="V330" s="612" t="str">
        <f>+VLOOKUP($L330,Data_Validation!$A:$D,4,0)</f>
        <v>Taxes foncières</v>
      </c>
      <c r="W330" s="612" t="str">
        <f>+VLOOKUP($L330,Data_Validation!$A:$E,5,0)</f>
        <v>$</v>
      </c>
      <c r="X330" s="612">
        <f>+VLOOKUP($L330,Data_Validation!$A:$F,6,0)</f>
        <v>0</v>
      </c>
    </row>
    <row r="331" spans="1:24" ht="15" customHeight="1">
      <c r="A331" s="1188" t="s">
        <v>1184</v>
      </c>
      <c r="B331" s="1188" t="s">
        <v>2369</v>
      </c>
      <c r="C331" s="1190">
        <v>1080</v>
      </c>
      <c r="D331" s="1190">
        <v>180</v>
      </c>
      <c r="E331" s="1190">
        <v>1260</v>
      </c>
      <c r="F331" s="1188" t="s">
        <v>1099</v>
      </c>
      <c r="G331" s="1188" t="s">
        <v>1167</v>
      </c>
      <c r="H331" s="1188" t="s">
        <v>3845</v>
      </c>
      <c r="I331" s="1150"/>
      <c r="J331" s="1150"/>
      <c r="K331" s="1150"/>
      <c r="L331" s="609" t="str">
        <f t="shared" si="37"/>
        <v>6293</v>
      </c>
      <c r="M331" s="610" t="str">
        <f t="shared" si="38"/>
        <v>AUTRE TAXES - USAGES</v>
      </c>
      <c r="N331" s="611">
        <f>+IF(OR($Q331=Parametres!$G$2,$Q331=Parametres!$G$3),I331,C331)</f>
        <v>1080</v>
      </c>
      <c r="O331" s="611">
        <f>+IF(OR($Q331=Parametres!$G$2,$Q331=Parametres!$G$3),J331,D331)</f>
        <v>180</v>
      </c>
      <c r="P331" s="611">
        <f>+IF(OR($Q331=Parametres!$G$2,$Q331=Parametres!$G$3),K331,E331)</f>
        <v>1260</v>
      </c>
      <c r="Q331" s="610" t="str">
        <f t="shared" si="39"/>
        <v>7-Dépenses</v>
      </c>
      <c r="R331" s="609" t="str">
        <f t="shared" si="40"/>
        <v>6193</v>
      </c>
      <c r="S331" s="610" t="str">
        <f t="shared" si="41"/>
        <v>_</v>
      </c>
      <c r="T331" s="612" t="str">
        <f>+VLOOKUP($L331,Data_Validation!$A:$D,1,0)</f>
        <v>6293</v>
      </c>
      <c r="U331" s="612" t="str">
        <f>+VLOOKUP($L331,Data_Validation!$A:$D,3,0)</f>
        <v>Véhicules usagés</v>
      </c>
      <c r="V331" s="612" t="str">
        <f>+VLOOKUP($L331,Data_Validation!$A:$D,4,0)</f>
        <v>Taxes d`affaires</v>
      </c>
      <c r="W331" s="612" t="str">
        <f>+VLOOKUP($L331,Data_Validation!$A:$E,5,0)</f>
        <v>$</v>
      </c>
      <c r="X331" s="612">
        <f>+VLOOKUP($L331,Data_Validation!$A:$F,6,0)</f>
        <v>0</v>
      </c>
    </row>
    <row r="332" spans="1:24" ht="15" customHeight="1">
      <c r="A332" s="1188" t="s">
        <v>1185</v>
      </c>
      <c r="B332" s="1188" t="s">
        <v>2372</v>
      </c>
      <c r="C332" s="1190">
        <v>7930.79</v>
      </c>
      <c r="D332" s="1190">
        <v>272.04000000000002</v>
      </c>
      <c r="E332" s="1190">
        <v>8202.83</v>
      </c>
      <c r="F332" s="1188" t="s">
        <v>1099</v>
      </c>
      <c r="G332" s="1188" t="s">
        <v>1169</v>
      </c>
      <c r="H332" s="1188" t="s">
        <v>3845</v>
      </c>
      <c r="I332" s="1150"/>
      <c r="J332" s="1150"/>
      <c r="K332" s="1150"/>
      <c r="L332" s="609" t="str">
        <f t="shared" si="37"/>
        <v>6294</v>
      </c>
      <c r="M332" s="610" t="str">
        <f t="shared" si="38"/>
        <v>FRAIS PROFESSIONNEL-USAGE</v>
      </c>
      <c r="N332" s="611">
        <f>+IF(OR($Q332=Parametres!$G$2,$Q332=Parametres!$G$3),I332,C332)</f>
        <v>7930.79</v>
      </c>
      <c r="O332" s="611">
        <f>+IF(OR($Q332=Parametres!$G$2,$Q332=Parametres!$G$3),J332,D332)</f>
        <v>272.04000000000002</v>
      </c>
      <c r="P332" s="611">
        <f>+IF(OR($Q332=Parametres!$G$2,$Q332=Parametres!$G$3),K332,E332)</f>
        <v>8202.83</v>
      </c>
      <c r="Q332" s="610" t="str">
        <f t="shared" si="39"/>
        <v>7-Dépenses</v>
      </c>
      <c r="R332" s="609" t="str">
        <f t="shared" si="40"/>
        <v>6194</v>
      </c>
      <c r="S332" s="610" t="str">
        <f t="shared" si="41"/>
        <v>_</v>
      </c>
      <c r="T332" s="612" t="str">
        <f>+VLOOKUP($L332,Data_Validation!$A:$D,1,0)</f>
        <v>6294</v>
      </c>
      <c r="U332" s="612" t="str">
        <f>+VLOOKUP($L332,Data_Validation!$A:$D,3,0)</f>
        <v>Véhicules usagés</v>
      </c>
      <c r="V332" s="612" t="str">
        <f>+VLOOKUP($L332,Data_Validation!$A:$D,4,0)</f>
        <v>Honoraires</v>
      </c>
      <c r="W332" s="612" t="str">
        <f>+VLOOKUP($L332,Data_Validation!$A:$E,5,0)</f>
        <v>$</v>
      </c>
      <c r="X332" s="612">
        <f>+VLOOKUP($L332,Data_Validation!$A:$F,6,0)</f>
        <v>0</v>
      </c>
    </row>
    <row r="333" spans="1:24" ht="15.75" customHeight="1">
      <c r="A333" s="1188" t="s">
        <v>1186</v>
      </c>
      <c r="B333" s="1188" t="s">
        <v>2375</v>
      </c>
      <c r="C333" s="1190">
        <v>12338.78</v>
      </c>
      <c r="D333" s="1190">
        <v>488.17</v>
      </c>
      <c r="E333" s="1190">
        <v>12826.95</v>
      </c>
      <c r="F333" s="1188" t="s">
        <v>1099</v>
      </c>
      <c r="G333" s="1188" t="s">
        <v>1187</v>
      </c>
      <c r="H333" s="1188" t="s">
        <v>3845</v>
      </c>
      <c r="I333" s="1150"/>
      <c r="J333" s="1150"/>
      <c r="K333" s="1150"/>
      <c r="L333" s="609" t="str">
        <f t="shared" si="37"/>
        <v>6403</v>
      </c>
      <c r="M333" s="610" t="str">
        <f t="shared" si="38"/>
        <v>RELAT. A LA CLIENTELE &amp; AJUST</v>
      </c>
      <c r="N333" s="611">
        <f>+IF(OR($Q333=Parametres!$G$2,$Q333=Parametres!$G$3),I333,C333)</f>
        <v>12338.78</v>
      </c>
      <c r="O333" s="611">
        <f>+IF(OR($Q333=Parametres!$G$2,$Q333=Parametres!$G$3),J333,D333)</f>
        <v>488.17</v>
      </c>
      <c r="P333" s="611">
        <f>+IF(OR($Q333=Parametres!$G$2,$Q333=Parametres!$G$3),K333,E333)</f>
        <v>12826.95</v>
      </c>
      <c r="Q333" s="610" t="str">
        <f t="shared" si="39"/>
        <v>7-Dépenses</v>
      </c>
      <c r="R333" s="609" t="str">
        <f t="shared" si="40"/>
        <v>6112</v>
      </c>
      <c r="S333" s="610" t="str">
        <f t="shared" si="41"/>
        <v>_</v>
      </c>
      <c r="T333" s="612" t="str">
        <f>+VLOOKUP($L333,Data_Validation!$A:$D,1,0)</f>
        <v>6403</v>
      </c>
      <c r="U333" s="612" t="str">
        <f>+VLOOKUP($L333,Data_Validation!$A:$D,3,0)</f>
        <v>Service</v>
      </c>
      <c r="V333" s="612" t="str">
        <f>+VLOOKUP($L333,Data_Validation!$A:$D,4,0)</f>
        <v>Service gratuit 2</v>
      </c>
      <c r="W333" s="612" t="str">
        <f>+VLOOKUP($L333,Data_Validation!$A:$E,5,0)</f>
        <v>$</v>
      </c>
      <c r="X333" s="612">
        <f>+VLOOKUP($L333,Data_Validation!$A:$F,6,0)</f>
        <v>0</v>
      </c>
    </row>
    <row r="334" spans="1:24" ht="15.75" customHeight="1">
      <c r="A334" s="1188" t="s">
        <v>1188</v>
      </c>
      <c r="B334" s="1188" t="s">
        <v>2378</v>
      </c>
      <c r="C334" s="1190">
        <v>767.76</v>
      </c>
      <c r="D334" s="1190">
        <v>48.05</v>
      </c>
      <c r="E334" s="1190">
        <v>815.81</v>
      </c>
      <c r="F334" s="1188" t="s">
        <v>1099</v>
      </c>
      <c r="G334" s="1188" t="s">
        <v>1187</v>
      </c>
      <c r="H334" s="1188" t="s">
        <v>3845</v>
      </c>
      <c r="I334" s="1149"/>
      <c r="J334" s="1149"/>
      <c r="K334" s="1149"/>
      <c r="L334" s="609" t="str">
        <f t="shared" si="37"/>
        <v>6412</v>
      </c>
      <c r="M334" s="610" t="str">
        <f t="shared" si="38"/>
        <v>AUTORISATION &amp; GAR./VEH. USA</v>
      </c>
      <c r="N334" s="611">
        <f>+IF(OR($Q334=Parametres!$G$2,$Q334=Parametres!$G$3),I334,C334)</f>
        <v>767.76</v>
      </c>
      <c r="O334" s="611">
        <f>+IF(OR($Q334=Parametres!$G$2,$Q334=Parametres!$G$3),J334,D334)</f>
        <v>48.05</v>
      </c>
      <c r="P334" s="611">
        <f>+IF(OR($Q334=Parametres!$G$2,$Q334=Parametres!$G$3),K334,E334)</f>
        <v>815.81</v>
      </c>
      <c r="Q334" s="610" t="str">
        <f t="shared" si="39"/>
        <v>7-Dépenses</v>
      </c>
      <c r="R334" s="609" t="str">
        <f t="shared" si="40"/>
        <v>6112</v>
      </c>
      <c r="S334" s="610" t="str">
        <f t="shared" si="41"/>
        <v>_</v>
      </c>
      <c r="T334" s="612" t="str">
        <f>+VLOOKUP($L334,Data_Validation!$A:$D,1,0)</f>
        <v>6412</v>
      </c>
      <c r="U334" s="612" t="str">
        <f>+VLOOKUP($L334,Data_Validation!$A:$D,3,0)</f>
        <v>Service</v>
      </c>
      <c r="V334" s="612" t="str">
        <f>+VLOOKUP($L334,Data_Validation!$A:$D,4,0)</f>
        <v>Service gratuit 2</v>
      </c>
      <c r="W334" s="612" t="str">
        <f>+VLOOKUP($L334,Data_Validation!$A:$E,5,0)</f>
        <v>$</v>
      </c>
      <c r="X334" s="612">
        <f>+VLOOKUP($L334,Data_Validation!$A:$F,6,0)</f>
        <v>0</v>
      </c>
    </row>
    <row r="335" spans="1:24" ht="15" customHeight="1">
      <c r="A335" s="1188" t="s">
        <v>1111</v>
      </c>
      <c r="B335" s="1188" t="s">
        <v>2381</v>
      </c>
      <c r="C335" s="1190">
        <v>35555.370000000003</v>
      </c>
      <c r="D335" s="1190">
        <v>8024.81</v>
      </c>
      <c r="E335" s="1190">
        <v>43580.18</v>
      </c>
      <c r="F335" s="1188" t="s">
        <v>1099</v>
      </c>
      <c r="G335" s="1188" t="s">
        <v>1112</v>
      </c>
      <c r="H335" s="1188" t="s">
        <v>3845</v>
      </c>
      <c r="I335" s="1149"/>
      <c r="J335" s="1149"/>
      <c r="K335" s="1149"/>
      <c r="L335" s="609" t="str">
        <f t="shared" si="37"/>
        <v>6414</v>
      </c>
      <c r="M335" s="610" t="str">
        <f t="shared" si="38"/>
        <v>PUBLICITE</v>
      </c>
      <c r="N335" s="611">
        <f>+IF(OR($Q335=Parametres!$G$2,$Q335=Parametres!$G$3),I335,C335)</f>
        <v>35555.370000000003</v>
      </c>
      <c r="O335" s="611">
        <f>+IF(OR($Q335=Parametres!$G$2,$Q335=Parametres!$G$3),J335,D335)</f>
        <v>8024.81</v>
      </c>
      <c r="P335" s="611">
        <f>+IF(OR($Q335=Parametres!$G$2,$Q335=Parametres!$G$3),K335,E335)</f>
        <v>43580.18</v>
      </c>
      <c r="Q335" s="610" t="str">
        <f t="shared" si="39"/>
        <v>7-Dépenses</v>
      </c>
      <c r="R335" s="609" t="str">
        <f t="shared" si="40"/>
        <v>6114</v>
      </c>
      <c r="S335" s="610" t="str">
        <f t="shared" si="41"/>
        <v>_</v>
      </c>
      <c r="T335" s="612" t="str">
        <f>+VLOOKUP($L335,Data_Validation!$A:$D,1,0)</f>
        <v>6414</v>
      </c>
      <c r="U335" s="612" t="str">
        <f>+VLOOKUP($L335,Data_Validation!$A:$D,3,0)</f>
        <v>Service</v>
      </c>
      <c r="V335" s="612" t="str">
        <f>+VLOOKUP($L335,Data_Validation!$A:$D,4,0)</f>
        <v>Publicité 2</v>
      </c>
      <c r="W335" s="612" t="str">
        <f>+VLOOKUP($L335,Data_Validation!$A:$E,5,0)</f>
        <v>$</v>
      </c>
      <c r="X335" s="612">
        <f>+VLOOKUP($L335,Data_Validation!$A:$F,6,0)</f>
        <v>0</v>
      </c>
    </row>
    <row r="336" spans="1:24" ht="15" customHeight="1">
      <c r="A336" s="1188" t="s">
        <v>3862</v>
      </c>
      <c r="B336" s="1188" t="s">
        <v>2384</v>
      </c>
      <c r="C336" s="1190">
        <v>17123.939999999999</v>
      </c>
      <c r="D336" s="1190">
        <v>3560.85</v>
      </c>
      <c r="E336" s="1190">
        <v>20684.79</v>
      </c>
      <c r="F336" s="1188" t="s">
        <v>1099</v>
      </c>
      <c r="G336" s="1188" t="s">
        <v>1115</v>
      </c>
      <c r="H336" s="1188" t="s">
        <v>3845</v>
      </c>
      <c r="I336" s="1149"/>
      <c r="J336" s="1149"/>
      <c r="K336" s="1149"/>
      <c r="L336" s="609" t="str">
        <f t="shared" si="37"/>
        <v>6421</v>
      </c>
      <c r="M336" s="610" t="str">
        <f t="shared" si="38"/>
        <v>SALAIRES - DIRECTION GENERALE</v>
      </c>
      <c r="N336" s="611">
        <f>+IF(OR($Q336=Parametres!$G$2,$Q336=Parametres!$G$3),I336,C336)</f>
        <v>17123.939999999999</v>
      </c>
      <c r="O336" s="611">
        <f>+IF(OR($Q336=Parametres!$G$2,$Q336=Parametres!$G$3),J336,D336)</f>
        <v>3560.85</v>
      </c>
      <c r="P336" s="611">
        <f>+IF(OR($Q336=Parametres!$G$2,$Q336=Parametres!$G$3),K336,E336)</f>
        <v>20684.79</v>
      </c>
      <c r="Q336" s="610" t="str">
        <f t="shared" si="39"/>
        <v>7-Dépenses</v>
      </c>
      <c r="R336" s="609" t="str">
        <f t="shared" si="40"/>
        <v>6121</v>
      </c>
      <c r="S336" s="610" t="str">
        <f t="shared" si="41"/>
        <v>_</v>
      </c>
      <c r="T336" s="612" t="str">
        <f>+VLOOKUP($L336,Data_Validation!$A:$D,1,0)</f>
        <v>6421</v>
      </c>
      <c r="U336" s="612" t="str">
        <f>+VLOOKUP($L336,Data_Validation!$A:$D,3,0)</f>
        <v>Service</v>
      </c>
      <c r="V336" s="612" t="str">
        <f>+VLOOKUP($L336,Data_Validation!$A:$D,4,0)</f>
        <v>Salaires propriétaire</v>
      </c>
      <c r="W336" s="612" t="str">
        <f>+VLOOKUP($L336,Data_Validation!$A:$E,5,0)</f>
        <v>$</v>
      </c>
      <c r="X336" s="612">
        <f>+VLOOKUP($L336,Data_Validation!$A:$F,6,0)</f>
        <v>0</v>
      </c>
    </row>
    <row r="337" spans="1:24" ht="15" customHeight="1">
      <c r="A337" s="1188" t="s">
        <v>1116</v>
      </c>
      <c r="B337" s="1188" t="s">
        <v>2387</v>
      </c>
      <c r="C337" s="1190">
        <v>54540.51</v>
      </c>
      <c r="D337" s="1190">
        <v>6385.21</v>
      </c>
      <c r="E337" s="1190">
        <v>60925.72</v>
      </c>
      <c r="F337" s="1188" t="s">
        <v>1099</v>
      </c>
      <c r="G337" s="1188" t="s">
        <v>1117</v>
      </c>
      <c r="H337" s="1188" t="s">
        <v>3845</v>
      </c>
      <c r="I337" s="1149"/>
      <c r="J337" s="1149"/>
      <c r="K337" s="1149"/>
      <c r="L337" s="609" t="str">
        <f t="shared" si="37"/>
        <v>6422</v>
      </c>
      <c r="M337" s="610" t="str">
        <f t="shared" si="38"/>
        <v>SAL SUPERVISION / GERANT</v>
      </c>
      <c r="N337" s="611">
        <f>+IF(OR($Q337=Parametres!$G$2,$Q337=Parametres!$G$3),I337,C337)</f>
        <v>54540.51</v>
      </c>
      <c r="O337" s="611">
        <f>+IF(OR($Q337=Parametres!$G$2,$Q337=Parametres!$G$3),J337,D337)</f>
        <v>6385.21</v>
      </c>
      <c r="P337" s="611">
        <f>+IF(OR($Q337=Parametres!$G$2,$Q337=Parametres!$G$3),K337,E337)</f>
        <v>60925.72</v>
      </c>
      <c r="Q337" s="610" t="str">
        <f t="shared" si="39"/>
        <v>7-Dépenses</v>
      </c>
      <c r="R337" s="609" t="str">
        <f t="shared" si="40"/>
        <v>6122</v>
      </c>
      <c r="S337" s="610" t="str">
        <f t="shared" si="41"/>
        <v>_</v>
      </c>
      <c r="T337" s="612" t="str">
        <f>+VLOOKUP($L337,Data_Validation!$A:$D,1,0)</f>
        <v>6422</v>
      </c>
      <c r="U337" s="612" t="str">
        <f>+VLOOKUP($L337,Data_Validation!$A:$D,3,0)</f>
        <v>Service</v>
      </c>
      <c r="V337" s="612" t="str">
        <f>+VLOOKUP($L337,Data_Validation!$A:$D,4,0)</f>
        <v>Salaires cadres</v>
      </c>
      <c r="W337" s="612" t="str">
        <f>+VLOOKUP($L337,Data_Validation!$A:$E,5,0)</f>
        <v>$</v>
      </c>
      <c r="X337" s="612">
        <f>+VLOOKUP($L337,Data_Validation!$A:$F,6,0)</f>
        <v>0</v>
      </c>
    </row>
    <row r="338" spans="1:24" ht="15.75" customHeight="1">
      <c r="A338" s="1188" t="s">
        <v>1189</v>
      </c>
      <c r="B338" s="1188" t="s">
        <v>2390</v>
      </c>
      <c r="C338" s="1190">
        <v>98821.66</v>
      </c>
      <c r="D338" s="1190">
        <v>23106.09</v>
      </c>
      <c r="E338" s="1190">
        <v>121927.75</v>
      </c>
      <c r="F338" s="1188" t="s">
        <v>1099</v>
      </c>
      <c r="G338" s="1188" t="s">
        <v>1119</v>
      </c>
      <c r="H338" s="1188" t="s">
        <v>3845</v>
      </c>
      <c r="I338" s="1149"/>
      <c r="J338" s="1149"/>
      <c r="K338" s="1149"/>
      <c r="L338" s="609" t="str">
        <f t="shared" si="37"/>
        <v>6423</v>
      </c>
      <c r="M338" s="610" t="str">
        <f t="shared" si="38"/>
        <v>SAL. &amp; RENUM. CLERICAL</v>
      </c>
      <c r="N338" s="611">
        <f>+IF(OR($Q338=Parametres!$G$2,$Q338=Parametres!$G$3),I338,C338)</f>
        <v>98821.66</v>
      </c>
      <c r="O338" s="615">
        <f>+IF(OR($Q338=Parametres!$G$2,$Q338=Parametres!$G$3),J338,D338)</f>
        <v>23106.09</v>
      </c>
      <c r="P338" s="611">
        <f>+IF(OR($Q338=Parametres!$G$2,$Q338=Parametres!$G$3),K338,E338)</f>
        <v>121927.75</v>
      </c>
      <c r="Q338" s="610" t="str">
        <f t="shared" si="39"/>
        <v>7-Dépenses</v>
      </c>
      <c r="R338" s="609" t="str">
        <f t="shared" si="40"/>
        <v>6123</v>
      </c>
      <c r="S338" s="610" t="str">
        <f t="shared" si="41"/>
        <v>_</v>
      </c>
      <c r="T338" s="612" t="str">
        <f>+VLOOKUP($L338,Data_Validation!$A:$D,1,0)</f>
        <v>6423</v>
      </c>
      <c r="U338" s="612" t="str">
        <f>+VLOOKUP($L338,Data_Validation!$A:$D,3,0)</f>
        <v>Service</v>
      </c>
      <c r="V338" s="612" t="str">
        <f>+VLOOKUP($L338,Data_Validation!$A:$D,4,0)</f>
        <v>Salaires commis</v>
      </c>
      <c r="W338" s="612" t="str">
        <f>+VLOOKUP($L338,Data_Validation!$A:$E,5,0)</f>
        <v>$</v>
      </c>
      <c r="X338" s="612">
        <f>+VLOOKUP($L338,Data_Validation!$A:$F,6,0)</f>
        <v>0</v>
      </c>
    </row>
    <row r="339" spans="1:24" ht="15" customHeight="1">
      <c r="A339" s="1188" t="s">
        <v>1120</v>
      </c>
      <c r="B339" s="1188" t="s">
        <v>2393</v>
      </c>
      <c r="C339" s="1190">
        <v>108411.35</v>
      </c>
      <c r="D339" s="1190">
        <v>24139.58</v>
      </c>
      <c r="E339" s="1190">
        <v>132550.93</v>
      </c>
      <c r="F339" s="1188" t="s">
        <v>1099</v>
      </c>
      <c r="G339" s="1188" t="s">
        <v>1121</v>
      </c>
      <c r="H339" s="1188" t="s">
        <v>3845</v>
      </c>
      <c r="I339" s="1149"/>
      <c r="J339" s="1149"/>
      <c r="K339" s="1149"/>
      <c r="L339" s="609" t="str">
        <f t="shared" si="37"/>
        <v>6424</v>
      </c>
      <c r="M339" s="610" t="str">
        <f t="shared" si="38"/>
        <v>SALAIRES &amp; RENUM. - AUTRES</v>
      </c>
      <c r="N339" s="611">
        <f>+IF(OR($Q339=Parametres!$G$2,$Q339=Parametres!$G$3),I339,C339)</f>
        <v>108411.35</v>
      </c>
      <c r="O339" s="611">
        <f>+IF(OR($Q339=Parametres!$G$2,$Q339=Parametres!$G$3),J339,D339)</f>
        <v>24139.58</v>
      </c>
      <c r="P339" s="611">
        <f>+IF(OR($Q339=Parametres!$G$2,$Q339=Parametres!$G$3),K339,E339)</f>
        <v>132550.93</v>
      </c>
      <c r="Q339" s="610" t="str">
        <f t="shared" si="39"/>
        <v>7-Dépenses</v>
      </c>
      <c r="R339" s="609" t="str">
        <f t="shared" si="40"/>
        <v>6124</v>
      </c>
      <c r="S339" s="610" t="str">
        <f t="shared" si="41"/>
        <v>_</v>
      </c>
      <c r="T339" s="612" t="str">
        <f>+VLOOKUP($L339,Data_Validation!$A:$D,1,0)</f>
        <v>6424</v>
      </c>
      <c r="U339" s="612" t="str">
        <f>+VLOOKUP($L339,Data_Validation!$A:$D,3,0)</f>
        <v>Service</v>
      </c>
      <c r="V339" s="612" t="str">
        <f>+VLOOKUP($L339,Data_Validation!$A:$D,4,0)</f>
        <v>Salaires autres</v>
      </c>
      <c r="W339" s="612" t="str">
        <f>+VLOOKUP($L339,Data_Validation!$A:$E,5,0)</f>
        <v>$</v>
      </c>
      <c r="X339" s="612">
        <f>+VLOOKUP($L339,Data_Validation!$A:$F,6,0)</f>
        <v>0</v>
      </c>
    </row>
    <row r="340" spans="1:24" ht="15" customHeight="1">
      <c r="A340" s="1188" t="s">
        <v>1190</v>
      </c>
      <c r="B340" s="1188" t="s">
        <v>2396</v>
      </c>
      <c r="C340" s="1190">
        <v>146660.17000000001</v>
      </c>
      <c r="D340" s="1190">
        <v>24270.01</v>
      </c>
      <c r="E340" s="1190">
        <v>170930.18</v>
      </c>
      <c r="F340" s="1188" t="s">
        <v>1099</v>
      </c>
      <c r="G340" s="1188" t="s">
        <v>1191</v>
      </c>
      <c r="H340" s="1188" t="s">
        <v>3845</v>
      </c>
      <c r="I340" s="1149"/>
      <c r="J340" s="1149"/>
      <c r="K340" s="1149"/>
      <c r="L340" s="609" t="str">
        <f t="shared" si="37"/>
        <v>6425</v>
      </c>
      <c r="M340" s="610" t="str">
        <f t="shared" si="38"/>
        <v>SALAIRE SPECIALISTES</v>
      </c>
      <c r="N340" s="611">
        <f>+IF(OR($Q340=Parametres!$G$2,$Q340=Parametres!$G$3),I340,C340)</f>
        <v>146660.17000000001</v>
      </c>
      <c r="O340" s="615">
        <f>+IF(OR($Q340=Parametres!$G$2,$Q340=Parametres!$G$3),J340,D340)</f>
        <v>24270.01</v>
      </c>
      <c r="P340" s="611">
        <f>+IF(OR($Q340=Parametres!$G$2,$Q340=Parametres!$G$3),K340,E340)</f>
        <v>170930.18</v>
      </c>
      <c r="Q340" s="610" t="str">
        <f t="shared" si="39"/>
        <v>7-Dépenses</v>
      </c>
      <c r="R340" s="609" t="str">
        <f t="shared" si="40"/>
        <v>6125</v>
      </c>
      <c r="S340" s="610" t="str">
        <f t="shared" si="41"/>
        <v>_</v>
      </c>
      <c r="T340" s="612" t="str">
        <f>+VLOOKUP($L340,Data_Validation!$A:$D,1,0)</f>
        <v>6425</v>
      </c>
      <c r="U340" s="612" t="str">
        <f>+VLOOKUP($L340,Data_Validation!$A:$D,3,0)</f>
        <v>Service</v>
      </c>
      <c r="V340" s="612" t="str">
        <f>+VLOOKUP($L340,Data_Validation!$A:$D,4,0)</f>
        <v>Salaires spécialistes</v>
      </c>
      <c r="W340" s="612" t="str">
        <f>+VLOOKUP($L340,Data_Validation!$A:$E,5,0)</f>
        <v>$</v>
      </c>
      <c r="X340" s="612">
        <f>+VLOOKUP($L340,Data_Validation!$A:$F,6,0)</f>
        <v>0</v>
      </c>
    </row>
    <row r="341" spans="1:24" ht="15" customHeight="1">
      <c r="A341" s="1188" t="s">
        <v>1192</v>
      </c>
      <c r="B341" s="1188" t="s">
        <v>2399</v>
      </c>
      <c r="C341" s="1190">
        <v>130204.51</v>
      </c>
      <c r="D341" s="1190">
        <v>19226.68</v>
      </c>
      <c r="E341" s="1190">
        <v>149431.19</v>
      </c>
      <c r="F341" s="1188" t="s">
        <v>1099</v>
      </c>
      <c r="G341" s="1188" t="s">
        <v>1123</v>
      </c>
      <c r="H341" s="1188" t="s">
        <v>3845</v>
      </c>
      <c r="I341" s="1149"/>
      <c r="J341" s="1149"/>
      <c r="K341" s="1149"/>
      <c r="L341" s="609" t="str">
        <f t="shared" si="37"/>
        <v>6429</v>
      </c>
      <c r="M341" s="610" t="str">
        <f t="shared" si="38"/>
        <v>SAL.,VACANCE, &amp; SAL. JOURS FER</v>
      </c>
      <c r="N341" s="611">
        <f>+IF(OR($Q341=Parametres!$G$2,$Q341=Parametres!$G$3),I341,C341)</f>
        <v>130204.51</v>
      </c>
      <c r="O341" s="615">
        <f>+IF(OR($Q341=Parametres!$G$2,$Q341=Parametres!$G$3),J341,D341)</f>
        <v>19226.68</v>
      </c>
      <c r="P341" s="611">
        <f>+IF(OR($Q341=Parametres!$G$2,$Q341=Parametres!$G$3),K341,E341)</f>
        <v>149431.19</v>
      </c>
      <c r="Q341" s="610" t="str">
        <f t="shared" si="39"/>
        <v>7-Dépenses</v>
      </c>
      <c r="R341" s="609" t="str">
        <f t="shared" si="40"/>
        <v>6129</v>
      </c>
      <c r="S341" s="610" t="str">
        <f t="shared" si="41"/>
        <v>_</v>
      </c>
      <c r="T341" s="612" t="str">
        <f>+VLOOKUP($L341,Data_Validation!$A:$D,1,0)</f>
        <v>6429</v>
      </c>
      <c r="U341" s="612" t="str">
        <f>+VLOOKUP($L341,Data_Validation!$A:$D,3,0)</f>
        <v>Service</v>
      </c>
      <c r="V341" s="612" t="str">
        <f>+VLOOKUP($L341,Data_Validation!$A:$D,4,0)</f>
        <v>Salaires en absences</v>
      </c>
      <c r="W341" s="612" t="str">
        <f>+VLOOKUP($L341,Data_Validation!$A:$E,5,0)</f>
        <v>$</v>
      </c>
      <c r="X341" s="612">
        <f>+VLOOKUP($L341,Data_Validation!$A:$F,6,0)</f>
        <v>0</v>
      </c>
    </row>
    <row r="342" spans="1:24" ht="15" customHeight="1">
      <c r="A342" s="1188" t="s">
        <v>1124</v>
      </c>
      <c r="B342" s="1188" t="s">
        <v>2402</v>
      </c>
      <c r="C342" s="1190">
        <v>22759.13</v>
      </c>
      <c r="D342" s="1190">
        <v>4609.2700000000004</v>
      </c>
      <c r="E342" s="1190">
        <v>27368.400000000001</v>
      </c>
      <c r="F342" s="1188" t="s">
        <v>1099</v>
      </c>
      <c r="G342" s="1188" t="s">
        <v>1125</v>
      </c>
      <c r="H342" s="1188" t="s">
        <v>3845</v>
      </c>
      <c r="I342" s="1149"/>
      <c r="J342" s="1149"/>
      <c r="K342" s="1149"/>
      <c r="L342" s="609" t="str">
        <f t="shared" si="37"/>
        <v>6431</v>
      </c>
      <c r="M342" s="610" t="str">
        <f t="shared" si="38"/>
        <v>CSST</v>
      </c>
      <c r="N342" s="611">
        <f>+IF(OR($Q342=Parametres!$G$2,$Q342=Parametres!$G$3),I342,C342)</f>
        <v>22759.13</v>
      </c>
      <c r="O342" s="611">
        <f>+IF(OR($Q342=Parametres!$G$2,$Q342=Parametres!$G$3),J342,D342)</f>
        <v>4609.2700000000004</v>
      </c>
      <c r="P342" s="611">
        <f>+IF(OR($Q342=Parametres!$G$2,$Q342=Parametres!$G$3),K342,E342)</f>
        <v>27368.400000000001</v>
      </c>
      <c r="Q342" s="610" t="str">
        <f t="shared" si="39"/>
        <v>7-Dépenses</v>
      </c>
      <c r="R342" s="609" t="str">
        <f t="shared" si="40"/>
        <v>6131</v>
      </c>
      <c r="S342" s="610" t="str">
        <f t="shared" si="41"/>
        <v>_</v>
      </c>
      <c r="T342" s="612" t="str">
        <f>+VLOOKUP($L342,Data_Validation!$A:$D,1,0)</f>
        <v>6431</v>
      </c>
      <c r="U342" s="612" t="str">
        <f>+VLOOKUP($L342,Data_Validation!$A:$D,3,0)</f>
        <v>Service</v>
      </c>
      <c r="V342" s="612" t="str">
        <f>+VLOOKUP($L342,Data_Validation!$A:$D,4,0)</f>
        <v>Csst</v>
      </c>
      <c r="W342" s="612" t="str">
        <f>+VLOOKUP($L342,Data_Validation!$A:$E,5,0)</f>
        <v>$</v>
      </c>
      <c r="X342" s="612">
        <f>+VLOOKUP($L342,Data_Validation!$A:$F,6,0)</f>
        <v>0</v>
      </c>
    </row>
    <row r="343" spans="1:24" ht="15.75" customHeight="1">
      <c r="A343" s="1188" t="s">
        <v>1126</v>
      </c>
      <c r="B343" s="1188" t="s">
        <v>2405</v>
      </c>
      <c r="C343" s="1190">
        <v>132208.18</v>
      </c>
      <c r="D343" s="1190">
        <v>23535.89</v>
      </c>
      <c r="E343" s="1190">
        <v>155744.07</v>
      </c>
      <c r="F343" s="1188" t="s">
        <v>1099</v>
      </c>
      <c r="G343" s="1188" t="s">
        <v>1127</v>
      </c>
      <c r="H343" s="1188" t="s">
        <v>3845</v>
      </c>
      <c r="I343" s="1149"/>
      <c r="J343" s="1149"/>
      <c r="K343" s="1149"/>
      <c r="L343" s="609" t="str">
        <f t="shared" si="37"/>
        <v>6432</v>
      </c>
      <c r="M343" s="610" t="str">
        <f t="shared" si="38"/>
        <v>RRQ RAMQ AC</v>
      </c>
      <c r="N343" s="611">
        <f>+IF(OR($Q343=Parametres!$G$2,$Q343=Parametres!$G$3),I343,C343)</f>
        <v>132208.18</v>
      </c>
      <c r="O343" s="611">
        <f>+IF(OR($Q343=Parametres!$G$2,$Q343=Parametres!$G$3),J343,D343)</f>
        <v>23535.89</v>
      </c>
      <c r="P343" s="611">
        <f>+IF(OR($Q343=Parametres!$G$2,$Q343=Parametres!$G$3),K343,E343)</f>
        <v>155744.07</v>
      </c>
      <c r="Q343" s="610" t="str">
        <f t="shared" si="39"/>
        <v>7-Dépenses</v>
      </c>
      <c r="R343" s="609" t="str">
        <f t="shared" si="40"/>
        <v>6132</v>
      </c>
      <c r="S343" s="610" t="str">
        <f t="shared" si="41"/>
        <v>_</v>
      </c>
      <c r="T343" s="612" t="str">
        <f>+VLOOKUP($L343,Data_Validation!$A:$D,1,0)</f>
        <v>6432</v>
      </c>
      <c r="U343" s="612" t="str">
        <f>+VLOOKUP($L343,Data_Validation!$A:$D,3,0)</f>
        <v>Service</v>
      </c>
      <c r="V343" s="612" t="str">
        <f>+VLOOKUP($L343,Data_Validation!$A:$D,4,0)</f>
        <v>Déduction à la source</v>
      </c>
      <c r="W343" s="612" t="str">
        <f>+VLOOKUP($L343,Data_Validation!$A:$E,5,0)</f>
        <v>$</v>
      </c>
      <c r="X343" s="612">
        <f>+VLOOKUP($L343,Data_Validation!$A:$F,6,0)</f>
        <v>0</v>
      </c>
    </row>
    <row r="344" spans="1:24" ht="15" customHeight="1">
      <c r="A344" s="1188" t="s">
        <v>1193</v>
      </c>
      <c r="B344" s="1188" t="s">
        <v>2408</v>
      </c>
      <c r="C344" s="1190">
        <v>31384.19</v>
      </c>
      <c r="D344" s="1190">
        <v>4866.55</v>
      </c>
      <c r="E344" s="1190">
        <v>36250.74</v>
      </c>
      <c r="F344" s="1188" t="s">
        <v>1099</v>
      </c>
      <c r="G344" s="1188" t="s">
        <v>1129</v>
      </c>
      <c r="H344" s="1188" t="s">
        <v>3845</v>
      </c>
      <c r="I344" s="1149"/>
      <c r="J344" s="1149"/>
      <c r="K344" s="1149"/>
      <c r="L344" s="609" t="str">
        <f t="shared" si="37"/>
        <v>6433</v>
      </c>
      <c r="M344" s="610" t="str">
        <f t="shared" si="38"/>
        <v>FOND PENSION - SERVICE</v>
      </c>
      <c r="N344" s="611">
        <f>+IF(OR($Q344=Parametres!$G$2,$Q344=Parametres!$G$3),I344,C344)</f>
        <v>31384.19</v>
      </c>
      <c r="O344" s="615">
        <f>+IF(OR($Q344=Parametres!$G$2,$Q344=Parametres!$G$3),J344,D344)</f>
        <v>4866.55</v>
      </c>
      <c r="P344" s="611">
        <f>+IF(OR($Q344=Parametres!$G$2,$Q344=Parametres!$G$3),K344,E344)</f>
        <v>36250.74</v>
      </c>
      <c r="Q344" s="610" t="str">
        <f t="shared" si="39"/>
        <v>7-Dépenses</v>
      </c>
      <c r="R344" s="609" t="str">
        <f t="shared" si="40"/>
        <v>6133</v>
      </c>
      <c r="S344" s="610" t="str">
        <f t="shared" si="41"/>
        <v>_</v>
      </c>
      <c r="T344" s="612" t="str">
        <f>+VLOOKUP($L344,Data_Validation!$A:$D,1,0)</f>
        <v>6433</v>
      </c>
      <c r="U344" s="612" t="str">
        <f>+VLOOKUP($L344,Data_Validation!$A:$D,3,0)</f>
        <v>Service</v>
      </c>
      <c r="V344" s="612" t="str">
        <f>+VLOOKUP($L344,Data_Validation!$A:$D,4,0)</f>
        <v>Bénéfices marginaux</v>
      </c>
      <c r="W344" s="612" t="str">
        <f>+VLOOKUP($L344,Data_Validation!$A:$E,5,0)</f>
        <v>$</v>
      </c>
      <c r="X344" s="612">
        <f>+VLOOKUP($L344,Data_Validation!$A:$F,6,0)</f>
        <v>0</v>
      </c>
    </row>
    <row r="345" spans="1:24" ht="15" customHeight="1">
      <c r="A345" s="1188" t="s">
        <v>1176</v>
      </c>
      <c r="B345" s="1188" t="s">
        <v>2411</v>
      </c>
      <c r="C345" s="1190">
        <v>40737.47</v>
      </c>
      <c r="D345" s="1190">
        <v>6688.57</v>
      </c>
      <c r="E345" s="1190">
        <v>47426.04</v>
      </c>
      <c r="F345" s="1188" t="s">
        <v>1099</v>
      </c>
      <c r="G345" s="1188" t="s">
        <v>1131</v>
      </c>
      <c r="H345" s="1188" t="s">
        <v>3845</v>
      </c>
      <c r="I345" s="1149"/>
      <c r="J345" s="1149"/>
      <c r="K345" s="1149"/>
      <c r="L345" s="609" t="str">
        <f t="shared" si="37"/>
        <v>6439</v>
      </c>
      <c r="M345" s="610" t="str">
        <f t="shared" si="38"/>
        <v>ASSURANCE GROUPE</v>
      </c>
      <c r="N345" s="611">
        <f>+IF(OR($Q345=Parametres!$G$2,$Q345=Parametres!$G$3),I345,C345)</f>
        <v>40737.47</v>
      </c>
      <c r="O345" s="611">
        <f>+IF(OR($Q345=Parametres!$G$2,$Q345=Parametres!$G$3),J345,D345)</f>
        <v>6688.57</v>
      </c>
      <c r="P345" s="611">
        <f>+IF(OR($Q345=Parametres!$G$2,$Q345=Parametres!$G$3),K345,E345)</f>
        <v>47426.04</v>
      </c>
      <c r="Q345" s="610" t="str">
        <f t="shared" si="39"/>
        <v>7-Dépenses</v>
      </c>
      <c r="R345" s="609" t="str">
        <f t="shared" si="40"/>
        <v>6139</v>
      </c>
      <c r="S345" s="610" t="str">
        <f t="shared" si="41"/>
        <v>_</v>
      </c>
      <c r="T345" s="612" t="str">
        <f>+VLOOKUP($L345,Data_Validation!$A:$D,1,0)</f>
        <v>6439</v>
      </c>
      <c r="U345" s="612" t="str">
        <f>+VLOOKUP($L345,Data_Validation!$A:$D,3,0)</f>
        <v>Service</v>
      </c>
      <c r="V345" s="612" t="str">
        <f>+VLOOKUP($L345,Data_Validation!$A:$D,4,0)</f>
        <v>Bénéfices marginaux</v>
      </c>
      <c r="W345" s="612" t="str">
        <f>+VLOOKUP($L345,Data_Validation!$A:$E,5,0)</f>
        <v>$</v>
      </c>
      <c r="X345" s="612">
        <f>+VLOOKUP($L345,Data_Validation!$A:$F,6,0)</f>
        <v>0</v>
      </c>
    </row>
    <row r="346" spans="1:24" ht="15" customHeight="1">
      <c r="A346" s="1188" t="s">
        <v>1194</v>
      </c>
      <c r="B346" s="1188" t="s">
        <v>2417</v>
      </c>
      <c r="C346" s="1190">
        <v>3621.85</v>
      </c>
      <c r="D346" s="1190">
        <v>1630.9</v>
      </c>
      <c r="E346" s="1190">
        <v>5252.75</v>
      </c>
      <c r="F346" s="1188" t="s">
        <v>1099</v>
      </c>
      <c r="G346" s="1188" t="s">
        <v>1187</v>
      </c>
      <c r="H346" s="1188" t="s">
        <v>3845</v>
      </c>
      <c r="I346" s="1149"/>
      <c r="J346" s="1149"/>
      <c r="K346" s="1149"/>
      <c r="L346" s="609" t="str">
        <f t="shared" si="37"/>
        <v>6441</v>
      </c>
      <c r="M346" s="610" t="str">
        <f t="shared" si="38"/>
        <v>RETOURS</v>
      </c>
      <c r="N346" s="611">
        <f>+IF(OR($Q346=Parametres!$G$2,$Q346=Parametres!$G$3),I346,C346)</f>
        <v>3621.85</v>
      </c>
      <c r="O346" s="611">
        <f>+IF(OR($Q346=Parametres!$G$2,$Q346=Parametres!$G$3),J346,D346)</f>
        <v>1630.9</v>
      </c>
      <c r="P346" s="611">
        <f>+IF(OR($Q346=Parametres!$G$2,$Q346=Parametres!$G$3),K346,E346)</f>
        <v>5252.75</v>
      </c>
      <c r="Q346" s="610" t="str">
        <f t="shared" si="39"/>
        <v>7-Dépenses</v>
      </c>
      <c r="R346" s="609" t="str">
        <f t="shared" si="40"/>
        <v>6112</v>
      </c>
      <c r="S346" s="610" t="str">
        <f t="shared" si="41"/>
        <v>_</v>
      </c>
      <c r="T346" s="612" t="str">
        <f>+VLOOKUP($L346,Data_Validation!$A:$D,1,0)</f>
        <v>6441</v>
      </c>
      <c r="U346" s="612" t="str">
        <f>+VLOOKUP($L346,Data_Validation!$A:$D,3,0)</f>
        <v>Service</v>
      </c>
      <c r="V346" s="612" t="str">
        <f>+VLOOKUP($L346,Data_Validation!$A:$D,4,0)</f>
        <v>Service gratuit 2</v>
      </c>
      <c r="W346" s="612" t="str">
        <f>+VLOOKUP($L346,Data_Validation!$A:$E,5,0)</f>
        <v>$</v>
      </c>
      <c r="X346" s="612">
        <f>+VLOOKUP($L346,Data_Validation!$A:$F,6,0)</f>
        <v>0</v>
      </c>
    </row>
    <row r="347" spans="1:24" ht="15.75" customHeight="1">
      <c r="A347" s="1188" t="s">
        <v>1132</v>
      </c>
      <c r="B347" s="1188" t="s">
        <v>2420</v>
      </c>
      <c r="C347" s="1190">
        <v>35904.699999999997</v>
      </c>
      <c r="D347" s="1190">
        <v>2209.3200000000002</v>
      </c>
      <c r="E347" s="1190">
        <v>38114.019999999997</v>
      </c>
      <c r="F347" s="1188" t="s">
        <v>1099</v>
      </c>
      <c r="G347" s="1188" t="s">
        <v>1133</v>
      </c>
      <c r="H347" s="1188" t="s">
        <v>3845</v>
      </c>
      <c r="I347" s="1149"/>
      <c r="J347" s="1149"/>
      <c r="K347" s="1149"/>
      <c r="L347" s="609" t="str">
        <f t="shared" si="37"/>
        <v>6442</v>
      </c>
      <c r="M347" s="610" t="str">
        <f t="shared" si="38"/>
        <v>FOURNITURES &amp; PETITS OUTILS</v>
      </c>
      <c r="N347" s="611">
        <f>+IF(OR($Q347=Parametres!$G$2,$Q347=Parametres!$G$3),I347,C347)</f>
        <v>35904.699999999997</v>
      </c>
      <c r="O347" s="611">
        <f>+IF(OR($Q347=Parametres!$G$2,$Q347=Parametres!$G$3),J347,D347)</f>
        <v>2209.3200000000002</v>
      </c>
      <c r="P347" s="611">
        <f>+IF(OR($Q347=Parametres!$G$2,$Q347=Parametres!$G$3),K347,E347)</f>
        <v>38114.019999999997</v>
      </c>
      <c r="Q347" s="610" t="str">
        <f t="shared" si="39"/>
        <v>7-Dépenses</v>
      </c>
      <c r="R347" s="609" t="str">
        <f t="shared" si="40"/>
        <v>6142</v>
      </c>
      <c r="S347" s="610" t="str">
        <f t="shared" si="41"/>
        <v>_</v>
      </c>
      <c r="T347" s="612" t="str">
        <f>+VLOOKUP($L347,Data_Validation!$A:$D,1,0)</f>
        <v>6442</v>
      </c>
      <c r="U347" s="612" t="str">
        <f>+VLOOKUP($L347,Data_Validation!$A:$D,3,0)</f>
        <v>Service</v>
      </c>
      <c r="V347" s="612" t="str">
        <f>+VLOOKUP($L347,Data_Validation!$A:$D,4,0)</f>
        <v>Fournitures autres</v>
      </c>
      <c r="W347" s="612" t="str">
        <f>+VLOOKUP($L347,Data_Validation!$A:$E,5,0)</f>
        <v>$</v>
      </c>
      <c r="X347" s="612">
        <f>+VLOOKUP($L347,Data_Validation!$A:$F,6,0)</f>
        <v>0</v>
      </c>
    </row>
    <row r="348" spans="1:24" ht="15" customHeight="1">
      <c r="A348" s="1188" t="s">
        <v>1134</v>
      </c>
      <c r="B348" s="1188" t="s">
        <v>2423</v>
      </c>
      <c r="C348" s="1190">
        <v>5306.59</v>
      </c>
      <c r="D348" s="1190">
        <v>2740.03</v>
      </c>
      <c r="E348" s="1190">
        <v>8046.62</v>
      </c>
      <c r="F348" s="1188" t="s">
        <v>1099</v>
      </c>
      <c r="G348" s="1188" t="s">
        <v>1135</v>
      </c>
      <c r="H348" s="1188" t="s">
        <v>3845</v>
      </c>
      <c r="I348" s="1149"/>
      <c r="J348" s="1149"/>
      <c r="K348" s="1149"/>
      <c r="L348" s="609" t="str">
        <f t="shared" si="37"/>
        <v>6443</v>
      </c>
      <c r="M348" s="610" t="str">
        <f t="shared" si="38"/>
        <v>UNIFORMES &amp; LESSIVE</v>
      </c>
      <c r="N348" s="611">
        <f>+IF(OR($Q348=Parametres!$G$2,$Q348=Parametres!$G$3),I348,C348)</f>
        <v>5306.59</v>
      </c>
      <c r="O348" s="615">
        <f>+IF(OR($Q348=Parametres!$G$2,$Q348=Parametres!$G$3),J348,D348)</f>
        <v>2740.03</v>
      </c>
      <c r="P348" s="611">
        <f>+IF(OR($Q348=Parametres!$G$2,$Q348=Parametres!$G$3),K348,E348)</f>
        <v>8046.62</v>
      </c>
      <c r="Q348" s="610" t="str">
        <f t="shared" si="39"/>
        <v>7-Dépenses</v>
      </c>
      <c r="R348" s="609" t="str">
        <f t="shared" si="40"/>
        <v>6143</v>
      </c>
      <c r="S348" s="610" t="str">
        <f t="shared" si="41"/>
        <v>_</v>
      </c>
      <c r="T348" s="612" t="str">
        <f>+VLOOKUP($L348,Data_Validation!$A:$D,1,0)</f>
        <v>6443</v>
      </c>
      <c r="U348" s="612" t="str">
        <f>+VLOOKUP($L348,Data_Validation!$A:$D,3,0)</f>
        <v>Service</v>
      </c>
      <c r="V348" s="612" t="str">
        <f>+VLOOKUP($L348,Data_Validation!$A:$D,4,0)</f>
        <v>Uniformes</v>
      </c>
      <c r="W348" s="612" t="str">
        <f>+VLOOKUP($L348,Data_Validation!$A:$E,5,0)</f>
        <v>$</v>
      </c>
      <c r="X348" s="612">
        <f>+VLOOKUP($L348,Data_Validation!$A:$F,6,0)</f>
        <v>0</v>
      </c>
    </row>
    <row r="349" spans="1:24" ht="15" customHeight="1">
      <c r="A349" s="1188" t="s">
        <v>1136</v>
      </c>
      <c r="B349" s="1188" t="s">
        <v>2426</v>
      </c>
      <c r="C349" s="1190">
        <v>4285.82</v>
      </c>
      <c r="D349" s="1190">
        <v>1911.1</v>
      </c>
      <c r="E349" s="1190">
        <v>6196.92</v>
      </c>
      <c r="F349" s="1188" t="s">
        <v>1099</v>
      </c>
      <c r="G349" s="1188" t="s">
        <v>1137</v>
      </c>
      <c r="H349" s="1188" t="s">
        <v>3845</v>
      </c>
      <c r="I349" s="1149"/>
      <c r="J349" s="1149"/>
      <c r="K349" s="1149"/>
      <c r="L349" s="609" t="str">
        <f t="shared" si="37"/>
        <v>6444</v>
      </c>
      <c r="M349" s="610" t="str">
        <f t="shared" si="38"/>
        <v>FORMATION</v>
      </c>
      <c r="N349" s="611">
        <f>+IF(OR($Q349=Parametres!$G$2,$Q349=Parametres!$G$3),I349,C349)</f>
        <v>4285.82</v>
      </c>
      <c r="O349" s="611">
        <f>+IF(OR($Q349=Parametres!$G$2,$Q349=Parametres!$G$3),J349,D349)</f>
        <v>1911.1</v>
      </c>
      <c r="P349" s="611">
        <f>+IF(OR($Q349=Parametres!$G$2,$Q349=Parametres!$G$3),K349,E349)</f>
        <v>6196.92</v>
      </c>
      <c r="Q349" s="610" t="str">
        <f t="shared" si="39"/>
        <v>7-Dépenses</v>
      </c>
      <c r="R349" s="609" t="str">
        <f t="shared" si="40"/>
        <v>6144</v>
      </c>
      <c r="S349" s="610" t="str">
        <f t="shared" si="41"/>
        <v>_</v>
      </c>
      <c r="T349" s="612" t="str">
        <f>+VLOOKUP($L349,Data_Validation!$A:$D,1,0)</f>
        <v>6444</v>
      </c>
      <c r="U349" s="612" t="str">
        <f>+VLOOKUP($L349,Data_Validation!$A:$D,3,0)</f>
        <v>Service</v>
      </c>
      <c r="V349" s="612" t="str">
        <f>+VLOOKUP($L349,Data_Validation!$A:$D,4,0)</f>
        <v>Formation</v>
      </c>
      <c r="W349" s="612" t="str">
        <f>+VLOOKUP($L349,Data_Validation!$A:$E,5,0)</f>
        <v>$</v>
      </c>
      <c r="X349" s="612">
        <f>+VLOOKUP($L349,Data_Validation!$A:$F,6,0)</f>
        <v>0</v>
      </c>
    </row>
    <row r="350" spans="1:24" ht="15" customHeight="1">
      <c r="A350" s="1188" t="s">
        <v>1195</v>
      </c>
      <c r="B350" s="1188" t="s">
        <v>2429</v>
      </c>
      <c r="C350" s="1190">
        <v>59206.58</v>
      </c>
      <c r="D350" s="1190">
        <v>7458.21</v>
      </c>
      <c r="E350" s="1190">
        <v>66664.789999999994</v>
      </c>
      <c r="F350" s="1188" t="s">
        <v>1099</v>
      </c>
      <c r="G350" s="1188" t="s">
        <v>1139</v>
      </c>
      <c r="H350" s="1188" t="s">
        <v>3845</v>
      </c>
      <c r="I350" s="1149"/>
      <c r="J350" s="1149"/>
      <c r="K350" s="1149"/>
      <c r="L350" s="609" t="str">
        <f t="shared" si="37"/>
        <v>6445</v>
      </c>
      <c r="M350" s="610" t="str">
        <f t="shared" si="38"/>
        <v>LOCATION COURTOISIE</v>
      </c>
      <c r="N350" s="611">
        <f>+IF(OR($Q350=Parametres!$G$2,$Q350=Parametres!$G$3),I350,C350)</f>
        <v>59206.58</v>
      </c>
      <c r="O350" s="615">
        <f>+IF(OR($Q350=Parametres!$G$2,$Q350=Parametres!$G$3),J350,D350)</f>
        <v>7458.21</v>
      </c>
      <c r="P350" s="611">
        <f>+IF(OR($Q350=Parametres!$G$2,$Q350=Parametres!$G$3),K350,E350)</f>
        <v>66664.789999999994</v>
      </c>
      <c r="Q350" s="610" t="str">
        <f t="shared" si="39"/>
        <v>7-Dépenses</v>
      </c>
      <c r="R350" s="609" t="str">
        <f t="shared" si="40"/>
        <v>6145</v>
      </c>
      <c r="S350" s="610" t="str">
        <f t="shared" si="41"/>
        <v>_</v>
      </c>
      <c r="T350" s="612" t="str">
        <f>+VLOOKUP($L350,Data_Validation!$A:$D,1,0)</f>
        <v>6445</v>
      </c>
      <c r="U350" s="612" t="str">
        <f>+VLOOKUP($L350,Data_Validation!$A:$D,3,0)</f>
        <v>Service</v>
      </c>
      <c r="V350" s="612" t="str">
        <f>+VLOOKUP($L350,Data_Validation!$A:$D,4,0)</f>
        <v>Frais véhicules de cie</v>
      </c>
      <c r="W350" s="612" t="str">
        <f>+VLOOKUP($L350,Data_Validation!$A:$E,5,0)</f>
        <v>$</v>
      </c>
      <c r="X350" s="612">
        <f>+VLOOKUP($L350,Data_Validation!$A:$F,6,0)</f>
        <v>0</v>
      </c>
    </row>
    <row r="351" spans="1:24" ht="15" customHeight="1">
      <c r="A351" s="1188" t="s">
        <v>1140</v>
      </c>
      <c r="B351" s="1188" t="s">
        <v>2432</v>
      </c>
      <c r="C351" s="1190">
        <v>1251.5</v>
      </c>
      <c r="D351" s="1190">
        <v>1313.4</v>
      </c>
      <c r="E351" s="1190">
        <v>2564.9</v>
      </c>
      <c r="F351" s="1188" t="s">
        <v>1099</v>
      </c>
      <c r="G351" s="1188" t="s">
        <v>1141</v>
      </c>
      <c r="H351" s="1188" t="s">
        <v>3845</v>
      </c>
      <c r="I351" s="1149"/>
      <c r="J351" s="1149"/>
      <c r="K351" s="1149"/>
      <c r="L351" s="609" t="str">
        <f t="shared" si="37"/>
        <v>6447</v>
      </c>
      <c r="M351" s="610" t="str">
        <f t="shared" si="38"/>
        <v>FRET/EXPRESS/TRANS. PAR CAMION</v>
      </c>
      <c r="N351" s="611">
        <f>+IF(OR($Q351=Parametres!$G$2,$Q351=Parametres!$G$3),I351,C351)</f>
        <v>1251.5</v>
      </c>
      <c r="O351" s="611">
        <f>+IF(OR($Q351=Parametres!$G$2,$Q351=Parametres!$G$3),J351,D351)</f>
        <v>1313.4</v>
      </c>
      <c r="P351" s="611">
        <f>+IF(OR($Q351=Parametres!$G$2,$Q351=Parametres!$G$3),K351,E351)</f>
        <v>2564.9</v>
      </c>
      <c r="Q351" s="610" t="str">
        <f t="shared" si="39"/>
        <v>7-Dépenses</v>
      </c>
      <c r="R351" s="609" t="str">
        <f t="shared" si="40"/>
        <v>6147</v>
      </c>
      <c r="S351" s="610" t="str">
        <f t="shared" si="41"/>
        <v>_</v>
      </c>
      <c r="T351" s="612" t="str">
        <f>+VLOOKUP($L351,Data_Validation!$A:$D,1,0)</f>
        <v>6447</v>
      </c>
      <c r="U351" s="612" t="str">
        <f>+VLOOKUP($L351,Data_Validation!$A:$D,3,0)</f>
        <v>Service</v>
      </c>
      <c r="V351" s="612" t="str">
        <f>+VLOOKUP($L351,Data_Validation!$A:$D,4,0)</f>
        <v>Frais postaux</v>
      </c>
      <c r="W351" s="612" t="str">
        <f>+VLOOKUP($L351,Data_Validation!$A:$E,5,0)</f>
        <v>$</v>
      </c>
      <c r="X351" s="612">
        <f>+VLOOKUP($L351,Data_Validation!$A:$F,6,0)</f>
        <v>0</v>
      </c>
    </row>
    <row r="352" spans="1:24" ht="15.75" customHeight="1">
      <c r="A352" s="1188" t="s">
        <v>1142</v>
      </c>
      <c r="B352" s="1188" t="s">
        <v>2435</v>
      </c>
      <c r="C352" s="1190">
        <v>31603.53</v>
      </c>
      <c r="D352" s="1190">
        <v>5707.54</v>
      </c>
      <c r="E352" s="1190">
        <v>37311.07</v>
      </c>
      <c r="F352" s="1188" t="s">
        <v>1099</v>
      </c>
      <c r="G352" s="1188" t="s">
        <v>1143</v>
      </c>
      <c r="H352" s="1188" t="s">
        <v>3845</v>
      </c>
      <c r="I352" s="1149"/>
      <c r="J352" s="1149"/>
      <c r="K352" s="1149"/>
      <c r="L352" s="609" t="str">
        <f t="shared" si="37"/>
        <v>6451</v>
      </c>
      <c r="M352" s="610" t="str">
        <f t="shared" si="38"/>
        <v>DEP. DU TRAITEMENT DES DONNEES</v>
      </c>
      <c r="N352" s="611">
        <f>+IF(OR($Q352=Parametres!$G$2,$Q352=Parametres!$G$3),I352,C352)</f>
        <v>31603.53</v>
      </c>
      <c r="O352" s="615">
        <f>+IF(OR($Q352=Parametres!$G$2,$Q352=Parametres!$G$3),J352,D352)</f>
        <v>5707.54</v>
      </c>
      <c r="P352" s="611">
        <f>+IF(OR($Q352=Parametres!$G$2,$Q352=Parametres!$G$3),K352,E352)</f>
        <v>37311.07</v>
      </c>
      <c r="Q352" s="610" t="str">
        <f t="shared" si="39"/>
        <v>7-Dépenses</v>
      </c>
      <c r="R352" s="609" t="str">
        <f t="shared" si="40"/>
        <v>6151</v>
      </c>
      <c r="S352" s="610" t="str">
        <f t="shared" si="41"/>
        <v>_</v>
      </c>
      <c r="T352" s="612" t="str">
        <f>+VLOOKUP($L352,Data_Validation!$A:$D,1,0)</f>
        <v>6451</v>
      </c>
      <c r="U352" s="612" t="str">
        <f>+VLOOKUP($L352,Data_Validation!$A:$D,3,0)</f>
        <v>Service</v>
      </c>
      <c r="V352" s="612" t="str">
        <f>+VLOOKUP($L352,Data_Validation!$A:$D,4,0)</f>
        <v>Informatique</v>
      </c>
      <c r="W352" s="612" t="str">
        <f>+VLOOKUP($L352,Data_Validation!$A:$E,5,0)</f>
        <v>$</v>
      </c>
      <c r="X352" s="612">
        <f>+VLOOKUP($L352,Data_Validation!$A:$F,6,0)</f>
        <v>0</v>
      </c>
    </row>
    <row r="353" spans="1:24" ht="15" customHeight="1">
      <c r="A353" s="1188" t="s">
        <v>1144</v>
      </c>
      <c r="B353" s="1188" t="s">
        <v>2438</v>
      </c>
      <c r="C353" s="1190">
        <v>7198.99</v>
      </c>
      <c r="D353" s="1190">
        <v>912.82</v>
      </c>
      <c r="E353" s="1190">
        <v>8111.81</v>
      </c>
      <c r="F353" s="1188" t="s">
        <v>1099</v>
      </c>
      <c r="G353" s="1188" t="s">
        <v>1145</v>
      </c>
      <c r="H353" s="1188" t="s">
        <v>3845</v>
      </c>
      <c r="I353" s="1149"/>
      <c r="J353" s="1149"/>
      <c r="K353" s="1149"/>
      <c r="L353" s="609" t="str">
        <f t="shared" si="37"/>
        <v>6452</v>
      </c>
      <c r="M353" s="610" t="str">
        <f t="shared" si="38"/>
        <v>PAPETERIE</v>
      </c>
      <c r="N353" s="611">
        <f>+IF(OR($Q353=Parametres!$G$2,$Q353=Parametres!$G$3),I353,C353)</f>
        <v>7198.99</v>
      </c>
      <c r="O353" s="611">
        <f>+IF(OR($Q353=Parametres!$G$2,$Q353=Parametres!$G$3),J353,D353)</f>
        <v>912.82</v>
      </c>
      <c r="P353" s="611">
        <f>+IF(OR($Q353=Parametres!$G$2,$Q353=Parametres!$G$3),K353,E353)</f>
        <v>8111.81</v>
      </c>
      <c r="Q353" s="610" t="str">
        <f t="shared" si="39"/>
        <v>7-Dépenses</v>
      </c>
      <c r="R353" s="609" t="str">
        <f t="shared" si="40"/>
        <v>6152</v>
      </c>
      <c r="S353" s="610" t="str">
        <f t="shared" si="41"/>
        <v>_</v>
      </c>
      <c r="T353" s="612" t="str">
        <f>+VLOOKUP($L353,Data_Validation!$A:$D,1,0)</f>
        <v>6452</v>
      </c>
      <c r="U353" s="612" t="str">
        <f>+VLOOKUP($L353,Data_Validation!$A:$D,3,0)</f>
        <v>Service</v>
      </c>
      <c r="V353" s="612" t="str">
        <f>+VLOOKUP($L353,Data_Validation!$A:$D,4,0)</f>
        <v>Papeterie</v>
      </c>
      <c r="W353" s="612" t="str">
        <f>+VLOOKUP($L353,Data_Validation!$A:$E,5,0)</f>
        <v>$</v>
      </c>
      <c r="X353" s="612">
        <f>+VLOOKUP($L353,Data_Validation!$A:$F,6,0)</f>
        <v>0</v>
      </c>
    </row>
    <row r="354" spans="1:24" ht="15" customHeight="1">
      <c r="A354" s="1188" t="s">
        <v>1146</v>
      </c>
      <c r="B354" s="1188" t="s">
        <v>2441</v>
      </c>
      <c r="C354" s="1190">
        <v>1607.73</v>
      </c>
      <c r="D354" s="1190">
        <v>251.11</v>
      </c>
      <c r="E354" s="1190">
        <v>1858.84</v>
      </c>
      <c r="F354" s="1188" t="s">
        <v>1099</v>
      </c>
      <c r="G354" s="1188" t="s">
        <v>1147</v>
      </c>
      <c r="H354" s="1188" t="s">
        <v>3845</v>
      </c>
      <c r="I354" s="1149"/>
      <c r="J354" s="1149"/>
      <c r="K354" s="1149"/>
      <c r="L354" s="609" t="str">
        <f t="shared" si="37"/>
        <v>6453</v>
      </c>
      <c r="M354" s="610" t="str">
        <f t="shared" si="38"/>
        <v>TELEPHONE ET TELEX</v>
      </c>
      <c r="N354" s="611">
        <f>+IF(OR($Q354=Parametres!$G$2,$Q354=Parametres!$G$3),I354,C354)</f>
        <v>1607.73</v>
      </c>
      <c r="O354" s="611">
        <f>+IF(OR($Q354=Parametres!$G$2,$Q354=Parametres!$G$3),J354,D354)</f>
        <v>251.11</v>
      </c>
      <c r="P354" s="611">
        <f>+IF(OR($Q354=Parametres!$G$2,$Q354=Parametres!$G$3),K354,E354)</f>
        <v>1858.84</v>
      </c>
      <c r="Q354" s="610" t="str">
        <f t="shared" si="39"/>
        <v>7-Dépenses</v>
      </c>
      <c r="R354" s="609" t="str">
        <f t="shared" si="40"/>
        <v>6153</v>
      </c>
      <c r="S354" s="610" t="str">
        <f t="shared" si="41"/>
        <v>_</v>
      </c>
      <c r="T354" s="612" t="str">
        <f>+VLOOKUP($L354,Data_Validation!$A:$D,1,0)</f>
        <v>6453</v>
      </c>
      <c r="U354" s="612" t="str">
        <f>+VLOOKUP($L354,Data_Validation!$A:$D,3,0)</f>
        <v>Service</v>
      </c>
      <c r="V354" s="612" t="str">
        <f>+VLOOKUP($L354,Data_Validation!$A:$D,4,0)</f>
        <v>Téléphone</v>
      </c>
      <c r="W354" s="612" t="str">
        <f>+VLOOKUP($L354,Data_Validation!$A:$E,5,0)</f>
        <v>$</v>
      </c>
      <c r="X354" s="612">
        <f>+VLOOKUP($L354,Data_Validation!$A:$F,6,0)</f>
        <v>0</v>
      </c>
    </row>
    <row r="355" spans="1:24" ht="15" customHeight="1">
      <c r="A355" s="1188" t="s">
        <v>1148</v>
      </c>
      <c r="B355" s="1188" t="s">
        <v>2444</v>
      </c>
      <c r="C355" s="1190">
        <v>2127.5500000000002</v>
      </c>
      <c r="D355" s="1190">
        <v>14.14</v>
      </c>
      <c r="E355" s="1190">
        <v>2141.69</v>
      </c>
      <c r="F355" s="1188" t="s">
        <v>1099</v>
      </c>
      <c r="G355" s="1188" t="s">
        <v>1149</v>
      </c>
      <c r="H355" s="1188" t="s">
        <v>3845</v>
      </c>
      <c r="I355" s="1149"/>
      <c r="J355" s="1149"/>
      <c r="K355" s="1149"/>
      <c r="L355" s="609" t="str">
        <f t="shared" si="37"/>
        <v>6455</v>
      </c>
      <c r="M355" s="610" t="str">
        <f t="shared" si="38"/>
        <v>DEPENSES DIVERS</v>
      </c>
      <c r="N355" s="611">
        <f>+IF(OR($Q355=Parametres!$G$2,$Q355=Parametres!$G$3),I355,C355)</f>
        <v>2127.5500000000002</v>
      </c>
      <c r="O355" s="611">
        <f>+IF(OR($Q355=Parametres!$G$2,$Q355=Parametres!$G$3),J355,D355)</f>
        <v>14.14</v>
      </c>
      <c r="P355" s="611">
        <f>+IF(OR($Q355=Parametres!$G$2,$Q355=Parametres!$G$3),K355,E355)</f>
        <v>2141.69</v>
      </c>
      <c r="Q355" s="610" t="str">
        <f t="shared" si="39"/>
        <v>7-Dépenses</v>
      </c>
      <c r="R355" s="609" t="str">
        <f t="shared" si="40"/>
        <v>6155</v>
      </c>
      <c r="S355" s="610" t="str">
        <f t="shared" si="41"/>
        <v>_</v>
      </c>
      <c r="T355" s="612" t="str">
        <f>+VLOOKUP($L355,Data_Validation!$A:$D,1,0)</f>
        <v>6455</v>
      </c>
      <c r="U355" s="612" t="str">
        <f>+VLOOKUP($L355,Data_Validation!$A:$D,3,0)</f>
        <v>Service</v>
      </c>
      <c r="V355" s="612" t="str">
        <f>+VLOOKUP($L355,Data_Validation!$A:$D,4,0)</f>
        <v>Divers</v>
      </c>
      <c r="W355" s="612" t="str">
        <f>+VLOOKUP($L355,Data_Validation!$A:$E,5,0)</f>
        <v>$</v>
      </c>
      <c r="X355" s="612">
        <f>+VLOOKUP($L355,Data_Validation!$A:$F,6,0)</f>
        <v>0</v>
      </c>
    </row>
    <row r="356" spans="1:24" ht="15" customHeight="1">
      <c r="A356" s="1188" t="s">
        <v>1196</v>
      </c>
      <c r="B356" s="1188" t="s">
        <v>2447</v>
      </c>
      <c r="C356" s="1190">
        <v>5560.86</v>
      </c>
      <c r="D356" s="1190">
        <v>302.92</v>
      </c>
      <c r="E356" s="1190">
        <v>5863.78</v>
      </c>
      <c r="F356" s="1188" t="s">
        <v>1099</v>
      </c>
      <c r="G356" s="1188" t="s">
        <v>1151</v>
      </c>
      <c r="H356" s="1188" t="s">
        <v>3845</v>
      </c>
      <c r="I356" s="1149"/>
      <c r="J356" s="1149"/>
      <c r="K356" s="1149"/>
      <c r="L356" s="609" t="str">
        <f t="shared" si="37"/>
        <v>6456</v>
      </c>
      <c r="M356" s="610" t="str">
        <f t="shared" si="38"/>
        <v>FRAIS REPRESENTATION - SERVICE</v>
      </c>
      <c r="N356" s="611">
        <f>+IF(OR($Q356=Parametres!$G$2,$Q356=Parametres!$G$3),I356,C356)</f>
        <v>5560.86</v>
      </c>
      <c r="O356" s="611">
        <f>+IF(OR($Q356=Parametres!$G$2,$Q356=Parametres!$G$3),J356,D356)</f>
        <v>302.92</v>
      </c>
      <c r="P356" s="611">
        <f>+IF(OR($Q356=Parametres!$G$2,$Q356=Parametres!$G$3),K356,E356)</f>
        <v>5863.78</v>
      </c>
      <c r="Q356" s="610" t="str">
        <f t="shared" si="39"/>
        <v>7-Dépenses</v>
      </c>
      <c r="R356" s="609" t="str">
        <f t="shared" si="40"/>
        <v>6156</v>
      </c>
      <c r="S356" s="610" t="str">
        <f t="shared" si="41"/>
        <v>_</v>
      </c>
      <c r="T356" s="612" t="str">
        <f>+VLOOKUP($L356,Data_Validation!$A:$D,1,0)</f>
        <v>6456</v>
      </c>
      <c r="U356" s="612" t="str">
        <f>+VLOOKUP($L356,Data_Validation!$A:$D,3,0)</f>
        <v>Service</v>
      </c>
      <c r="V356" s="612" t="str">
        <f>+VLOOKUP($L356,Data_Validation!$A:$D,4,0)</f>
        <v>Frais de déplacement</v>
      </c>
      <c r="W356" s="612" t="str">
        <f>+VLOOKUP($L356,Data_Validation!$A:$E,5,0)</f>
        <v>$</v>
      </c>
      <c r="X356" s="612">
        <f>+VLOOKUP($L356,Data_Validation!$A:$F,6,0)</f>
        <v>0</v>
      </c>
    </row>
    <row r="357" spans="1:24" ht="15" customHeight="1">
      <c r="A357" s="1188" t="s">
        <v>1197</v>
      </c>
      <c r="B357" s="1188" t="s">
        <v>3338</v>
      </c>
      <c r="C357" s="1190">
        <v>12872.27</v>
      </c>
      <c r="D357" s="1190">
        <v>2101.98</v>
      </c>
      <c r="E357" s="1190">
        <v>14974.25</v>
      </c>
      <c r="F357" s="1188" t="s">
        <v>1099</v>
      </c>
      <c r="G357" s="1188" t="s">
        <v>1198</v>
      </c>
      <c r="H357" s="1188" t="s">
        <v>3845</v>
      </c>
      <c r="I357" s="1149"/>
      <c r="J357" s="1149"/>
      <c r="K357" s="1149"/>
      <c r="L357" s="609" t="str">
        <f t="shared" si="37"/>
        <v>6457</v>
      </c>
      <c r="M357" s="610" t="str">
        <f t="shared" si="38"/>
        <v>FRAIS BANCAIRES - SERVICE</v>
      </c>
      <c r="N357" s="611">
        <f>+IF(OR($Q357=Parametres!$G$2,$Q357=Parametres!$G$3),I357,C357)</f>
        <v>12872.27</v>
      </c>
      <c r="O357" s="611">
        <f>+IF(OR($Q357=Parametres!$G$2,$Q357=Parametres!$G$3),J357,D357)</f>
        <v>2101.98</v>
      </c>
      <c r="P357" s="611">
        <f>+IF(OR($Q357=Parametres!$G$2,$Q357=Parametres!$G$3),K357,E357)</f>
        <v>14974.25</v>
      </c>
      <c r="Q357" s="610" t="str">
        <f t="shared" si="39"/>
        <v>7-Dépenses</v>
      </c>
      <c r="R357" s="609" t="str">
        <f t="shared" si="40"/>
        <v>645</v>
      </c>
      <c r="S357" s="610" t="str">
        <f t="shared" si="41"/>
        <v>_</v>
      </c>
      <c r="T357" s="612" t="str">
        <f>+VLOOKUP($L357,Data_Validation!$A:$D,1,0)</f>
        <v>6457</v>
      </c>
      <c r="U357" s="612" t="str">
        <f>+VLOOKUP($L357,Data_Validation!$A:$D,3,0)</f>
        <v>Service</v>
      </c>
      <c r="V357" s="612" t="str">
        <f>+VLOOKUP($L357,Data_Validation!$A:$D,4,0)</f>
        <v>Frais bancaires</v>
      </c>
      <c r="W357" s="612" t="str">
        <f>+VLOOKUP($L357,Data_Validation!$A:$E,5,0)</f>
        <v>$</v>
      </c>
      <c r="X357" s="612">
        <f>+VLOOKUP($L357,Data_Validation!$A:$F,6,0)</f>
        <v>0</v>
      </c>
    </row>
    <row r="358" spans="1:24" ht="15.75" customHeight="1">
      <c r="A358" s="1188" t="s">
        <v>1154</v>
      </c>
      <c r="B358" s="1188" t="s">
        <v>2450</v>
      </c>
      <c r="C358" s="1190">
        <v>87056.97</v>
      </c>
      <c r="D358" s="1190">
        <v>18147.13</v>
      </c>
      <c r="E358" s="1190">
        <v>105204.1</v>
      </c>
      <c r="F358" s="1188" t="s">
        <v>1099</v>
      </c>
      <c r="G358" s="1188" t="s">
        <v>1155</v>
      </c>
      <c r="H358" s="1188" t="s">
        <v>3845</v>
      </c>
      <c r="I358" s="1149"/>
      <c r="J358" s="1149"/>
      <c r="K358" s="1149"/>
      <c r="L358" s="609" t="str">
        <f t="shared" si="37"/>
        <v>6459</v>
      </c>
      <c r="M358" s="610" t="str">
        <f t="shared" si="38"/>
        <v>SERVICE EXTERIEUR</v>
      </c>
      <c r="N358" s="611">
        <f>+IF(OR($Q358=Parametres!$G$2,$Q358=Parametres!$G$3),I358,C358)</f>
        <v>87056.97</v>
      </c>
      <c r="O358" s="611">
        <f>+IF(OR($Q358=Parametres!$G$2,$Q358=Parametres!$G$3),J358,D358)</f>
        <v>18147.13</v>
      </c>
      <c r="P358" s="611">
        <f>+IF(OR($Q358=Parametres!$G$2,$Q358=Parametres!$G$3),K358,E358)</f>
        <v>105204.1</v>
      </c>
      <c r="Q358" s="610" t="str">
        <f t="shared" si="39"/>
        <v>7-Dépenses</v>
      </c>
      <c r="R358" s="609" t="str">
        <f t="shared" si="40"/>
        <v>6159</v>
      </c>
      <c r="S358" s="610" t="str">
        <f t="shared" si="41"/>
        <v>_</v>
      </c>
      <c r="T358" s="612" t="str">
        <f>+VLOOKUP($L358,Data_Validation!$A:$D,1,0)</f>
        <v>6459</v>
      </c>
      <c r="U358" s="612" t="str">
        <f>+VLOOKUP($L358,Data_Validation!$A:$D,3,0)</f>
        <v>Service</v>
      </c>
      <c r="V358" s="612" t="str">
        <f>+VLOOKUP($L358,Data_Validation!$A:$D,4,0)</f>
        <v>Services extérieurs</v>
      </c>
      <c r="W358" s="612" t="str">
        <f>+VLOOKUP($L358,Data_Validation!$A:$E,5,0)</f>
        <v>$</v>
      </c>
      <c r="X358" s="612">
        <f>+VLOOKUP($L358,Data_Validation!$A:$F,6,0)</f>
        <v>0</v>
      </c>
    </row>
    <row r="359" spans="1:24" ht="15" customHeight="1">
      <c r="A359" s="1188" t="s">
        <v>1156</v>
      </c>
      <c r="B359" s="1188" t="s">
        <v>2453</v>
      </c>
      <c r="C359" s="1190">
        <v>13704.48</v>
      </c>
      <c r="D359" s="1190">
        <v>2284.08</v>
      </c>
      <c r="E359" s="1190">
        <v>15988.56</v>
      </c>
      <c r="F359" s="1188" t="s">
        <v>1099</v>
      </c>
      <c r="G359" s="1188" t="s">
        <v>1157</v>
      </c>
      <c r="H359" s="1188" t="s">
        <v>3845</v>
      </c>
      <c r="I359" s="1149"/>
      <c r="J359" s="1149"/>
      <c r="K359" s="1149"/>
      <c r="L359" s="609" t="str">
        <f t="shared" si="37"/>
        <v>6461</v>
      </c>
      <c r="M359" s="610" t="str">
        <f t="shared" si="38"/>
        <v>DEPRECIATION EQUIP. &amp; FIXTURES</v>
      </c>
      <c r="N359" s="611">
        <f>+IF(OR($Q359=Parametres!$G$2,$Q359=Parametres!$G$3),I359,C359)</f>
        <v>13704.48</v>
      </c>
      <c r="O359" s="611">
        <f>+IF(OR($Q359=Parametres!$G$2,$Q359=Parametres!$G$3),J359,D359)</f>
        <v>2284.08</v>
      </c>
      <c r="P359" s="611">
        <f>+IF(OR($Q359=Parametres!$G$2,$Q359=Parametres!$G$3),K359,E359)</f>
        <v>15988.56</v>
      </c>
      <c r="Q359" s="610" t="str">
        <f t="shared" si="39"/>
        <v>7-Dépenses</v>
      </c>
      <c r="R359" s="609" t="str">
        <f t="shared" si="40"/>
        <v>6161</v>
      </c>
      <c r="S359" s="610" t="str">
        <f t="shared" si="41"/>
        <v>_</v>
      </c>
      <c r="T359" s="612" t="str">
        <f>+VLOOKUP($L359,Data_Validation!$A:$D,1,0)</f>
        <v>6461</v>
      </c>
      <c r="U359" s="612" t="str">
        <f>+VLOOKUP($L359,Data_Validation!$A:$D,3,0)</f>
        <v>Service</v>
      </c>
      <c r="V359" s="612" t="str">
        <f>+VLOOKUP($L359,Data_Validation!$A:$D,4,0)</f>
        <v>Amortissement</v>
      </c>
      <c r="W359" s="612" t="str">
        <f>+VLOOKUP($L359,Data_Validation!$A:$E,5,0)</f>
        <v>$</v>
      </c>
      <c r="X359" s="612">
        <f>+VLOOKUP($L359,Data_Validation!$A:$F,6,0)</f>
        <v>0</v>
      </c>
    </row>
    <row r="360" spans="1:24" ht="15" customHeight="1">
      <c r="A360" s="1188" t="s">
        <v>1334</v>
      </c>
      <c r="B360" s="1188" t="s">
        <v>2456</v>
      </c>
      <c r="C360" s="1190">
        <v>3578.44</v>
      </c>
      <c r="D360" s="1190">
        <v>971.24</v>
      </c>
      <c r="E360" s="1190">
        <v>4549.68</v>
      </c>
      <c r="F360" s="1188" t="s">
        <v>1099</v>
      </c>
      <c r="G360" s="1188" t="s">
        <v>2249</v>
      </c>
      <c r="H360" s="1188" t="s">
        <v>3845</v>
      </c>
      <c r="I360" s="1149"/>
      <c r="J360" s="1149"/>
      <c r="K360" s="1149"/>
      <c r="L360" s="609" t="str">
        <f t="shared" si="37"/>
        <v>6462</v>
      </c>
      <c r="M360" s="610" t="str">
        <f t="shared" si="38"/>
        <v>LOCATION D'EQUIPEMENTS</v>
      </c>
      <c r="N360" s="611">
        <f>+IF(OR($Q360=Parametres!$G$2,$Q360=Parametres!$G$3),I360,C360)</f>
        <v>3578.44</v>
      </c>
      <c r="O360" s="611">
        <f>+IF(OR($Q360=Parametres!$G$2,$Q360=Parametres!$G$3),J360,D360)</f>
        <v>971.24</v>
      </c>
      <c r="P360" s="611">
        <f>+IF(OR($Q360=Parametres!$G$2,$Q360=Parametres!$G$3),K360,E360)</f>
        <v>4549.68</v>
      </c>
      <c r="Q360" s="610" t="str">
        <f t="shared" si="39"/>
        <v>7-Dépenses</v>
      </c>
      <c r="R360" s="609" t="str">
        <f t="shared" si="40"/>
        <v>6162</v>
      </c>
      <c r="S360" s="610" t="str">
        <f t="shared" si="41"/>
        <v>_</v>
      </c>
      <c r="T360" s="612" t="str">
        <f>+VLOOKUP($L360,Data_Validation!$A:$D,1,0)</f>
        <v>6462</v>
      </c>
      <c r="U360" s="612" t="str">
        <f>+VLOOKUP($L360,Data_Validation!$A:$D,3,0)</f>
        <v>Service</v>
      </c>
      <c r="V360" s="612" t="str">
        <f>+VLOOKUP($L360,Data_Validation!$A:$D,4,0)</f>
        <v>Location équipement</v>
      </c>
      <c r="W360" s="612" t="str">
        <f>+VLOOKUP($L360,Data_Validation!$A:$E,5,0)</f>
        <v>$</v>
      </c>
      <c r="X360" s="612">
        <f>+VLOOKUP($L360,Data_Validation!$A:$F,6,0)</f>
        <v>0</v>
      </c>
    </row>
    <row r="361" spans="1:24" ht="15" customHeight="1">
      <c r="A361" s="1188" t="s">
        <v>1199</v>
      </c>
      <c r="B361" s="1188" t="s">
        <v>2459</v>
      </c>
      <c r="C361" s="1190">
        <v>426.41</v>
      </c>
      <c r="D361" s="1190">
        <v>0</v>
      </c>
      <c r="E361" s="1190">
        <v>426.41</v>
      </c>
      <c r="F361" s="1188" t="s">
        <v>1099</v>
      </c>
      <c r="G361" s="1188" t="s">
        <v>1200</v>
      </c>
      <c r="H361" s="1188" t="s">
        <v>3845</v>
      </c>
      <c r="I361" s="1149"/>
      <c r="J361" s="1149"/>
      <c r="K361" s="1149"/>
      <c r="L361" s="609" t="str">
        <f t="shared" si="37"/>
        <v>6463</v>
      </c>
      <c r="M361" s="610" t="str">
        <f t="shared" si="38"/>
        <v>REPARATION &amp; ENT. - EQUIP.</v>
      </c>
      <c r="N361" s="611">
        <f>+IF(OR($Q361=Parametres!$G$2,$Q361=Parametres!$G$3),I361,C361)</f>
        <v>426.41</v>
      </c>
      <c r="O361" s="611">
        <f>+IF(OR($Q361=Parametres!$G$2,$Q361=Parametres!$G$3),J361,D361)</f>
        <v>0</v>
      </c>
      <c r="P361" s="611">
        <f>+IF(OR($Q361=Parametres!$G$2,$Q361=Parametres!$G$3),K361,E361)</f>
        <v>426.41</v>
      </c>
      <c r="Q361" s="610" t="str">
        <f t="shared" si="39"/>
        <v>7-Dépenses</v>
      </c>
      <c r="R361" s="609" t="str">
        <f t="shared" si="40"/>
        <v>6163</v>
      </c>
      <c r="S361" s="610" t="str">
        <f t="shared" si="41"/>
        <v>_</v>
      </c>
      <c r="T361" s="612" t="str">
        <f>+VLOOKUP($L361,Data_Validation!$A:$D,1,0)</f>
        <v>6463</v>
      </c>
      <c r="U361" s="612" t="str">
        <f>+VLOOKUP($L361,Data_Validation!$A:$D,3,0)</f>
        <v>Service</v>
      </c>
      <c r="V361" s="612" t="str">
        <f>+VLOOKUP($L361,Data_Validation!$A:$D,4,0)</f>
        <v>Réparation équipement</v>
      </c>
      <c r="W361" s="612" t="str">
        <f>+VLOOKUP($L361,Data_Validation!$A:$E,5,0)</f>
        <v>$</v>
      </c>
      <c r="X361" s="612">
        <f>+VLOOKUP($L361,Data_Validation!$A:$F,6,0)</f>
        <v>0</v>
      </c>
    </row>
    <row r="362" spans="1:24" ht="15.75" customHeight="1">
      <c r="A362" s="1188" t="s">
        <v>1201</v>
      </c>
      <c r="B362" s="1188" t="s">
        <v>2462</v>
      </c>
      <c r="C362" s="1190">
        <v>11075.58</v>
      </c>
      <c r="D362" s="1190">
        <v>994.75</v>
      </c>
      <c r="E362" s="1190">
        <v>12070.33</v>
      </c>
      <c r="F362" s="1188" t="s">
        <v>1099</v>
      </c>
      <c r="G362" s="1188" t="s">
        <v>1159</v>
      </c>
      <c r="H362" s="1188" t="s">
        <v>3845</v>
      </c>
      <c r="I362" s="1149"/>
      <c r="J362" s="1149"/>
      <c r="K362" s="1149"/>
      <c r="L362" s="609" t="str">
        <f t="shared" si="37"/>
        <v>6481</v>
      </c>
      <c r="M362" s="610" t="str">
        <f t="shared" si="38"/>
        <v>CHAUFFAGE,ELECTRICITE,EAU-SERVICE</v>
      </c>
      <c r="N362" s="611">
        <f>+IF(OR($Q362=Parametres!$G$2,$Q362=Parametres!$G$3),I362,C362)</f>
        <v>11075.58</v>
      </c>
      <c r="O362" s="611">
        <f>+IF(OR($Q362=Parametres!$G$2,$Q362=Parametres!$G$3),J362,D362)</f>
        <v>994.75</v>
      </c>
      <c r="P362" s="611">
        <f>+IF(OR($Q362=Parametres!$G$2,$Q362=Parametres!$G$3),K362,E362)</f>
        <v>12070.33</v>
      </c>
      <c r="Q362" s="610" t="str">
        <f t="shared" si="39"/>
        <v>7-Dépenses</v>
      </c>
      <c r="R362" s="609" t="str">
        <f t="shared" si="40"/>
        <v>6181</v>
      </c>
      <c r="S362" s="610" t="str">
        <f t="shared" si="41"/>
        <v>_</v>
      </c>
      <c r="T362" s="612" t="str">
        <f>+VLOOKUP($L362,Data_Validation!$A:$D,1,0)</f>
        <v>6481</v>
      </c>
      <c r="U362" s="612" t="str">
        <f>+VLOOKUP($L362,Data_Validation!$A:$D,3,0)</f>
        <v>Service</v>
      </c>
      <c r="V362" s="612" t="str">
        <f>+VLOOKUP($L362,Data_Validation!$A:$D,4,0)</f>
        <v>Chauffage, éclairage</v>
      </c>
      <c r="W362" s="612" t="str">
        <f>+VLOOKUP($L362,Data_Validation!$A:$E,5,0)</f>
        <v>$</v>
      </c>
      <c r="X362" s="612">
        <f>+VLOOKUP($L362,Data_Validation!$A:$F,6,0)</f>
        <v>0</v>
      </c>
    </row>
    <row r="363" spans="1:24" ht="15.75" customHeight="1">
      <c r="A363" s="1188" t="s">
        <v>1202</v>
      </c>
      <c r="B363" s="1188" t="s">
        <v>2465</v>
      </c>
      <c r="C363" s="1190">
        <v>106440</v>
      </c>
      <c r="D363" s="1190">
        <v>19080</v>
      </c>
      <c r="E363" s="1190">
        <v>125520</v>
      </c>
      <c r="F363" s="1188" t="s">
        <v>1099</v>
      </c>
      <c r="G363" s="1188" t="s">
        <v>1161</v>
      </c>
      <c r="H363" s="1188" t="s">
        <v>3845</v>
      </c>
      <c r="I363" s="1149"/>
      <c r="J363" s="1149"/>
      <c r="K363" s="1149"/>
      <c r="L363" s="609" t="str">
        <f t="shared" si="37"/>
        <v>6482</v>
      </c>
      <c r="M363" s="610" t="str">
        <f t="shared" si="38"/>
        <v>LOYER - SERVICE</v>
      </c>
      <c r="N363" s="611">
        <f>+IF(OR($Q363=Parametres!$G$2,$Q363=Parametres!$G$3),I363,C363)</f>
        <v>106440</v>
      </c>
      <c r="O363" s="611">
        <f>+IF(OR($Q363=Parametres!$G$2,$Q363=Parametres!$G$3),J363,D363)</f>
        <v>19080</v>
      </c>
      <c r="P363" s="611">
        <f>+IF(OR($Q363=Parametres!$G$2,$Q363=Parametres!$G$3),K363,E363)</f>
        <v>125520</v>
      </c>
      <c r="Q363" s="610" t="str">
        <f t="shared" si="39"/>
        <v>7-Dépenses</v>
      </c>
      <c r="R363" s="609" t="str">
        <f t="shared" si="40"/>
        <v>6182</v>
      </c>
      <c r="S363" s="610" t="str">
        <f t="shared" si="41"/>
        <v>_</v>
      </c>
      <c r="T363" s="612" t="str">
        <f>+VLOOKUP($L363,Data_Validation!$A:$D,1,0)</f>
        <v>6482</v>
      </c>
      <c r="U363" s="612" t="str">
        <f>+VLOOKUP($L363,Data_Validation!$A:$D,3,0)</f>
        <v>Service</v>
      </c>
      <c r="V363" s="612" t="str">
        <f>+VLOOKUP($L363,Data_Validation!$A:$D,4,0)</f>
        <v>Loyer</v>
      </c>
      <c r="W363" s="612" t="str">
        <f>+VLOOKUP($L363,Data_Validation!$A:$E,5,0)</f>
        <v>$</v>
      </c>
      <c r="X363" s="612">
        <f>+VLOOKUP($L363,Data_Validation!$A:$F,6,0)</f>
        <v>0</v>
      </c>
    </row>
    <row r="364" spans="1:24" ht="15" customHeight="1">
      <c r="A364" s="1188" t="s">
        <v>1203</v>
      </c>
      <c r="B364" s="1188" t="s">
        <v>2468</v>
      </c>
      <c r="C364" s="1190">
        <v>5737.02</v>
      </c>
      <c r="D364" s="1190">
        <v>960</v>
      </c>
      <c r="E364" s="1190">
        <v>6697.02</v>
      </c>
      <c r="F364" s="1188" t="s">
        <v>1099</v>
      </c>
      <c r="G364" s="1188" t="s">
        <v>1163</v>
      </c>
      <c r="H364" s="1188" t="s">
        <v>3845</v>
      </c>
      <c r="I364" s="1149"/>
      <c r="J364" s="1149"/>
      <c r="K364" s="1149"/>
      <c r="L364" s="609" t="str">
        <f t="shared" si="37"/>
        <v>6486</v>
      </c>
      <c r="M364" s="610" t="str">
        <f t="shared" si="38"/>
        <v>ASSURANCE BATISSE &amp; AMEL.-SERVICE</v>
      </c>
      <c r="N364" s="611">
        <f>+IF(OR($Q364=Parametres!$G$2,$Q364=Parametres!$G$3),I364,C364)</f>
        <v>5737.02</v>
      </c>
      <c r="O364" s="611">
        <f>+IF(OR($Q364=Parametres!$G$2,$Q364=Parametres!$G$3),J364,D364)</f>
        <v>960</v>
      </c>
      <c r="P364" s="611">
        <f>+IF(OR($Q364=Parametres!$G$2,$Q364=Parametres!$G$3),K364,E364)</f>
        <v>6697.02</v>
      </c>
      <c r="Q364" s="610" t="str">
        <f t="shared" si="39"/>
        <v>7-Dépenses</v>
      </c>
      <c r="R364" s="609" t="str">
        <f t="shared" si="40"/>
        <v>6186</v>
      </c>
      <c r="S364" s="610" t="str">
        <f t="shared" si="41"/>
        <v>_</v>
      </c>
      <c r="T364" s="612" t="str">
        <f>+VLOOKUP($L364,Data_Validation!$A:$D,1,0)</f>
        <v>6486</v>
      </c>
      <c r="U364" s="612" t="str">
        <f>+VLOOKUP($L364,Data_Validation!$A:$D,3,0)</f>
        <v>Service</v>
      </c>
      <c r="V364" s="612" t="str">
        <f>+VLOOKUP($L364,Data_Validation!$A:$D,4,0)</f>
        <v>Assurances</v>
      </c>
      <c r="W364" s="612" t="str">
        <f>+VLOOKUP($L364,Data_Validation!$A:$E,5,0)</f>
        <v>$</v>
      </c>
      <c r="X364" s="612">
        <f>+VLOOKUP($L364,Data_Validation!$A:$F,6,0)</f>
        <v>0</v>
      </c>
    </row>
    <row r="365" spans="1:24" ht="15.75" customHeight="1">
      <c r="A365" s="1188" t="s">
        <v>1204</v>
      </c>
      <c r="B365" s="1188" t="s">
        <v>2471</v>
      </c>
      <c r="C365" s="1190">
        <v>23760</v>
      </c>
      <c r="D365" s="1190">
        <v>3960</v>
      </c>
      <c r="E365" s="1190">
        <v>27720</v>
      </c>
      <c r="F365" s="1188" t="s">
        <v>1099</v>
      </c>
      <c r="G365" s="1188" t="s">
        <v>1165</v>
      </c>
      <c r="H365" s="1188" t="s">
        <v>3845</v>
      </c>
      <c r="I365" s="1149"/>
      <c r="J365" s="1149"/>
      <c r="K365" s="1149"/>
      <c r="L365" s="609" t="str">
        <f t="shared" ref="L365:L373" si="42">TEXT(B365,0)</f>
        <v>6487</v>
      </c>
      <c r="M365" s="610" t="str">
        <f t="shared" ref="M365:M373" si="43">+A365</f>
        <v>TAXES FONCIERES - SERVICE</v>
      </c>
      <c r="N365" s="611">
        <f>+IF(OR($Q365=Parametres!$G$2,$Q365=Parametres!$G$3),I365,C365)</f>
        <v>23760</v>
      </c>
      <c r="O365" s="611">
        <f>+IF(OR($Q365=Parametres!$G$2,$Q365=Parametres!$G$3),J365,D365)</f>
        <v>3960</v>
      </c>
      <c r="P365" s="611">
        <f>+IF(OR($Q365=Parametres!$G$2,$Q365=Parametres!$G$3),K365,E365)</f>
        <v>27720</v>
      </c>
      <c r="Q365" s="610" t="str">
        <f t="shared" ref="Q365:Q373" si="44">+F365</f>
        <v>7-Dépenses</v>
      </c>
      <c r="R365" s="609" t="str">
        <f t="shared" ref="R365:R373" si="45">+G365</f>
        <v>6187</v>
      </c>
      <c r="S365" s="610" t="str">
        <f t="shared" ref="S365:S373" si="46">+H365</f>
        <v>_</v>
      </c>
      <c r="T365" s="612" t="str">
        <f>+VLOOKUP($L365,Data_Validation!$A:$D,1,0)</f>
        <v>6487</v>
      </c>
      <c r="U365" s="612" t="str">
        <f>+VLOOKUP($L365,Data_Validation!$A:$D,3,0)</f>
        <v>Service</v>
      </c>
      <c r="V365" s="612" t="str">
        <f>+VLOOKUP($L365,Data_Validation!$A:$D,4,0)</f>
        <v>Taxes foncières</v>
      </c>
      <c r="W365" s="612" t="str">
        <f>+VLOOKUP($L365,Data_Validation!$A:$E,5,0)</f>
        <v>$</v>
      </c>
      <c r="X365" s="612">
        <f>+VLOOKUP($L365,Data_Validation!$A:$F,6,0)</f>
        <v>0</v>
      </c>
    </row>
    <row r="366" spans="1:24" ht="15.75" customHeight="1">
      <c r="A366" s="1188" t="s">
        <v>1205</v>
      </c>
      <c r="B366" s="1188" t="s">
        <v>2474</v>
      </c>
      <c r="C366" s="1190">
        <v>2160</v>
      </c>
      <c r="D366" s="1190">
        <v>360</v>
      </c>
      <c r="E366" s="1190">
        <v>2520</v>
      </c>
      <c r="F366" s="1188" t="s">
        <v>1099</v>
      </c>
      <c r="G366" s="1188" t="s">
        <v>1167</v>
      </c>
      <c r="H366" s="1188" t="s">
        <v>3845</v>
      </c>
      <c r="I366" s="1149"/>
      <c r="J366" s="1149"/>
      <c r="K366" s="1149"/>
      <c r="L366" s="609" t="str">
        <f t="shared" si="42"/>
        <v>6493</v>
      </c>
      <c r="M366" s="610" t="str">
        <f t="shared" si="43"/>
        <v>AUTRE TAXES-SERVICE</v>
      </c>
      <c r="N366" s="611">
        <f>+IF(OR($Q366=Parametres!$G$2,$Q366=Parametres!$G$3),I366,C366)</f>
        <v>2160</v>
      </c>
      <c r="O366" s="611">
        <f>+IF(OR($Q366=Parametres!$G$2,$Q366=Parametres!$G$3),J366,D366)</f>
        <v>360</v>
      </c>
      <c r="P366" s="611">
        <f>+IF(OR($Q366=Parametres!$G$2,$Q366=Parametres!$G$3),K366,E366)</f>
        <v>2520</v>
      </c>
      <c r="Q366" s="610" t="str">
        <f t="shared" si="44"/>
        <v>7-Dépenses</v>
      </c>
      <c r="R366" s="609" t="str">
        <f t="shared" si="45"/>
        <v>6193</v>
      </c>
      <c r="S366" s="610" t="str">
        <f t="shared" si="46"/>
        <v>_</v>
      </c>
      <c r="T366" s="612" t="str">
        <f>+VLOOKUP($L366,Data_Validation!$A:$D,1,0)</f>
        <v>6493</v>
      </c>
      <c r="U366" s="612" t="str">
        <f>+VLOOKUP($L366,Data_Validation!$A:$D,3,0)</f>
        <v>Service</v>
      </c>
      <c r="V366" s="612" t="str">
        <f>+VLOOKUP($L366,Data_Validation!$A:$D,4,0)</f>
        <v>Taxes d`affaires</v>
      </c>
      <c r="W366" s="612" t="str">
        <f>+VLOOKUP($L366,Data_Validation!$A:$E,5,0)</f>
        <v>$</v>
      </c>
      <c r="X366" s="612">
        <f>+VLOOKUP($L366,Data_Validation!$A:$F,6,0)</f>
        <v>0</v>
      </c>
    </row>
    <row r="367" spans="1:24" ht="15.75" customHeight="1">
      <c r="A367" s="1188" t="s">
        <v>1206</v>
      </c>
      <c r="B367" s="1188" t="s">
        <v>2477</v>
      </c>
      <c r="C367" s="1190">
        <v>15861.59</v>
      </c>
      <c r="D367" s="1190">
        <v>544.08000000000004</v>
      </c>
      <c r="E367" s="1190">
        <v>16405.669999999998</v>
      </c>
      <c r="F367" s="1188" t="s">
        <v>1099</v>
      </c>
      <c r="G367" s="1188" t="s">
        <v>1169</v>
      </c>
      <c r="H367" s="1188" t="s">
        <v>3845</v>
      </c>
      <c r="I367" s="1149"/>
      <c r="J367" s="1149"/>
      <c r="K367" s="1149"/>
      <c r="L367" s="609" t="str">
        <f t="shared" si="42"/>
        <v>6494</v>
      </c>
      <c r="M367" s="610" t="str">
        <f t="shared" si="43"/>
        <v>FRAIS PROFESSIONNEL-SERVICE</v>
      </c>
      <c r="N367" s="611">
        <f>+IF(OR($Q367=Parametres!$G$2,$Q367=Parametres!$G$3),I367,C367)</f>
        <v>15861.59</v>
      </c>
      <c r="O367" s="611">
        <f>+IF(OR($Q367=Parametres!$G$2,$Q367=Parametres!$G$3),J367,D367)</f>
        <v>544.08000000000004</v>
      </c>
      <c r="P367" s="611">
        <f>+IF(OR($Q367=Parametres!$G$2,$Q367=Parametres!$G$3),K367,E367)</f>
        <v>16405.669999999998</v>
      </c>
      <c r="Q367" s="610" t="str">
        <f t="shared" si="44"/>
        <v>7-Dépenses</v>
      </c>
      <c r="R367" s="609" t="str">
        <f t="shared" si="45"/>
        <v>6194</v>
      </c>
      <c r="S367" s="610" t="str">
        <f t="shared" si="46"/>
        <v>_</v>
      </c>
      <c r="T367" s="612" t="str">
        <f>+VLOOKUP($L367,Data_Validation!$A:$D,1,0)</f>
        <v>6494</v>
      </c>
      <c r="U367" s="612" t="str">
        <f>+VLOOKUP($L367,Data_Validation!$A:$D,3,0)</f>
        <v>Service</v>
      </c>
      <c r="V367" s="612" t="str">
        <f>+VLOOKUP($L367,Data_Validation!$A:$D,4,0)</f>
        <v>Honoraires</v>
      </c>
      <c r="W367" s="612" t="str">
        <f>+VLOOKUP($L367,Data_Validation!$A:$E,5,0)</f>
        <v>$</v>
      </c>
      <c r="X367" s="612">
        <f>+VLOOKUP($L367,Data_Validation!$A:$F,6,0)</f>
        <v>0</v>
      </c>
    </row>
    <row r="368" spans="1:24" ht="15.75" customHeight="1">
      <c r="A368" s="1188" t="s">
        <v>1103</v>
      </c>
      <c r="B368" s="1188" t="s">
        <v>2480</v>
      </c>
      <c r="C368" s="1190">
        <v>4459.24</v>
      </c>
      <c r="D368" s="1190">
        <v>2020.4</v>
      </c>
      <c r="E368" s="1190">
        <v>6479.64</v>
      </c>
      <c r="F368" s="1188" t="s">
        <v>1099</v>
      </c>
      <c r="G368" s="1188" t="s">
        <v>1187</v>
      </c>
      <c r="H368" s="1188" t="s">
        <v>3845</v>
      </c>
      <c r="I368" s="1149"/>
      <c r="J368" s="1149"/>
      <c r="K368" s="1149"/>
      <c r="L368" s="609" t="str">
        <f t="shared" si="42"/>
        <v>6503</v>
      </c>
      <c r="M368" s="610" t="str">
        <f t="shared" si="43"/>
        <v>RELAT. A LA CLIENTELE &amp; AJUST.</v>
      </c>
      <c r="N368" s="611">
        <f>+IF(OR($Q368=Parametres!$G$2,$Q368=Parametres!$G$3),I368,C368)</f>
        <v>4459.24</v>
      </c>
      <c r="O368" s="611">
        <f>+IF(OR($Q368=Parametres!$G$2,$Q368=Parametres!$G$3),J368,D368)</f>
        <v>2020.4</v>
      </c>
      <c r="P368" s="611">
        <f>+IF(OR($Q368=Parametres!$G$2,$Q368=Parametres!$G$3),K368,E368)</f>
        <v>6479.64</v>
      </c>
      <c r="Q368" s="610" t="str">
        <f t="shared" si="44"/>
        <v>7-Dépenses</v>
      </c>
      <c r="R368" s="609" t="str">
        <f t="shared" si="45"/>
        <v>6112</v>
      </c>
      <c r="S368" s="610" t="str">
        <f t="shared" si="46"/>
        <v>_</v>
      </c>
      <c r="T368" s="612" t="str">
        <f>+VLOOKUP($L368,Data_Validation!$A:$D,1,0)</f>
        <v>6503</v>
      </c>
      <c r="U368" s="612" t="str">
        <f>+VLOOKUP($L368,Data_Validation!$A:$D,3,0)</f>
        <v>Carrosserie</v>
      </c>
      <c r="V368" s="612" t="str">
        <f>+VLOOKUP($L368,Data_Validation!$A:$D,4,0)</f>
        <v>Service gratuit 2</v>
      </c>
      <c r="W368" s="612" t="str">
        <f>+VLOOKUP($L368,Data_Validation!$A:$E,5,0)</f>
        <v>$</v>
      </c>
      <c r="X368" s="612">
        <f>+VLOOKUP($L368,Data_Validation!$A:$F,6,0)</f>
        <v>0</v>
      </c>
    </row>
    <row r="369" spans="1:24" ht="15.75" customHeight="1">
      <c r="A369" s="1188" t="s">
        <v>1111</v>
      </c>
      <c r="B369" s="1188" t="s">
        <v>2486</v>
      </c>
      <c r="C369" s="1190">
        <v>1082.98</v>
      </c>
      <c r="D369" s="1190">
        <v>63</v>
      </c>
      <c r="E369" s="1190">
        <v>1145.98</v>
      </c>
      <c r="F369" s="1188" t="s">
        <v>1099</v>
      </c>
      <c r="G369" s="1188" t="s">
        <v>1112</v>
      </c>
      <c r="H369" s="1188" t="s">
        <v>3845</v>
      </c>
      <c r="I369" s="1149"/>
      <c r="J369" s="1149"/>
      <c r="K369" s="1149"/>
      <c r="L369" s="609" t="str">
        <f t="shared" si="42"/>
        <v>6514</v>
      </c>
      <c r="M369" s="610" t="str">
        <f t="shared" si="43"/>
        <v>PUBLICITE</v>
      </c>
      <c r="N369" s="611">
        <f>+IF(OR($Q369=Parametres!$G$2,$Q369=Parametres!$G$3),I369,C369)</f>
        <v>1082.98</v>
      </c>
      <c r="O369" s="611">
        <f>+IF(OR($Q369=Parametres!$G$2,$Q369=Parametres!$G$3),J369,D369)</f>
        <v>63</v>
      </c>
      <c r="P369" s="611">
        <f>+IF(OR($Q369=Parametres!$G$2,$Q369=Parametres!$G$3),K369,E369)</f>
        <v>1145.98</v>
      </c>
      <c r="Q369" s="610" t="str">
        <f t="shared" si="44"/>
        <v>7-Dépenses</v>
      </c>
      <c r="R369" s="609" t="str">
        <f t="shared" si="45"/>
        <v>6114</v>
      </c>
      <c r="S369" s="610" t="str">
        <f t="shared" si="46"/>
        <v>_</v>
      </c>
      <c r="T369" s="612" t="str">
        <f>+VLOOKUP($L369,Data_Validation!$A:$D,1,0)</f>
        <v>6514</v>
      </c>
      <c r="U369" s="612" t="str">
        <f>+VLOOKUP($L369,Data_Validation!$A:$D,3,0)</f>
        <v>Carrosserie</v>
      </c>
      <c r="V369" s="612" t="str">
        <f>+VLOOKUP($L369,Data_Validation!$A:$D,4,0)</f>
        <v>Publicité 2</v>
      </c>
      <c r="W369" s="612" t="str">
        <f>+VLOOKUP($L369,Data_Validation!$A:$E,5,0)</f>
        <v>$</v>
      </c>
      <c r="X369" s="612">
        <f>+VLOOKUP($L369,Data_Validation!$A:$F,6,0)</f>
        <v>0</v>
      </c>
    </row>
    <row r="370" spans="1:24" ht="15.75" customHeight="1">
      <c r="A370" s="1188" t="s">
        <v>3862</v>
      </c>
      <c r="B370" s="1188" t="s">
        <v>2492</v>
      </c>
      <c r="C370" s="1190">
        <v>1902.67</v>
      </c>
      <c r="D370" s="1190">
        <v>395.65</v>
      </c>
      <c r="E370" s="1190">
        <v>2298.3200000000002</v>
      </c>
      <c r="F370" s="1188" t="s">
        <v>1099</v>
      </c>
      <c r="G370" s="1188" t="s">
        <v>1115</v>
      </c>
      <c r="H370" s="1188" t="s">
        <v>3845</v>
      </c>
      <c r="I370" s="1149"/>
      <c r="J370" s="1149"/>
      <c r="K370" s="1149"/>
      <c r="L370" s="609" t="str">
        <f t="shared" si="42"/>
        <v>6521</v>
      </c>
      <c r="M370" s="610" t="str">
        <f t="shared" si="43"/>
        <v>SALAIRES - DIRECTION GENERALE</v>
      </c>
      <c r="N370" s="611">
        <f>+IF(OR($Q370=Parametres!$G$2,$Q370=Parametres!$G$3),I370,C370)</f>
        <v>1902.67</v>
      </c>
      <c r="O370" s="611">
        <f>+IF(OR($Q370=Parametres!$G$2,$Q370=Parametres!$G$3),J370,D370)</f>
        <v>395.65</v>
      </c>
      <c r="P370" s="611">
        <f>+IF(OR($Q370=Parametres!$G$2,$Q370=Parametres!$G$3),K370,E370)</f>
        <v>2298.3200000000002</v>
      </c>
      <c r="Q370" s="610" t="str">
        <f t="shared" si="44"/>
        <v>7-Dépenses</v>
      </c>
      <c r="R370" s="609" t="str">
        <f t="shared" si="45"/>
        <v>6121</v>
      </c>
      <c r="S370" s="610" t="str">
        <f t="shared" si="46"/>
        <v>_</v>
      </c>
      <c r="T370" s="612" t="str">
        <f>+VLOOKUP($L370,Data_Validation!$A:$D,1,0)</f>
        <v>6521</v>
      </c>
      <c r="U370" s="612" t="str">
        <f>+VLOOKUP($L370,Data_Validation!$A:$D,3,0)</f>
        <v>Carrosserie</v>
      </c>
      <c r="V370" s="612" t="str">
        <f>+VLOOKUP($L370,Data_Validation!$A:$D,4,0)</f>
        <v>Salaires propriétaire</v>
      </c>
      <c r="W370" s="612" t="str">
        <f>+VLOOKUP($L370,Data_Validation!$A:$E,5,0)</f>
        <v>$</v>
      </c>
      <c r="X370" s="612">
        <f>+VLOOKUP($L370,Data_Validation!$A:$F,6,0)</f>
        <v>0</v>
      </c>
    </row>
    <row r="371" spans="1:24" ht="15.75" customHeight="1">
      <c r="A371" s="1188" t="s">
        <v>1116</v>
      </c>
      <c r="B371" s="1188" t="s">
        <v>2495</v>
      </c>
      <c r="C371" s="1190">
        <v>1251.8800000000001</v>
      </c>
      <c r="D371" s="1190">
        <v>70</v>
      </c>
      <c r="E371" s="1190">
        <v>1321.88</v>
      </c>
      <c r="F371" s="1188" t="s">
        <v>1099</v>
      </c>
      <c r="G371" s="1188" t="s">
        <v>1117</v>
      </c>
      <c r="H371" s="1188" t="s">
        <v>3845</v>
      </c>
      <c r="I371" s="1149"/>
      <c r="J371" s="1149"/>
      <c r="K371" s="1149"/>
      <c r="L371" s="609" t="str">
        <f t="shared" si="42"/>
        <v>6522</v>
      </c>
      <c r="M371" s="610" t="str">
        <f t="shared" si="43"/>
        <v>SAL SUPERVISION / GERANT</v>
      </c>
      <c r="N371" s="611">
        <f>+IF(OR($Q371=Parametres!$G$2,$Q371=Parametres!$G$3),I371,C371)</f>
        <v>1251.8800000000001</v>
      </c>
      <c r="O371" s="611">
        <f>+IF(OR($Q371=Parametres!$G$2,$Q371=Parametres!$G$3),J371,D371)</f>
        <v>70</v>
      </c>
      <c r="P371" s="611">
        <f>+IF(OR($Q371=Parametres!$G$2,$Q371=Parametres!$G$3),K371,E371)</f>
        <v>1321.88</v>
      </c>
      <c r="Q371" s="610" t="str">
        <f t="shared" si="44"/>
        <v>7-Dépenses</v>
      </c>
      <c r="R371" s="609" t="str">
        <f t="shared" si="45"/>
        <v>6122</v>
      </c>
      <c r="S371" s="610" t="str">
        <f t="shared" si="46"/>
        <v>_</v>
      </c>
      <c r="T371" s="612" t="str">
        <f>+VLOOKUP($L371,Data_Validation!$A:$D,1,0)</f>
        <v>6522</v>
      </c>
      <c r="U371" s="612" t="str">
        <f>+VLOOKUP($L371,Data_Validation!$A:$D,3,0)</f>
        <v>Carrosserie</v>
      </c>
      <c r="V371" s="612" t="str">
        <f>+VLOOKUP($L371,Data_Validation!$A:$D,4,0)</f>
        <v>Salaires cadres</v>
      </c>
      <c r="W371" s="612" t="str">
        <f>+VLOOKUP($L371,Data_Validation!$A:$E,5,0)</f>
        <v>$</v>
      </c>
      <c r="X371" s="612">
        <f>+VLOOKUP($L371,Data_Validation!$A:$F,6,0)</f>
        <v>0</v>
      </c>
    </row>
    <row r="372" spans="1:24" ht="15.75" customHeight="1">
      <c r="A372" s="1188" t="s">
        <v>1189</v>
      </c>
      <c r="B372" s="1188" t="s">
        <v>2498</v>
      </c>
      <c r="C372" s="1190">
        <v>32522.32</v>
      </c>
      <c r="D372" s="1190">
        <v>5985.66</v>
      </c>
      <c r="E372" s="1190">
        <v>38507.980000000003</v>
      </c>
      <c r="F372" s="1188" t="s">
        <v>1099</v>
      </c>
      <c r="G372" s="1188" t="s">
        <v>1119</v>
      </c>
      <c r="H372" s="1188" t="s">
        <v>3845</v>
      </c>
      <c r="I372" s="1149"/>
      <c r="J372" s="1149"/>
      <c r="K372" s="1149"/>
      <c r="L372" s="609" t="str">
        <f t="shared" si="42"/>
        <v>6523</v>
      </c>
      <c r="M372" s="610" t="str">
        <f t="shared" si="43"/>
        <v>SAL. &amp; RENUM. CLERICAL</v>
      </c>
      <c r="N372" s="611">
        <f>+IF(OR($Q372=Parametres!$G$2,$Q372=Parametres!$G$3),I372,C372)</f>
        <v>32522.32</v>
      </c>
      <c r="O372" s="611">
        <f>+IF(OR($Q372=Parametres!$G$2,$Q372=Parametres!$G$3),J372,D372)</f>
        <v>5985.66</v>
      </c>
      <c r="P372" s="611">
        <f>+IF(OR($Q372=Parametres!$G$2,$Q372=Parametres!$G$3),K372,E372)</f>
        <v>38507.980000000003</v>
      </c>
      <c r="Q372" s="610" t="str">
        <f t="shared" si="44"/>
        <v>7-Dépenses</v>
      </c>
      <c r="R372" s="609" t="str">
        <f t="shared" si="45"/>
        <v>6123</v>
      </c>
      <c r="S372" s="610" t="str">
        <f t="shared" si="46"/>
        <v>_</v>
      </c>
      <c r="T372" s="612" t="str">
        <f>+VLOOKUP($L372,Data_Validation!$A:$D,1,0)</f>
        <v>6523</v>
      </c>
      <c r="U372" s="612" t="str">
        <f>+VLOOKUP($L372,Data_Validation!$A:$D,3,0)</f>
        <v>Carrosserie</v>
      </c>
      <c r="V372" s="612" t="str">
        <f>+VLOOKUP($L372,Data_Validation!$A:$D,4,0)</f>
        <v>Salaires commis</v>
      </c>
      <c r="W372" s="612" t="str">
        <f>+VLOOKUP($L372,Data_Validation!$A:$E,5,0)</f>
        <v>$</v>
      </c>
      <c r="X372" s="612">
        <f>+VLOOKUP($L372,Data_Validation!$A:$F,6,0)</f>
        <v>0</v>
      </c>
    </row>
    <row r="373" spans="1:24" ht="15.75" customHeight="1">
      <c r="A373" s="1188" t="s">
        <v>1120</v>
      </c>
      <c r="B373" s="1188" t="s">
        <v>2501</v>
      </c>
      <c r="C373" s="1190">
        <v>0.08</v>
      </c>
      <c r="D373" s="1190">
        <v>0</v>
      </c>
      <c r="E373" s="1190">
        <v>0.08</v>
      </c>
      <c r="F373" s="1188" t="s">
        <v>1099</v>
      </c>
      <c r="G373" s="1188" t="s">
        <v>1121</v>
      </c>
      <c r="H373" s="1188" t="s">
        <v>3845</v>
      </c>
      <c r="I373" s="1149"/>
      <c r="J373" s="1149"/>
      <c r="K373" s="1149"/>
      <c r="L373" s="609" t="str">
        <f t="shared" si="42"/>
        <v>6524</v>
      </c>
      <c r="M373" s="610" t="str">
        <f t="shared" si="43"/>
        <v>SALAIRES &amp; RENUM. - AUTRES</v>
      </c>
      <c r="N373" s="611">
        <f>+IF(OR($Q373=Parametres!$G$2,$Q373=Parametres!$G$3),I373,C373)</f>
        <v>0.08</v>
      </c>
      <c r="O373" s="611">
        <f>+IF(OR($Q373=Parametres!$G$2,$Q373=Parametres!$G$3),J373,D373)</f>
        <v>0</v>
      </c>
      <c r="P373" s="611">
        <f>+IF(OR($Q373=Parametres!$G$2,$Q373=Parametres!$G$3),K373,E373)</f>
        <v>0.08</v>
      </c>
      <c r="Q373" s="610" t="str">
        <f t="shared" si="44"/>
        <v>7-Dépenses</v>
      </c>
      <c r="R373" s="609" t="str">
        <f t="shared" si="45"/>
        <v>6124</v>
      </c>
      <c r="S373" s="610" t="str">
        <f t="shared" si="46"/>
        <v>_</v>
      </c>
      <c r="T373" s="612" t="str">
        <f>+VLOOKUP($L373,Data_Validation!$A:$D,1,0)</f>
        <v>6524</v>
      </c>
      <c r="U373" s="612" t="str">
        <f>+VLOOKUP($L373,Data_Validation!$A:$D,3,0)</f>
        <v>Carrosserie</v>
      </c>
      <c r="V373" s="612" t="str">
        <f>+VLOOKUP($L373,Data_Validation!$A:$D,4,0)</f>
        <v>Salaires autres</v>
      </c>
      <c r="W373" s="612" t="str">
        <f>+VLOOKUP($L373,Data_Validation!$A:$E,5,0)</f>
        <v>$</v>
      </c>
      <c r="X373" s="612">
        <f>+VLOOKUP($L373,Data_Validation!$A:$F,6,0)</f>
        <v>0</v>
      </c>
    </row>
    <row r="374" spans="1:24" ht="15.75" customHeight="1">
      <c r="A374" s="1188" t="s">
        <v>1174</v>
      </c>
      <c r="B374" s="1188" t="s">
        <v>2507</v>
      </c>
      <c r="C374" s="1190">
        <v>4832.12</v>
      </c>
      <c r="D374" s="1190">
        <v>928.39</v>
      </c>
      <c r="E374" s="1190">
        <v>5760.51</v>
      </c>
      <c r="F374" s="1188" t="s">
        <v>1099</v>
      </c>
      <c r="G374" s="1188" t="s">
        <v>1123</v>
      </c>
      <c r="H374" s="1188" t="s">
        <v>3845</v>
      </c>
      <c r="I374" s="922"/>
      <c r="J374" s="922"/>
      <c r="K374" s="922"/>
      <c r="L374" s="609" t="str">
        <f t="shared" ref="L374:L437" si="47">TEXT(B374,0)</f>
        <v>6529</v>
      </c>
      <c r="M374" s="610" t="str">
        <f t="shared" ref="M374:M437" si="48">+A374</f>
        <v>ABS.,VACANCES &amp; SAL. JOURS FER</v>
      </c>
      <c r="N374" s="611">
        <f>+IF(OR($Q374=Parametres!$G$2,$Q374=Parametres!$G$3),I374,C374)</f>
        <v>4832.12</v>
      </c>
      <c r="O374" s="611">
        <f>+IF(OR($Q374=Parametres!$G$2,$Q374=Parametres!$G$3),J374,D374)</f>
        <v>928.39</v>
      </c>
      <c r="P374" s="611">
        <f>+IF(OR($Q374=Parametres!$G$2,$Q374=Parametres!$G$3),K374,E374)</f>
        <v>5760.51</v>
      </c>
      <c r="Q374" s="610" t="str">
        <f t="shared" ref="Q374:Q437" si="49">+F374</f>
        <v>7-Dépenses</v>
      </c>
      <c r="R374" s="609" t="str">
        <f t="shared" ref="R374:R437" si="50">+G374</f>
        <v>6129</v>
      </c>
      <c r="S374" s="610" t="str">
        <f t="shared" ref="S374:S437" si="51">+H374</f>
        <v>_</v>
      </c>
      <c r="T374" s="612" t="str">
        <f>+VLOOKUP($L374,Data_Validation!$A:$D,1,0)</f>
        <v>6529</v>
      </c>
      <c r="U374" s="612" t="str">
        <f>+VLOOKUP($L374,Data_Validation!$A:$D,3,0)</f>
        <v>Carrosserie</v>
      </c>
      <c r="V374" s="612" t="str">
        <f>+VLOOKUP($L374,Data_Validation!$A:$D,4,0)</f>
        <v>Salaires en absences</v>
      </c>
      <c r="W374" s="612" t="str">
        <f>+VLOOKUP($L374,Data_Validation!$A:$E,5,0)</f>
        <v>$</v>
      </c>
      <c r="X374" s="612">
        <f>+VLOOKUP($L374,Data_Validation!$A:$F,6,0)</f>
        <v>0</v>
      </c>
    </row>
    <row r="375" spans="1:24" ht="15.75" customHeight="1">
      <c r="A375" s="1188" t="s">
        <v>1124</v>
      </c>
      <c r="B375" s="1188" t="s">
        <v>2510</v>
      </c>
      <c r="C375" s="1190">
        <v>1515.53</v>
      </c>
      <c r="D375" s="1190">
        <v>348.28</v>
      </c>
      <c r="E375" s="1190">
        <v>1863.81</v>
      </c>
      <c r="F375" s="1188" t="s">
        <v>1099</v>
      </c>
      <c r="G375" s="1188" t="s">
        <v>1125</v>
      </c>
      <c r="H375" s="1188" t="s">
        <v>3845</v>
      </c>
      <c r="I375" s="922"/>
      <c r="J375" s="922"/>
      <c r="K375" s="922"/>
      <c r="L375" s="609" t="str">
        <f t="shared" si="47"/>
        <v>6531</v>
      </c>
      <c r="M375" s="610" t="str">
        <f t="shared" si="48"/>
        <v>CSST</v>
      </c>
      <c r="N375" s="611">
        <f>+IF(OR($Q375=Parametres!$G$2,$Q375=Parametres!$G$3),I375,C375)</f>
        <v>1515.53</v>
      </c>
      <c r="O375" s="611">
        <f>+IF(OR($Q375=Parametres!$G$2,$Q375=Parametres!$G$3),J375,D375)</f>
        <v>348.28</v>
      </c>
      <c r="P375" s="611">
        <f>+IF(OR($Q375=Parametres!$G$2,$Q375=Parametres!$G$3),K375,E375)</f>
        <v>1863.81</v>
      </c>
      <c r="Q375" s="610" t="str">
        <f t="shared" si="49"/>
        <v>7-Dépenses</v>
      </c>
      <c r="R375" s="609" t="str">
        <f t="shared" si="50"/>
        <v>6131</v>
      </c>
      <c r="S375" s="610" t="str">
        <f t="shared" si="51"/>
        <v>_</v>
      </c>
      <c r="T375" s="612" t="str">
        <f>+VLOOKUP($L375,Data_Validation!$A:$D,1,0)</f>
        <v>6531</v>
      </c>
      <c r="U375" s="612" t="str">
        <f>+VLOOKUP($L375,Data_Validation!$A:$D,3,0)</f>
        <v>Carrosserie</v>
      </c>
      <c r="V375" s="612" t="str">
        <f>+VLOOKUP($L375,Data_Validation!$A:$D,4,0)</f>
        <v>Csst</v>
      </c>
      <c r="W375" s="612" t="str">
        <f>+VLOOKUP($L375,Data_Validation!$A:$E,5,0)</f>
        <v>$</v>
      </c>
      <c r="X375" s="612">
        <f>+VLOOKUP($L375,Data_Validation!$A:$F,6,0)</f>
        <v>0</v>
      </c>
    </row>
    <row r="376" spans="1:24" ht="15.75" customHeight="1">
      <c r="A376" s="1188" t="s">
        <v>1126</v>
      </c>
      <c r="B376" s="1188" t="s">
        <v>2513</v>
      </c>
      <c r="C376" s="1190">
        <v>6587.08</v>
      </c>
      <c r="D376" s="1190">
        <v>1028.6199999999999</v>
      </c>
      <c r="E376" s="1190">
        <v>7615.7</v>
      </c>
      <c r="F376" s="1188" t="s">
        <v>1099</v>
      </c>
      <c r="G376" s="1188" t="s">
        <v>1127</v>
      </c>
      <c r="H376" s="1188" t="s">
        <v>3845</v>
      </c>
      <c r="I376" s="922"/>
      <c r="J376" s="922"/>
      <c r="K376" s="922"/>
      <c r="L376" s="609" t="str">
        <f t="shared" si="47"/>
        <v>6532</v>
      </c>
      <c r="M376" s="610" t="str">
        <f t="shared" si="48"/>
        <v>RRQ RAMQ AC</v>
      </c>
      <c r="N376" s="611">
        <f>+IF(OR($Q376=Parametres!$G$2,$Q376=Parametres!$G$3),I376,C376)</f>
        <v>6587.08</v>
      </c>
      <c r="O376" s="611">
        <f>+IF(OR($Q376=Parametres!$G$2,$Q376=Parametres!$G$3),J376,D376)</f>
        <v>1028.6199999999999</v>
      </c>
      <c r="P376" s="611">
        <f>+IF(OR($Q376=Parametres!$G$2,$Q376=Parametres!$G$3),K376,E376)</f>
        <v>7615.7</v>
      </c>
      <c r="Q376" s="610" t="str">
        <f t="shared" si="49"/>
        <v>7-Dépenses</v>
      </c>
      <c r="R376" s="609" t="str">
        <f t="shared" si="50"/>
        <v>6132</v>
      </c>
      <c r="S376" s="610" t="str">
        <f t="shared" si="51"/>
        <v>_</v>
      </c>
      <c r="T376" s="612" t="str">
        <f>+VLOOKUP($L376,Data_Validation!$A:$D,1,0)</f>
        <v>6532</v>
      </c>
      <c r="U376" s="612" t="str">
        <f>+VLOOKUP($L376,Data_Validation!$A:$D,3,0)</f>
        <v>Carrosserie</v>
      </c>
      <c r="V376" s="612" t="str">
        <f>+VLOOKUP($L376,Data_Validation!$A:$D,4,0)</f>
        <v>Déduction à la source</v>
      </c>
      <c r="W376" s="612" t="str">
        <f>+VLOOKUP($L376,Data_Validation!$A:$E,5,0)</f>
        <v>$</v>
      </c>
      <c r="X376" s="612">
        <f>+VLOOKUP($L376,Data_Validation!$A:$F,6,0)</f>
        <v>0</v>
      </c>
    </row>
    <row r="377" spans="1:24" ht="15.75" customHeight="1">
      <c r="A377" s="1188" t="s">
        <v>1176</v>
      </c>
      <c r="B377" s="1188" t="s">
        <v>2516</v>
      </c>
      <c r="C377" s="1190">
        <v>1693.21</v>
      </c>
      <c r="D377" s="1190">
        <v>282.95</v>
      </c>
      <c r="E377" s="1190">
        <v>1976.16</v>
      </c>
      <c r="F377" s="1188" t="s">
        <v>1099</v>
      </c>
      <c r="G377" s="1188" t="s">
        <v>1131</v>
      </c>
      <c r="H377" s="1188" t="s">
        <v>3845</v>
      </c>
      <c r="I377" s="922"/>
      <c r="J377" s="922"/>
      <c r="K377" s="922"/>
      <c r="L377" s="609" t="str">
        <f t="shared" si="47"/>
        <v>6539</v>
      </c>
      <c r="M377" s="610" t="str">
        <f t="shared" si="48"/>
        <v>ASSURANCE GROUPE</v>
      </c>
      <c r="N377" s="611">
        <f>+IF(OR($Q377=Parametres!$G$2,$Q377=Parametres!$G$3),I377,C377)</f>
        <v>1693.21</v>
      </c>
      <c r="O377" s="611">
        <f>+IF(OR($Q377=Parametres!$G$2,$Q377=Parametres!$G$3),J377,D377)</f>
        <v>282.95</v>
      </c>
      <c r="P377" s="611">
        <f>+IF(OR($Q377=Parametres!$G$2,$Q377=Parametres!$G$3),K377,E377)</f>
        <v>1976.16</v>
      </c>
      <c r="Q377" s="610" t="str">
        <f t="shared" si="49"/>
        <v>7-Dépenses</v>
      </c>
      <c r="R377" s="609" t="str">
        <f t="shared" si="50"/>
        <v>6139</v>
      </c>
      <c r="S377" s="610" t="str">
        <f t="shared" si="51"/>
        <v>_</v>
      </c>
      <c r="T377" s="612" t="str">
        <f>+VLOOKUP($L377,Data_Validation!$A:$D,1,0)</f>
        <v>6539</v>
      </c>
      <c r="U377" s="612" t="str">
        <f>+VLOOKUP($L377,Data_Validation!$A:$D,3,0)</f>
        <v>Carrosserie</v>
      </c>
      <c r="V377" s="612" t="str">
        <f>+VLOOKUP($L377,Data_Validation!$A:$D,4,0)</f>
        <v>Bénéfices marginaux</v>
      </c>
      <c r="W377" s="612" t="str">
        <f>+VLOOKUP($L377,Data_Validation!$A:$E,5,0)</f>
        <v>$</v>
      </c>
      <c r="X377" s="612">
        <f>+VLOOKUP($L377,Data_Validation!$A:$F,6,0)</f>
        <v>0</v>
      </c>
    </row>
    <row r="378" spans="1:24" ht="15.75" customHeight="1">
      <c r="A378" s="1188" t="s">
        <v>1136</v>
      </c>
      <c r="B378" s="1188" t="s">
        <v>2528</v>
      </c>
      <c r="C378" s="1190">
        <v>398.78</v>
      </c>
      <c r="D378" s="1190">
        <v>0</v>
      </c>
      <c r="E378" s="1190">
        <v>398.78</v>
      </c>
      <c r="F378" s="1188" t="s">
        <v>1099</v>
      </c>
      <c r="G378" s="1188" t="s">
        <v>1137</v>
      </c>
      <c r="H378" s="1188" t="s">
        <v>3845</v>
      </c>
      <c r="I378" s="922"/>
      <c r="J378" s="922"/>
      <c r="K378" s="922"/>
      <c r="L378" s="609" t="str">
        <f t="shared" si="47"/>
        <v>6544</v>
      </c>
      <c r="M378" s="610" t="str">
        <f t="shared" si="48"/>
        <v>FORMATION</v>
      </c>
      <c r="N378" s="611">
        <f>+IF(OR($Q378=Parametres!$G$2,$Q378=Parametres!$G$3),I378,C378)</f>
        <v>398.78</v>
      </c>
      <c r="O378" s="611">
        <f>+IF(OR($Q378=Parametres!$G$2,$Q378=Parametres!$G$3),J378,D378)</f>
        <v>0</v>
      </c>
      <c r="P378" s="611">
        <f>+IF(OR($Q378=Parametres!$G$2,$Q378=Parametres!$G$3),K378,E378)</f>
        <v>398.78</v>
      </c>
      <c r="Q378" s="610" t="str">
        <f t="shared" si="49"/>
        <v>7-Dépenses</v>
      </c>
      <c r="R378" s="609" t="str">
        <f t="shared" si="50"/>
        <v>6144</v>
      </c>
      <c r="S378" s="610" t="str">
        <f t="shared" si="51"/>
        <v>_</v>
      </c>
      <c r="T378" s="612" t="str">
        <f>+VLOOKUP($L378,Data_Validation!$A:$D,1,0)</f>
        <v>6544</v>
      </c>
      <c r="U378" s="612" t="str">
        <f>+VLOOKUP($L378,Data_Validation!$A:$D,3,0)</f>
        <v>Carrosserie</v>
      </c>
      <c r="V378" s="612" t="str">
        <f>+VLOOKUP($L378,Data_Validation!$A:$D,4,0)</f>
        <v>Formation</v>
      </c>
      <c r="W378" s="612" t="str">
        <f>+VLOOKUP($L378,Data_Validation!$A:$E,5,0)</f>
        <v>$</v>
      </c>
      <c r="X378" s="612">
        <f>+VLOOKUP($L378,Data_Validation!$A:$F,6,0)</f>
        <v>0</v>
      </c>
    </row>
    <row r="379" spans="1:24" ht="15.75" customHeight="1">
      <c r="A379" s="1188" t="s">
        <v>1138</v>
      </c>
      <c r="B379" s="1188" t="s">
        <v>2531</v>
      </c>
      <c r="C379" s="1190">
        <v>958.13</v>
      </c>
      <c r="D379" s="1190">
        <v>166.72</v>
      </c>
      <c r="E379" s="1190">
        <v>1124.8499999999999</v>
      </c>
      <c r="F379" s="1188" t="s">
        <v>1099</v>
      </c>
      <c r="G379" s="1188" t="s">
        <v>1139</v>
      </c>
      <c r="H379" s="1188" t="s">
        <v>3845</v>
      </c>
      <c r="I379" s="922"/>
      <c r="J379" s="922"/>
      <c r="K379" s="922"/>
      <c r="L379" s="609" t="str">
        <f t="shared" si="47"/>
        <v>6545</v>
      </c>
      <c r="M379" s="610" t="str">
        <f t="shared" si="48"/>
        <v>VEHICULE DE COMPAGNIE - DEPENS</v>
      </c>
      <c r="N379" s="611">
        <f>+IF(OR($Q379=Parametres!$G$2,$Q379=Parametres!$G$3),I379,C379)</f>
        <v>958.13</v>
      </c>
      <c r="O379" s="611">
        <f>+IF(OR($Q379=Parametres!$G$2,$Q379=Parametres!$G$3),J379,D379)</f>
        <v>166.72</v>
      </c>
      <c r="P379" s="611">
        <f>+IF(OR($Q379=Parametres!$G$2,$Q379=Parametres!$G$3),K379,E379)</f>
        <v>1124.8499999999999</v>
      </c>
      <c r="Q379" s="610" t="str">
        <f t="shared" si="49"/>
        <v>7-Dépenses</v>
      </c>
      <c r="R379" s="609" t="str">
        <f t="shared" si="50"/>
        <v>6145</v>
      </c>
      <c r="S379" s="610" t="str">
        <f t="shared" si="51"/>
        <v>_</v>
      </c>
      <c r="T379" s="612" t="str">
        <f>+VLOOKUP($L379,Data_Validation!$A:$D,1,0)</f>
        <v>6545</v>
      </c>
      <c r="U379" s="612" t="str">
        <f>+VLOOKUP($L379,Data_Validation!$A:$D,3,0)</f>
        <v>Carrosserie</v>
      </c>
      <c r="V379" s="612" t="str">
        <f>+VLOOKUP($L379,Data_Validation!$A:$D,4,0)</f>
        <v>Frais véhicules de cie</v>
      </c>
      <c r="W379" s="612" t="str">
        <f>+VLOOKUP($L379,Data_Validation!$A:$E,5,0)</f>
        <v>$</v>
      </c>
      <c r="X379" s="612">
        <f>+VLOOKUP($L379,Data_Validation!$A:$F,6,0)</f>
        <v>0</v>
      </c>
    </row>
    <row r="380" spans="1:24" ht="15.75" customHeight="1">
      <c r="A380" s="1188" t="s">
        <v>1140</v>
      </c>
      <c r="B380" s="1188" t="s">
        <v>2534</v>
      </c>
      <c r="C380" s="1190">
        <v>128.27000000000001</v>
      </c>
      <c r="D380" s="1190">
        <v>19.86</v>
      </c>
      <c r="E380" s="1190">
        <v>148.13</v>
      </c>
      <c r="F380" s="1188" t="s">
        <v>1099</v>
      </c>
      <c r="G380" s="1188" t="s">
        <v>1141</v>
      </c>
      <c r="H380" s="1188" t="s">
        <v>3845</v>
      </c>
      <c r="I380" s="922"/>
      <c r="J380" s="922"/>
      <c r="K380" s="922"/>
      <c r="L380" s="609" t="str">
        <f t="shared" si="47"/>
        <v>6547</v>
      </c>
      <c r="M380" s="610" t="str">
        <f t="shared" si="48"/>
        <v>FRET/EXPRESS/TRANS. PAR CAMION</v>
      </c>
      <c r="N380" s="611">
        <f>+IF(OR($Q380=Parametres!$G$2,$Q380=Parametres!$G$3),I380,C380)</f>
        <v>128.27000000000001</v>
      </c>
      <c r="O380" s="611">
        <f>+IF(OR($Q380=Parametres!$G$2,$Q380=Parametres!$G$3),J380,D380)</f>
        <v>19.86</v>
      </c>
      <c r="P380" s="611">
        <f>+IF(OR($Q380=Parametres!$G$2,$Q380=Parametres!$G$3),K380,E380)</f>
        <v>148.13</v>
      </c>
      <c r="Q380" s="610" t="str">
        <f t="shared" si="49"/>
        <v>7-Dépenses</v>
      </c>
      <c r="R380" s="609" t="str">
        <f t="shared" si="50"/>
        <v>6147</v>
      </c>
      <c r="S380" s="610" t="str">
        <f t="shared" si="51"/>
        <v>_</v>
      </c>
      <c r="T380" s="612" t="str">
        <f>+VLOOKUP($L380,Data_Validation!$A:$D,1,0)</f>
        <v>6547</v>
      </c>
      <c r="U380" s="612" t="str">
        <f>+VLOOKUP($L380,Data_Validation!$A:$D,3,0)</f>
        <v>Carrosserie</v>
      </c>
      <c r="V380" s="612" t="str">
        <f>+VLOOKUP($L380,Data_Validation!$A:$D,4,0)</f>
        <v>Frais postaux</v>
      </c>
      <c r="W380" s="612" t="str">
        <f>+VLOOKUP($L380,Data_Validation!$A:$E,5,0)</f>
        <v>$</v>
      </c>
      <c r="X380" s="612">
        <f>+VLOOKUP($L380,Data_Validation!$A:$F,6,0)</f>
        <v>0</v>
      </c>
    </row>
    <row r="381" spans="1:24" ht="15.75" customHeight="1">
      <c r="A381" s="1188" t="s">
        <v>1142</v>
      </c>
      <c r="B381" s="1188" t="s">
        <v>2539</v>
      </c>
      <c r="C381" s="1190">
        <v>9100.11</v>
      </c>
      <c r="D381" s="1190">
        <v>1838.88</v>
      </c>
      <c r="E381" s="1190">
        <v>10938.99</v>
      </c>
      <c r="F381" s="1188" t="s">
        <v>1099</v>
      </c>
      <c r="G381" s="1188" t="s">
        <v>1143</v>
      </c>
      <c r="H381" s="1188" t="s">
        <v>3845</v>
      </c>
      <c r="I381" s="922"/>
      <c r="J381" s="922"/>
      <c r="K381" s="922"/>
      <c r="L381" s="609" t="str">
        <f t="shared" si="47"/>
        <v>6551</v>
      </c>
      <c r="M381" s="610" t="str">
        <f t="shared" si="48"/>
        <v>DEP. DU TRAITEMENT DES DONNEES</v>
      </c>
      <c r="N381" s="611">
        <f>+IF(OR($Q381=Parametres!$G$2,$Q381=Parametres!$G$3),I381,C381)</f>
        <v>9100.11</v>
      </c>
      <c r="O381" s="611">
        <f>+IF(OR($Q381=Parametres!$G$2,$Q381=Parametres!$G$3),J381,D381)</f>
        <v>1838.88</v>
      </c>
      <c r="P381" s="611">
        <f>+IF(OR($Q381=Parametres!$G$2,$Q381=Parametres!$G$3),K381,E381)</f>
        <v>10938.99</v>
      </c>
      <c r="Q381" s="610" t="str">
        <f t="shared" si="49"/>
        <v>7-Dépenses</v>
      </c>
      <c r="R381" s="609" t="str">
        <f t="shared" si="50"/>
        <v>6151</v>
      </c>
      <c r="S381" s="610" t="str">
        <f t="shared" si="51"/>
        <v>_</v>
      </c>
      <c r="T381" s="612" t="str">
        <f>+VLOOKUP($L381,Data_Validation!$A:$D,1,0)</f>
        <v>6551</v>
      </c>
      <c r="U381" s="612" t="str">
        <f>+VLOOKUP($L381,Data_Validation!$A:$D,3,0)</f>
        <v>Carrosserie</v>
      </c>
      <c r="V381" s="612" t="str">
        <f>+VLOOKUP($L381,Data_Validation!$A:$D,4,0)</f>
        <v>Informatique</v>
      </c>
      <c r="W381" s="612" t="str">
        <f>+VLOOKUP($L381,Data_Validation!$A:$E,5,0)</f>
        <v>$</v>
      </c>
      <c r="X381" s="612">
        <f>+VLOOKUP($L381,Data_Validation!$A:$F,6,0)</f>
        <v>0</v>
      </c>
    </row>
    <row r="382" spans="1:24" ht="15.75" customHeight="1">
      <c r="A382" s="1188" t="s">
        <v>1144</v>
      </c>
      <c r="B382" s="1188" t="s">
        <v>2542</v>
      </c>
      <c r="C382" s="1190">
        <v>767.44</v>
      </c>
      <c r="D382" s="1190">
        <v>107.47</v>
      </c>
      <c r="E382" s="1190">
        <v>874.91</v>
      </c>
      <c r="F382" s="1188" t="s">
        <v>1099</v>
      </c>
      <c r="G382" s="1188" t="s">
        <v>1145</v>
      </c>
      <c r="H382" s="1188" t="s">
        <v>3845</v>
      </c>
      <c r="I382" s="922"/>
      <c r="J382" s="922"/>
      <c r="K382" s="922"/>
      <c r="L382" s="609" t="str">
        <f t="shared" si="47"/>
        <v>6552</v>
      </c>
      <c r="M382" s="610" t="str">
        <f t="shared" si="48"/>
        <v>PAPETERIE</v>
      </c>
      <c r="N382" s="611">
        <f>+IF(OR($Q382=Parametres!$G$2,$Q382=Parametres!$G$3),I382,C382)</f>
        <v>767.44</v>
      </c>
      <c r="O382" s="611">
        <f>+IF(OR($Q382=Parametres!$G$2,$Q382=Parametres!$G$3),J382,D382)</f>
        <v>107.47</v>
      </c>
      <c r="P382" s="611">
        <f>+IF(OR($Q382=Parametres!$G$2,$Q382=Parametres!$G$3),K382,E382)</f>
        <v>874.91</v>
      </c>
      <c r="Q382" s="610" t="str">
        <f t="shared" si="49"/>
        <v>7-Dépenses</v>
      </c>
      <c r="R382" s="609" t="str">
        <f t="shared" si="50"/>
        <v>6152</v>
      </c>
      <c r="S382" s="610" t="str">
        <f t="shared" si="51"/>
        <v>_</v>
      </c>
      <c r="T382" s="612" t="str">
        <f>+VLOOKUP($L382,Data_Validation!$A:$D,1,0)</f>
        <v>6552</v>
      </c>
      <c r="U382" s="612" t="str">
        <f>+VLOOKUP($L382,Data_Validation!$A:$D,3,0)</f>
        <v>Carrosserie</v>
      </c>
      <c r="V382" s="612" t="str">
        <f>+VLOOKUP($L382,Data_Validation!$A:$D,4,0)</f>
        <v>Papeterie</v>
      </c>
      <c r="W382" s="612" t="str">
        <f>+VLOOKUP($L382,Data_Validation!$A:$E,5,0)</f>
        <v>$</v>
      </c>
      <c r="X382" s="612">
        <f>+VLOOKUP($L382,Data_Validation!$A:$F,6,0)</f>
        <v>0</v>
      </c>
    </row>
    <row r="383" spans="1:24" ht="15.75" customHeight="1">
      <c r="A383" s="1188" t="s">
        <v>1146</v>
      </c>
      <c r="B383" s="1188" t="s">
        <v>2545</v>
      </c>
      <c r="C383" s="1190">
        <v>176.42</v>
      </c>
      <c r="D383" s="1190">
        <v>19.41</v>
      </c>
      <c r="E383" s="1190">
        <v>195.83</v>
      </c>
      <c r="F383" s="1188" t="s">
        <v>1099</v>
      </c>
      <c r="G383" s="1188" t="s">
        <v>1147</v>
      </c>
      <c r="H383" s="1188" t="s">
        <v>3845</v>
      </c>
      <c r="I383" s="922"/>
      <c r="J383" s="922"/>
      <c r="K383" s="922"/>
      <c r="L383" s="609" t="str">
        <f t="shared" si="47"/>
        <v>6553</v>
      </c>
      <c r="M383" s="610" t="str">
        <f t="shared" si="48"/>
        <v>TELEPHONE ET TELEX</v>
      </c>
      <c r="N383" s="611">
        <f>+IF(OR($Q383=Parametres!$G$2,$Q383=Parametres!$G$3),I383,C383)</f>
        <v>176.42</v>
      </c>
      <c r="O383" s="611">
        <f>+IF(OR($Q383=Parametres!$G$2,$Q383=Parametres!$G$3),J383,D383)</f>
        <v>19.41</v>
      </c>
      <c r="P383" s="611">
        <f>+IF(OR($Q383=Parametres!$G$2,$Q383=Parametres!$G$3),K383,E383)</f>
        <v>195.83</v>
      </c>
      <c r="Q383" s="610" t="str">
        <f t="shared" si="49"/>
        <v>7-Dépenses</v>
      </c>
      <c r="R383" s="609" t="str">
        <f t="shared" si="50"/>
        <v>6153</v>
      </c>
      <c r="S383" s="610" t="str">
        <f t="shared" si="51"/>
        <v>_</v>
      </c>
      <c r="T383" s="612" t="str">
        <f>+VLOOKUP($L383,Data_Validation!$A:$D,1,0)</f>
        <v>6553</v>
      </c>
      <c r="U383" s="612" t="str">
        <f>+VLOOKUP($L383,Data_Validation!$A:$D,3,0)</f>
        <v>Carrosserie</v>
      </c>
      <c r="V383" s="612" t="str">
        <f>+VLOOKUP($L383,Data_Validation!$A:$D,4,0)</f>
        <v>Téléphone</v>
      </c>
      <c r="W383" s="612" t="str">
        <f>+VLOOKUP($L383,Data_Validation!$A:$E,5,0)</f>
        <v>$</v>
      </c>
      <c r="X383" s="612">
        <f>+VLOOKUP($L383,Data_Validation!$A:$F,6,0)</f>
        <v>0</v>
      </c>
    </row>
    <row r="384" spans="1:24" ht="15.75" customHeight="1">
      <c r="A384" s="1188" t="s">
        <v>1148</v>
      </c>
      <c r="B384" s="1188" t="s">
        <v>2548</v>
      </c>
      <c r="C384" s="1190">
        <v>232.16</v>
      </c>
      <c r="D384" s="1190">
        <v>4.12</v>
      </c>
      <c r="E384" s="1190">
        <v>236.28</v>
      </c>
      <c r="F384" s="1188" t="s">
        <v>1099</v>
      </c>
      <c r="G384" s="1188" t="s">
        <v>1149</v>
      </c>
      <c r="H384" s="1188" t="s">
        <v>3845</v>
      </c>
      <c r="I384" s="922"/>
      <c r="J384" s="922"/>
      <c r="K384" s="922"/>
      <c r="L384" s="609" t="str">
        <f t="shared" si="47"/>
        <v>6555</v>
      </c>
      <c r="M384" s="610" t="str">
        <f t="shared" si="48"/>
        <v>DEPENSES DIVERS</v>
      </c>
      <c r="N384" s="611">
        <f>+IF(OR($Q384=Parametres!$G$2,$Q384=Parametres!$G$3),I384,C384)</f>
        <v>232.16</v>
      </c>
      <c r="O384" s="611">
        <f>+IF(OR($Q384=Parametres!$G$2,$Q384=Parametres!$G$3),J384,D384)</f>
        <v>4.12</v>
      </c>
      <c r="P384" s="611">
        <f>+IF(OR($Q384=Parametres!$G$2,$Q384=Parametres!$G$3),K384,E384)</f>
        <v>236.28</v>
      </c>
      <c r="Q384" s="610" t="str">
        <f t="shared" si="49"/>
        <v>7-Dépenses</v>
      </c>
      <c r="R384" s="609" t="str">
        <f t="shared" si="50"/>
        <v>6155</v>
      </c>
      <c r="S384" s="610" t="str">
        <f t="shared" si="51"/>
        <v>_</v>
      </c>
      <c r="T384" s="612" t="str">
        <f>+VLOOKUP($L384,Data_Validation!$A:$D,1,0)</f>
        <v>6555</v>
      </c>
      <c r="U384" s="612" t="str">
        <f>+VLOOKUP($L384,Data_Validation!$A:$D,3,0)</f>
        <v>Carrosserie</v>
      </c>
      <c r="V384" s="612" t="str">
        <f>+VLOOKUP($L384,Data_Validation!$A:$D,4,0)</f>
        <v>Divers</v>
      </c>
      <c r="W384" s="612" t="str">
        <f>+VLOOKUP($L384,Data_Validation!$A:$E,5,0)</f>
        <v>$</v>
      </c>
      <c r="X384" s="612">
        <f>+VLOOKUP($L384,Data_Validation!$A:$F,6,0)</f>
        <v>0</v>
      </c>
    </row>
    <row r="385" spans="1:24" ht="15.75" customHeight="1">
      <c r="A385" s="1188" t="s">
        <v>1210</v>
      </c>
      <c r="B385" s="1188" t="s">
        <v>2551</v>
      </c>
      <c r="C385" s="1190">
        <v>1125.1400000000001</v>
      </c>
      <c r="D385" s="1190">
        <v>69.23</v>
      </c>
      <c r="E385" s="1190">
        <v>1194.3699999999999</v>
      </c>
      <c r="F385" s="1188" t="s">
        <v>1099</v>
      </c>
      <c r="G385" s="1188" t="s">
        <v>1151</v>
      </c>
      <c r="H385" s="1188" t="s">
        <v>3845</v>
      </c>
      <c r="I385" s="922"/>
      <c r="J385" s="922"/>
      <c r="K385" s="922"/>
      <c r="L385" s="609" t="str">
        <f t="shared" si="47"/>
        <v>6556</v>
      </c>
      <c r="M385" s="610" t="str">
        <f t="shared" si="48"/>
        <v>FRAIS REPRESENTATION</v>
      </c>
      <c r="N385" s="611">
        <f>+IF(OR($Q385=Parametres!$G$2,$Q385=Parametres!$G$3),I385,C385)</f>
        <v>1125.1400000000001</v>
      </c>
      <c r="O385" s="611">
        <f>+IF(OR($Q385=Parametres!$G$2,$Q385=Parametres!$G$3),J385,D385)</f>
        <v>69.23</v>
      </c>
      <c r="P385" s="611">
        <f>+IF(OR($Q385=Parametres!$G$2,$Q385=Parametres!$G$3),K385,E385)</f>
        <v>1194.3699999999999</v>
      </c>
      <c r="Q385" s="610" t="str">
        <f t="shared" si="49"/>
        <v>7-Dépenses</v>
      </c>
      <c r="R385" s="609" t="str">
        <f t="shared" si="50"/>
        <v>6156</v>
      </c>
      <c r="S385" s="610" t="str">
        <f t="shared" si="51"/>
        <v>_</v>
      </c>
      <c r="T385" s="612" t="str">
        <f>+VLOOKUP($L385,Data_Validation!$A:$D,1,0)</f>
        <v>6556</v>
      </c>
      <c r="U385" s="612" t="str">
        <f>+VLOOKUP($L385,Data_Validation!$A:$D,3,0)</f>
        <v>Carrosserie</v>
      </c>
      <c r="V385" s="612" t="str">
        <f>+VLOOKUP($L385,Data_Validation!$A:$D,4,0)</f>
        <v>Frais de déplacement</v>
      </c>
      <c r="W385" s="612" t="str">
        <f>+VLOOKUP($L385,Data_Validation!$A:$E,5,0)</f>
        <v>$</v>
      </c>
      <c r="X385" s="612">
        <f>+VLOOKUP($L385,Data_Validation!$A:$F,6,0)</f>
        <v>0</v>
      </c>
    </row>
    <row r="386" spans="1:24" ht="15.75" customHeight="1">
      <c r="A386" s="1188" t="s">
        <v>1211</v>
      </c>
      <c r="B386" s="1188" t="s">
        <v>3342</v>
      </c>
      <c r="C386" s="1190">
        <v>1430.28</v>
      </c>
      <c r="D386" s="1190">
        <v>233.56</v>
      </c>
      <c r="E386" s="1190">
        <v>1663.84</v>
      </c>
      <c r="F386" s="1188" t="s">
        <v>1099</v>
      </c>
      <c r="G386" s="1188" t="s">
        <v>1212</v>
      </c>
      <c r="H386" s="1188" t="s">
        <v>3845</v>
      </c>
      <c r="I386" s="922"/>
      <c r="J386" s="922"/>
      <c r="K386" s="922"/>
      <c r="L386" s="609" t="str">
        <f t="shared" si="47"/>
        <v>6557</v>
      </c>
      <c r="M386" s="610" t="str">
        <f t="shared" si="48"/>
        <v>FRAIS BANCAIRES - CARROSSERIE</v>
      </c>
      <c r="N386" s="611">
        <f>+IF(OR($Q386=Parametres!$G$2,$Q386=Parametres!$G$3),I386,C386)</f>
        <v>1430.28</v>
      </c>
      <c r="O386" s="611">
        <f>+IF(OR($Q386=Parametres!$G$2,$Q386=Parametres!$G$3),J386,D386)</f>
        <v>233.56</v>
      </c>
      <c r="P386" s="611">
        <f>+IF(OR($Q386=Parametres!$G$2,$Q386=Parametres!$G$3),K386,E386)</f>
        <v>1663.84</v>
      </c>
      <c r="Q386" s="610" t="str">
        <f t="shared" si="49"/>
        <v>7-Dépenses</v>
      </c>
      <c r="R386" s="609" t="str">
        <f t="shared" si="50"/>
        <v>655</v>
      </c>
      <c r="S386" s="610" t="str">
        <f t="shared" si="51"/>
        <v>_</v>
      </c>
      <c r="T386" s="612" t="str">
        <f>+VLOOKUP($L386,Data_Validation!$A:$D,1,0)</f>
        <v>6557</v>
      </c>
      <c r="U386" s="612" t="str">
        <f>+VLOOKUP($L386,Data_Validation!$A:$D,3,0)</f>
        <v>Carrosserie</v>
      </c>
      <c r="V386" s="612" t="str">
        <f>+VLOOKUP($L386,Data_Validation!$A:$D,4,0)</f>
        <v>Frais bancaires</v>
      </c>
      <c r="W386" s="612" t="str">
        <f>+VLOOKUP($L386,Data_Validation!$A:$E,5,0)</f>
        <v>$</v>
      </c>
      <c r="X386" s="612">
        <f>+VLOOKUP($L386,Data_Validation!$A:$F,6,0)</f>
        <v>0</v>
      </c>
    </row>
    <row r="387" spans="1:24" ht="15.75" customHeight="1">
      <c r="A387" s="1188" t="s">
        <v>1154</v>
      </c>
      <c r="B387" s="1188" t="s">
        <v>2554</v>
      </c>
      <c r="C387" s="1190">
        <v>5272.01</v>
      </c>
      <c r="D387" s="1190">
        <v>781.21</v>
      </c>
      <c r="E387" s="1190">
        <v>6053.22</v>
      </c>
      <c r="F387" s="1188" t="s">
        <v>1099</v>
      </c>
      <c r="G387" s="1188" t="s">
        <v>1155</v>
      </c>
      <c r="H387" s="1188" t="s">
        <v>3845</v>
      </c>
      <c r="I387" s="922"/>
      <c r="J387" s="922"/>
      <c r="K387" s="922"/>
      <c r="L387" s="609" t="str">
        <f t="shared" si="47"/>
        <v>6559</v>
      </c>
      <c r="M387" s="610" t="str">
        <f t="shared" si="48"/>
        <v>SERVICE EXTERIEUR</v>
      </c>
      <c r="N387" s="611">
        <f>+IF(OR($Q387=Parametres!$G$2,$Q387=Parametres!$G$3),I387,C387)</f>
        <v>5272.01</v>
      </c>
      <c r="O387" s="611">
        <f>+IF(OR($Q387=Parametres!$G$2,$Q387=Parametres!$G$3),J387,D387)</f>
        <v>781.21</v>
      </c>
      <c r="P387" s="611">
        <f>+IF(OR($Q387=Parametres!$G$2,$Q387=Parametres!$G$3),K387,E387)</f>
        <v>6053.22</v>
      </c>
      <c r="Q387" s="610" t="str">
        <f t="shared" si="49"/>
        <v>7-Dépenses</v>
      </c>
      <c r="R387" s="609" t="str">
        <f t="shared" si="50"/>
        <v>6159</v>
      </c>
      <c r="S387" s="610" t="str">
        <f t="shared" si="51"/>
        <v>_</v>
      </c>
      <c r="T387" s="612" t="str">
        <f>+VLOOKUP($L387,Data_Validation!$A:$D,1,0)</f>
        <v>6559</v>
      </c>
      <c r="U387" s="612" t="str">
        <f>+VLOOKUP($L387,Data_Validation!$A:$D,3,0)</f>
        <v>Carrosserie</v>
      </c>
      <c r="V387" s="612" t="str">
        <f>+VLOOKUP($L387,Data_Validation!$A:$D,4,0)</f>
        <v>Services extérieurs</v>
      </c>
      <c r="W387" s="612" t="str">
        <f>+VLOOKUP($L387,Data_Validation!$A:$E,5,0)</f>
        <v>$</v>
      </c>
      <c r="X387" s="612">
        <f>+VLOOKUP($L387,Data_Validation!$A:$F,6,0)</f>
        <v>0</v>
      </c>
    </row>
    <row r="388" spans="1:24" ht="15.75" customHeight="1">
      <c r="A388" s="1188" t="s">
        <v>1156</v>
      </c>
      <c r="B388" s="1188" t="s">
        <v>2556</v>
      </c>
      <c r="C388" s="1190">
        <v>3997.14</v>
      </c>
      <c r="D388" s="1190">
        <v>666.19</v>
      </c>
      <c r="E388" s="1190">
        <v>4663.33</v>
      </c>
      <c r="F388" s="1188" t="s">
        <v>1099</v>
      </c>
      <c r="G388" s="1188" t="s">
        <v>1157</v>
      </c>
      <c r="H388" s="1188" t="s">
        <v>3845</v>
      </c>
      <c r="I388" s="922"/>
      <c r="J388" s="922"/>
      <c r="K388" s="922"/>
      <c r="L388" s="609" t="str">
        <f t="shared" si="47"/>
        <v>6561</v>
      </c>
      <c r="M388" s="610" t="str">
        <f t="shared" si="48"/>
        <v>DEPRECIATION EQUIP. &amp; FIXTURES</v>
      </c>
      <c r="N388" s="611">
        <f>+IF(OR($Q388=Parametres!$G$2,$Q388=Parametres!$G$3),I388,C388)</f>
        <v>3997.14</v>
      </c>
      <c r="O388" s="611">
        <f>+IF(OR($Q388=Parametres!$G$2,$Q388=Parametres!$G$3),J388,D388)</f>
        <v>666.19</v>
      </c>
      <c r="P388" s="611">
        <f>+IF(OR($Q388=Parametres!$G$2,$Q388=Parametres!$G$3),K388,E388)</f>
        <v>4663.33</v>
      </c>
      <c r="Q388" s="610" t="str">
        <f t="shared" si="49"/>
        <v>7-Dépenses</v>
      </c>
      <c r="R388" s="609" t="str">
        <f t="shared" si="50"/>
        <v>6161</v>
      </c>
      <c r="S388" s="610" t="str">
        <f t="shared" si="51"/>
        <v>_</v>
      </c>
      <c r="T388" s="612" t="str">
        <f>+VLOOKUP($L388,Data_Validation!$A:$D,1,0)</f>
        <v>6561</v>
      </c>
      <c r="U388" s="612" t="str">
        <f>+VLOOKUP($L388,Data_Validation!$A:$D,3,0)</f>
        <v>Carrosserie</v>
      </c>
      <c r="V388" s="612" t="str">
        <f>+VLOOKUP($L388,Data_Validation!$A:$D,4,0)</f>
        <v>Amortissement</v>
      </c>
      <c r="W388" s="612" t="str">
        <f>+VLOOKUP($L388,Data_Validation!$A:$E,5,0)</f>
        <v>$</v>
      </c>
      <c r="X388" s="612">
        <f>+VLOOKUP($L388,Data_Validation!$A:$F,6,0)</f>
        <v>0</v>
      </c>
    </row>
    <row r="389" spans="1:24" ht="15.75" customHeight="1">
      <c r="A389" s="1188" t="s">
        <v>1213</v>
      </c>
      <c r="B389" s="1188" t="s">
        <v>2565</v>
      </c>
      <c r="C389" s="1190">
        <v>3230.36</v>
      </c>
      <c r="D389" s="1190">
        <v>290.13</v>
      </c>
      <c r="E389" s="1190">
        <v>3520.49</v>
      </c>
      <c r="F389" s="1188" t="s">
        <v>1099</v>
      </c>
      <c r="G389" s="1188" t="s">
        <v>1159</v>
      </c>
      <c r="H389" s="1188" t="s">
        <v>3845</v>
      </c>
      <c r="I389" s="922"/>
      <c r="J389" s="922"/>
      <c r="K389" s="922"/>
      <c r="L389" s="609" t="str">
        <f t="shared" si="47"/>
        <v>6581</v>
      </c>
      <c r="M389" s="610" t="str">
        <f t="shared" si="48"/>
        <v>CHAUFFAGE,ELECTRICITE,EAU-CARROS.</v>
      </c>
      <c r="N389" s="611">
        <f>+IF(OR($Q389=Parametres!$G$2,$Q389=Parametres!$G$3),I389,C389)</f>
        <v>3230.36</v>
      </c>
      <c r="O389" s="611">
        <f>+IF(OR($Q389=Parametres!$G$2,$Q389=Parametres!$G$3),J389,D389)</f>
        <v>290.13</v>
      </c>
      <c r="P389" s="611">
        <f>+IF(OR($Q389=Parametres!$G$2,$Q389=Parametres!$G$3),K389,E389)</f>
        <v>3520.49</v>
      </c>
      <c r="Q389" s="610" t="str">
        <f t="shared" si="49"/>
        <v>7-Dépenses</v>
      </c>
      <c r="R389" s="609" t="str">
        <f t="shared" si="50"/>
        <v>6181</v>
      </c>
      <c r="S389" s="610" t="str">
        <f t="shared" si="51"/>
        <v>_</v>
      </c>
      <c r="T389" s="612" t="str">
        <f>+VLOOKUP($L389,Data_Validation!$A:$D,1,0)</f>
        <v>6581</v>
      </c>
      <c r="U389" s="612" t="str">
        <f>+VLOOKUP($L389,Data_Validation!$A:$D,3,0)</f>
        <v>Carrosserie</v>
      </c>
      <c r="V389" s="612" t="str">
        <f>+VLOOKUP($L389,Data_Validation!$A:$D,4,0)</f>
        <v>Chauffage, éclairage</v>
      </c>
      <c r="W389" s="612" t="str">
        <f>+VLOOKUP($L389,Data_Validation!$A:$E,5,0)</f>
        <v>$</v>
      </c>
      <c r="X389" s="612">
        <f>+VLOOKUP($L389,Data_Validation!$A:$F,6,0)</f>
        <v>0</v>
      </c>
    </row>
    <row r="390" spans="1:24" ht="15.75" customHeight="1">
      <c r="A390" s="1188" t="s">
        <v>1214</v>
      </c>
      <c r="B390" s="1188" t="s">
        <v>2568</v>
      </c>
      <c r="C390" s="1190">
        <v>31045</v>
      </c>
      <c r="D390" s="1190">
        <v>5565</v>
      </c>
      <c r="E390" s="1190">
        <v>36610</v>
      </c>
      <c r="F390" s="1188" t="s">
        <v>1099</v>
      </c>
      <c r="G390" s="1188" t="s">
        <v>1161</v>
      </c>
      <c r="H390" s="1188" t="s">
        <v>3845</v>
      </c>
      <c r="I390" s="922"/>
      <c r="J390" s="922"/>
      <c r="K390" s="922"/>
      <c r="L390" s="609" t="str">
        <f t="shared" si="47"/>
        <v>6582</v>
      </c>
      <c r="M390" s="610" t="str">
        <f t="shared" si="48"/>
        <v>LOYER - CARROSSERIE</v>
      </c>
      <c r="N390" s="611">
        <f>+IF(OR($Q390=Parametres!$G$2,$Q390=Parametres!$G$3),I390,C390)</f>
        <v>31045</v>
      </c>
      <c r="O390" s="611">
        <f>+IF(OR($Q390=Parametres!$G$2,$Q390=Parametres!$G$3),J390,D390)</f>
        <v>5565</v>
      </c>
      <c r="P390" s="611">
        <f>+IF(OR($Q390=Parametres!$G$2,$Q390=Parametres!$G$3),K390,E390)</f>
        <v>36610</v>
      </c>
      <c r="Q390" s="610" t="str">
        <f t="shared" si="49"/>
        <v>7-Dépenses</v>
      </c>
      <c r="R390" s="609" t="str">
        <f t="shared" si="50"/>
        <v>6182</v>
      </c>
      <c r="S390" s="610" t="str">
        <f t="shared" si="51"/>
        <v>_</v>
      </c>
      <c r="T390" s="612" t="str">
        <f>+VLOOKUP($L390,Data_Validation!$A:$D,1,0)</f>
        <v>6582</v>
      </c>
      <c r="U390" s="612" t="str">
        <f>+VLOOKUP($L390,Data_Validation!$A:$D,3,0)</f>
        <v>Carrosserie</v>
      </c>
      <c r="V390" s="612" t="str">
        <f>+VLOOKUP($L390,Data_Validation!$A:$D,4,0)</f>
        <v>Loyer</v>
      </c>
      <c r="W390" s="612" t="str">
        <f>+VLOOKUP($L390,Data_Validation!$A:$E,5,0)</f>
        <v>$</v>
      </c>
      <c r="X390" s="612">
        <f>+VLOOKUP($L390,Data_Validation!$A:$F,6,0)</f>
        <v>0</v>
      </c>
    </row>
    <row r="391" spans="1:24" ht="15.75" customHeight="1">
      <c r="A391" s="1188" t="s">
        <v>1215</v>
      </c>
      <c r="B391" s="1188" t="s">
        <v>2570</v>
      </c>
      <c r="C391" s="1190">
        <v>1673.3</v>
      </c>
      <c r="D391" s="1190">
        <v>280</v>
      </c>
      <c r="E391" s="1190">
        <v>1953.3</v>
      </c>
      <c r="F391" s="1188" t="s">
        <v>1099</v>
      </c>
      <c r="G391" s="1188" t="s">
        <v>1163</v>
      </c>
      <c r="H391" s="1188" t="s">
        <v>3845</v>
      </c>
      <c r="I391" s="922"/>
      <c r="J391" s="922"/>
      <c r="K391" s="922"/>
      <c r="L391" s="609" t="str">
        <f t="shared" si="47"/>
        <v>6586</v>
      </c>
      <c r="M391" s="610" t="str">
        <f t="shared" si="48"/>
        <v>ASSURANCE BATISSE &amp; AMEL.-CARROS.</v>
      </c>
      <c r="N391" s="611">
        <f>+IF(OR($Q391=Parametres!$G$2,$Q391=Parametres!$G$3),I391,C391)</f>
        <v>1673.3</v>
      </c>
      <c r="O391" s="611">
        <f>+IF(OR($Q391=Parametres!$G$2,$Q391=Parametres!$G$3),J391,D391)</f>
        <v>280</v>
      </c>
      <c r="P391" s="611">
        <f>+IF(OR($Q391=Parametres!$G$2,$Q391=Parametres!$G$3),K391,E391)</f>
        <v>1953.3</v>
      </c>
      <c r="Q391" s="610" t="str">
        <f t="shared" si="49"/>
        <v>7-Dépenses</v>
      </c>
      <c r="R391" s="609" t="str">
        <f t="shared" si="50"/>
        <v>6186</v>
      </c>
      <c r="S391" s="610" t="str">
        <f t="shared" si="51"/>
        <v>_</v>
      </c>
      <c r="T391" s="612" t="str">
        <f>+VLOOKUP($L391,Data_Validation!$A:$D,1,0)</f>
        <v>6586</v>
      </c>
      <c r="U391" s="612" t="str">
        <f>+VLOOKUP($L391,Data_Validation!$A:$D,3,0)</f>
        <v>Carrosserie</v>
      </c>
      <c r="V391" s="612" t="str">
        <f>+VLOOKUP($L391,Data_Validation!$A:$D,4,0)</f>
        <v>Assurances</v>
      </c>
      <c r="W391" s="612" t="str">
        <f>+VLOOKUP($L391,Data_Validation!$A:$E,5,0)</f>
        <v>$</v>
      </c>
      <c r="X391" s="612">
        <f>+VLOOKUP($L391,Data_Validation!$A:$F,6,0)</f>
        <v>0</v>
      </c>
    </row>
    <row r="392" spans="1:24" ht="15.75" customHeight="1">
      <c r="A392" s="1188" t="s">
        <v>1216</v>
      </c>
      <c r="B392" s="1188" t="s">
        <v>2572</v>
      </c>
      <c r="C392" s="1190">
        <v>6930</v>
      </c>
      <c r="D392" s="1190">
        <v>1155</v>
      </c>
      <c r="E392" s="1190">
        <v>8085</v>
      </c>
      <c r="F392" s="1188" t="s">
        <v>1099</v>
      </c>
      <c r="G392" s="1188" t="s">
        <v>1165</v>
      </c>
      <c r="H392" s="1188" t="s">
        <v>3845</v>
      </c>
      <c r="I392" s="922"/>
      <c r="J392" s="922"/>
      <c r="K392" s="922"/>
      <c r="L392" s="609" t="str">
        <f t="shared" si="47"/>
        <v>6587</v>
      </c>
      <c r="M392" s="610" t="str">
        <f t="shared" si="48"/>
        <v>TAXES FONCIERES - CAROSSERIE</v>
      </c>
      <c r="N392" s="611">
        <f>+IF(OR($Q392=Parametres!$G$2,$Q392=Parametres!$G$3),I392,C392)</f>
        <v>6930</v>
      </c>
      <c r="O392" s="611">
        <f>+IF(OR($Q392=Parametres!$G$2,$Q392=Parametres!$G$3),J392,D392)</f>
        <v>1155</v>
      </c>
      <c r="P392" s="611">
        <f>+IF(OR($Q392=Parametres!$G$2,$Q392=Parametres!$G$3),K392,E392)</f>
        <v>8085</v>
      </c>
      <c r="Q392" s="610" t="str">
        <f t="shared" si="49"/>
        <v>7-Dépenses</v>
      </c>
      <c r="R392" s="609" t="str">
        <f t="shared" si="50"/>
        <v>6187</v>
      </c>
      <c r="S392" s="610" t="str">
        <f t="shared" si="51"/>
        <v>_</v>
      </c>
      <c r="T392" s="612" t="str">
        <f>+VLOOKUP($L392,Data_Validation!$A:$D,1,0)</f>
        <v>6587</v>
      </c>
      <c r="U392" s="612" t="str">
        <f>+VLOOKUP($L392,Data_Validation!$A:$D,3,0)</f>
        <v>Carrosserie</v>
      </c>
      <c r="V392" s="612" t="str">
        <f>+VLOOKUP($L392,Data_Validation!$A:$D,4,0)</f>
        <v>Taxes foncières</v>
      </c>
      <c r="W392" s="612" t="str">
        <f>+VLOOKUP($L392,Data_Validation!$A:$E,5,0)</f>
        <v>$</v>
      </c>
      <c r="X392" s="612">
        <f>+VLOOKUP($L392,Data_Validation!$A:$F,6,0)</f>
        <v>0</v>
      </c>
    </row>
    <row r="393" spans="1:24" ht="15.75" customHeight="1">
      <c r="A393" s="1188" t="s">
        <v>1217</v>
      </c>
      <c r="B393" s="1188" t="s">
        <v>2575</v>
      </c>
      <c r="C393" s="1190">
        <v>630</v>
      </c>
      <c r="D393" s="1190">
        <v>105</v>
      </c>
      <c r="E393" s="1190">
        <v>735</v>
      </c>
      <c r="F393" s="1188" t="s">
        <v>1099</v>
      </c>
      <c r="G393" s="1188" t="s">
        <v>1167</v>
      </c>
      <c r="H393" s="1188" t="s">
        <v>3845</v>
      </c>
      <c r="I393" s="922"/>
      <c r="J393" s="922"/>
      <c r="K393" s="922"/>
      <c r="L393" s="609" t="str">
        <f t="shared" si="47"/>
        <v>6593</v>
      </c>
      <c r="M393" s="610" t="str">
        <f t="shared" si="48"/>
        <v>AUTRES TAXES -CARROSSERIE</v>
      </c>
      <c r="N393" s="611">
        <f>+IF(OR($Q393=Parametres!$G$2,$Q393=Parametres!$G$3),I393,C393)</f>
        <v>630</v>
      </c>
      <c r="O393" s="611">
        <f>+IF(OR($Q393=Parametres!$G$2,$Q393=Parametres!$G$3),J393,D393)</f>
        <v>105</v>
      </c>
      <c r="P393" s="611">
        <f>+IF(OR($Q393=Parametres!$G$2,$Q393=Parametres!$G$3),K393,E393)</f>
        <v>735</v>
      </c>
      <c r="Q393" s="610" t="str">
        <f t="shared" si="49"/>
        <v>7-Dépenses</v>
      </c>
      <c r="R393" s="609" t="str">
        <f t="shared" si="50"/>
        <v>6193</v>
      </c>
      <c r="S393" s="610" t="str">
        <f t="shared" si="51"/>
        <v>_</v>
      </c>
      <c r="T393" s="612" t="str">
        <f>+VLOOKUP($L393,Data_Validation!$A:$D,1,0)</f>
        <v>6593</v>
      </c>
      <c r="U393" s="612" t="str">
        <f>+VLOOKUP($L393,Data_Validation!$A:$D,3,0)</f>
        <v>Carrosserie</v>
      </c>
      <c r="V393" s="612" t="str">
        <f>+VLOOKUP($L393,Data_Validation!$A:$D,4,0)</f>
        <v>Taxes d`affaires</v>
      </c>
      <c r="W393" s="612" t="str">
        <f>+VLOOKUP($L393,Data_Validation!$A:$E,5,0)</f>
        <v>$</v>
      </c>
      <c r="X393" s="612">
        <f>+VLOOKUP($L393,Data_Validation!$A:$F,6,0)</f>
        <v>0</v>
      </c>
    </row>
    <row r="394" spans="1:24" ht="15.75" customHeight="1">
      <c r="A394" s="1188" t="s">
        <v>1218</v>
      </c>
      <c r="B394" s="1188" t="s">
        <v>2577</v>
      </c>
      <c r="C394" s="1190">
        <v>4626.3</v>
      </c>
      <c r="D394" s="1190">
        <v>158.69</v>
      </c>
      <c r="E394" s="1190">
        <v>4784.99</v>
      </c>
      <c r="F394" s="1188" t="s">
        <v>1099</v>
      </c>
      <c r="G394" s="1188" t="s">
        <v>1169</v>
      </c>
      <c r="H394" s="1188" t="s">
        <v>3845</v>
      </c>
      <c r="I394" s="922"/>
      <c r="J394" s="922"/>
      <c r="K394" s="922"/>
      <c r="L394" s="609" t="str">
        <f t="shared" si="47"/>
        <v>6594</v>
      </c>
      <c r="M394" s="610" t="str">
        <f t="shared" si="48"/>
        <v>FRAIS PROFESSIONNEL-CARROS.</v>
      </c>
      <c r="N394" s="611">
        <f>+IF(OR($Q394=Parametres!$G$2,$Q394=Parametres!$G$3),I394,C394)</f>
        <v>4626.3</v>
      </c>
      <c r="O394" s="611">
        <f>+IF(OR($Q394=Parametres!$G$2,$Q394=Parametres!$G$3),J394,D394)</f>
        <v>158.69</v>
      </c>
      <c r="P394" s="611">
        <f>+IF(OR($Q394=Parametres!$G$2,$Q394=Parametres!$G$3),K394,E394)</f>
        <v>4784.99</v>
      </c>
      <c r="Q394" s="610" t="str">
        <f t="shared" si="49"/>
        <v>7-Dépenses</v>
      </c>
      <c r="R394" s="609" t="str">
        <f t="shared" si="50"/>
        <v>6194</v>
      </c>
      <c r="S394" s="610" t="str">
        <f t="shared" si="51"/>
        <v>_</v>
      </c>
      <c r="T394" s="612" t="str">
        <f>+VLOOKUP($L394,Data_Validation!$A:$D,1,0)</f>
        <v>6594</v>
      </c>
      <c r="U394" s="612" t="str">
        <f>+VLOOKUP($L394,Data_Validation!$A:$D,3,0)</f>
        <v>Carrosserie</v>
      </c>
      <c r="V394" s="612" t="str">
        <f>+VLOOKUP($L394,Data_Validation!$A:$D,4,0)</f>
        <v>Honoraires</v>
      </c>
      <c r="W394" s="612" t="str">
        <f>+VLOOKUP($L394,Data_Validation!$A:$E,5,0)</f>
        <v>$</v>
      </c>
      <c r="X394" s="612">
        <f>+VLOOKUP($L394,Data_Validation!$A:$F,6,0)</f>
        <v>0</v>
      </c>
    </row>
    <row r="395" spans="1:24" ht="15.75" customHeight="1">
      <c r="A395" s="1188" t="s">
        <v>1103</v>
      </c>
      <c r="B395" s="1188" t="s">
        <v>2592</v>
      </c>
      <c r="C395" s="1190">
        <v>2471.8000000000002</v>
      </c>
      <c r="D395" s="1190">
        <v>374.68</v>
      </c>
      <c r="E395" s="1190">
        <v>2846.48</v>
      </c>
      <c r="F395" s="1188" t="s">
        <v>1099</v>
      </c>
      <c r="G395" s="1188" t="s">
        <v>1187</v>
      </c>
      <c r="H395" s="1188" t="s">
        <v>3845</v>
      </c>
      <c r="I395" s="922"/>
      <c r="J395" s="922"/>
      <c r="K395" s="922"/>
      <c r="L395" s="609" t="str">
        <f t="shared" si="47"/>
        <v>6703</v>
      </c>
      <c r="M395" s="610" t="str">
        <f t="shared" si="48"/>
        <v>RELAT. A LA CLIENTELE &amp; AJUST.</v>
      </c>
      <c r="N395" s="611">
        <f>+IF(OR($Q395=Parametres!$G$2,$Q395=Parametres!$G$3),I395,C395)</f>
        <v>2471.8000000000002</v>
      </c>
      <c r="O395" s="611">
        <f>+IF(OR($Q395=Parametres!$G$2,$Q395=Parametres!$G$3),J395,D395)</f>
        <v>374.68</v>
      </c>
      <c r="P395" s="611">
        <f>+IF(OR($Q395=Parametres!$G$2,$Q395=Parametres!$G$3),K395,E395)</f>
        <v>2846.48</v>
      </c>
      <c r="Q395" s="610" t="str">
        <f t="shared" si="49"/>
        <v>7-Dépenses</v>
      </c>
      <c r="R395" s="609" t="str">
        <f t="shared" si="50"/>
        <v>6112</v>
      </c>
      <c r="S395" s="610" t="str">
        <f t="shared" si="51"/>
        <v>_</v>
      </c>
      <c r="T395" s="612" t="str">
        <f>+VLOOKUP($L395,Data_Validation!$A:$D,1,0)</f>
        <v>6703</v>
      </c>
      <c r="U395" s="612" t="str">
        <f>+VLOOKUP($L395,Data_Validation!$A:$D,3,0)</f>
        <v>Pièces</v>
      </c>
      <c r="V395" s="612" t="str">
        <f>+VLOOKUP($L395,Data_Validation!$A:$D,4,0)</f>
        <v>Service gratuit 2</v>
      </c>
      <c r="W395" s="612" t="str">
        <f>+VLOOKUP($L395,Data_Validation!$A:$E,5,0)</f>
        <v>$</v>
      </c>
      <c r="X395" s="612">
        <f>+VLOOKUP($L395,Data_Validation!$A:$F,6,0)</f>
        <v>0</v>
      </c>
    </row>
    <row r="396" spans="1:24" ht="15.75" customHeight="1">
      <c r="A396" s="1188" t="s">
        <v>1111</v>
      </c>
      <c r="B396" s="1188" t="s">
        <v>2598</v>
      </c>
      <c r="C396" s="1190">
        <v>23164.35</v>
      </c>
      <c r="D396" s="1190">
        <v>6768.8</v>
      </c>
      <c r="E396" s="1190">
        <v>29933.15</v>
      </c>
      <c r="F396" s="1188" t="s">
        <v>1099</v>
      </c>
      <c r="G396" s="1188" t="s">
        <v>1112</v>
      </c>
      <c r="H396" s="1188" t="s">
        <v>3845</v>
      </c>
      <c r="I396" s="922"/>
      <c r="J396" s="922"/>
      <c r="K396" s="922"/>
      <c r="L396" s="609" t="str">
        <f t="shared" si="47"/>
        <v>6714</v>
      </c>
      <c r="M396" s="610" t="str">
        <f t="shared" si="48"/>
        <v>PUBLICITE</v>
      </c>
      <c r="N396" s="611">
        <f>+IF(OR($Q396=Parametres!$G$2,$Q396=Parametres!$G$3),I396,C396)</f>
        <v>23164.35</v>
      </c>
      <c r="O396" s="611">
        <f>+IF(OR($Q396=Parametres!$G$2,$Q396=Parametres!$G$3),J396,D396)</f>
        <v>6768.8</v>
      </c>
      <c r="P396" s="611">
        <f>+IF(OR($Q396=Parametres!$G$2,$Q396=Parametres!$G$3),K396,E396)</f>
        <v>29933.15</v>
      </c>
      <c r="Q396" s="610" t="str">
        <f t="shared" si="49"/>
        <v>7-Dépenses</v>
      </c>
      <c r="R396" s="609" t="str">
        <f t="shared" si="50"/>
        <v>6114</v>
      </c>
      <c r="S396" s="610" t="str">
        <f t="shared" si="51"/>
        <v>_</v>
      </c>
      <c r="T396" s="612" t="str">
        <f>+VLOOKUP($L396,Data_Validation!$A:$D,1,0)</f>
        <v>6714</v>
      </c>
      <c r="U396" s="612" t="str">
        <f>+VLOOKUP($L396,Data_Validation!$A:$D,3,0)</f>
        <v>Pièces</v>
      </c>
      <c r="V396" s="612" t="str">
        <f>+VLOOKUP($L396,Data_Validation!$A:$D,4,0)</f>
        <v>Publicité 2</v>
      </c>
      <c r="W396" s="612" t="str">
        <f>+VLOOKUP($L396,Data_Validation!$A:$E,5,0)</f>
        <v>$</v>
      </c>
      <c r="X396" s="612">
        <f>+VLOOKUP($L396,Data_Validation!$A:$F,6,0)</f>
        <v>0</v>
      </c>
    </row>
    <row r="397" spans="1:24" ht="15.75" customHeight="1">
      <c r="A397" s="1188" t="s">
        <v>3862</v>
      </c>
      <c r="B397" s="1188" t="s">
        <v>2601</v>
      </c>
      <c r="C397" s="1190">
        <v>15221.02</v>
      </c>
      <c r="D397" s="1190">
        <v>3165.15</v>
      </c>
      <c r="E397" s="1190">
        <v>18386.169999999998</v>
      </c>
      <c r="F397" s="1188" t="s">
        <v>1099</v>
      </c>
      <c r="G397" s="1188" t="s">
        <v>1115</v>
      </c>
      <c r="H397" s="1188" t="s">
        <v>3845</v>
      </c>
      <c r="I397" s="922"/>
      <c r="J397" s="922"/>
      <c r="K397" s="922"/>
      <c r="L397" s="609" t="str">
        <f t="shared" si="47"/>
        <v>6721</v>
      </c>
      <c r="M397" s="610" t="str">
        <f t="shared" si="48"/>
        <v>SALAIRES - DIRECTION GENERALE</v>
      </c>
      <c r="N397" s="611">
        <f>+IF(OR($Q397=Parametres!$G$2,$Q397=Parametres!$G$3),I397,C397)</f>
        <v>15221.02</v>
      </c>
      <c r="O397" s="611">
        <f>+IF(OR($Q397=Parametres!$G$2,$Q397=Parametres!$G$3),J397,D397)</f>
        <v>3165.15</v>
      </c>
      <c r="P397" s="611">
        <f>+IF(OR($Q397=Parametres!$G$2,$Q397=Parametres!$G$3),K397,E397)</f>
        <v>18386.169999999998</v>
      </c>
      <c r="Q397" s="610" t="str">
        <f t="shared" si="49"/>
        <v>7-Dépenses</v>
      </c>
      <c r="R397" s="609" t="str">
        <f t="shared" si="50"/>
        <v>6121</v>
      </c>
      <c r="S397" s="610" t="str">
        <f t="shared" si="51"/>
        <v>_</v>
      </c>
      <c r="T397" s="612" t="str">
        <f>+VLOOKUP($L397,Data_Validation!$A:$D,1,0)</f>
        <v>6721</v>
      </c>
      <c r="U397" s="612" t="str">
        <f>+VLOOKUP($L397,Data_Validation!$A:$D,3,0)</f>
        <v>Pièces</v>
      </c>
      <c r="V397" s="612" t="str">
        <f>+VLOOKUP($L397,Data_Validation!$A:$D,4,0)</f>
        <v>Salaires propriétaire</v>
      </c>
      <c r="W397" s="612" t="str">
        <f>+VLOOKUP($L397,Data_Validation!$A:$E,5,0)</f>
        <v>$</v>
      </c>
      <c r="X397" s="612">
        <f>+VLOOKUP($L397,Data_Validation!$A:$F,6,0)</f>
        <v>0</v>
      </c>
    </row>
    <row r="398" spans="1:24" ht="15.75" customHeight="1">
      <c r="A398" s="1188" t="s">
        <v>1116</v>
      </c>
      <c r="B398" s="1188" t="s">
        <v>2604</v>
      </c>
      <c r="C398" s="1190">
        <v>39656.160000000003</v>
      </c>
      <c r="D398" s="1190">
        <v>4178.83</v>
      </c>
      <c r="E398" s="1190">
        <v>43834.99</v>
      </c>
      <c r="F398" s="1188" t="s">
        <v>1099</v>
      </c>
      <c r="G398" s="1188" t="s">
        <v>1117</v>
      </c>
      <c r="H398" s="1188" t="s">
        <v>3845</v>
      </c>
      <c r="I398" s="922"/>
      <c r="J398" s="922"/>
      <c r="K398" s="922"/>
      <c r="L398" s="609" t="str">
        <f t="shared" si="47"/>
        <v>6722</v>
      </c>
      <c r="M398" s="610" t="str">
        <f t="shared" si="48"/>
        <v>SAL SUPERVISION / GERANT</v>
      </c>
      <c r="N398" s="611">
        <f>+IF(OR($Q398=Parametres!$G$2,$Q398=Parametres!$G$3),I398,C398)</f>
        <v>39656.160000000003</v>
      </c>
      <c r="O398" s="611">
        <f>+IF(OR($Q398=Parametres!$G$2,$Q398=Parametres!$G$3),J398,D398)</f>
        <v>4178.83</v>
      </c>
      <c r="P398" s="611">
        <f>+IF(OR($Q398=Parametres!$G$2,$Q398=Parametres!$G$3),K398,E398)</f>
        <v>43834.99</v>
      </c>
      <c r="Q398" s="610" t="str">
        <f t="shared" si="49"/>
        <v>7-Dépenses</v>
      </c>
      <c r="R398" s="609" t="str">
        <f t="shared" si="50"/>
        <v>6122</v>
      </c>
      <c r="S398" s="610" t="str">
        <f t="shared" si="51"/>
        <v>_</v>
      </c>
      <c r="T398" s="612" t="str">
        <f>+VLOOKUP($L398,Data_Validation!$A:$D,1,0)</f>
        <v>6722</v>
      </c>
      <c r="U398" s="612" t="str">
        <f>+VLOOKUP($L398,Data_Validation!$A:$D,3,0)</f>
        <v>Pièces</v>
      </c>
      <c r="V398" s="612" t="str">
        <f>+VLOOKUP($L398,Data_Validation!$A:$D,4,0)</f>
        <v>Salaires cadres</v>
      </c>
      <c r="W398" s="612" t="str">
        <f>+VLOOKUP($L398,Data_Validation!$A:$E,5,0)</f>
        <v>$</v>
      </c>
      <c r="X398" s="612">
        <f>+VLOOKUP($L398,Data_Validation!$A:$F,6,0)</f>
        <v>0</v>
      </c>
    </row>
    <row r="399" spans="1:24" ht="15.75" customHeight="1">
      <c r="A399" s="1188" t="s">
        <v>1118</v>
      </c>
      <c r="B399" s="1188" t="s">
        <v>2607</v>
      </c>
      <c r="C399" s="1190">
        <v>158633.63</v>
      </c>
      <c r="D399" s="1190">
        <v>22353.200000000001</v>
      </c>
      <c r="E399" s="1190">
        <v>180986.83</v>
      </c>
      <c r="F399" s="1188" t="s">
        <v>1099</v>
      </c>
      <c r="G399" s="1188" t="s">
        <v>1119</v>
      </c>
      <c r="H399" s="1188" t="s">
        <v>3845</v>
      </c>
      <c r="I399" s="922"/>
      <c r="J399" s="922"/>
      <c r="K399" s="922"/>
      <c r="L399" s="609" t="str">
        <f t="shared" si="47"/>
        <v>6723</v>
      </c>
      <c r="M399" s="610" t="str">
        <f t="shared" si="48"/>
        <v>SAL. &amp; RENUM. - CLERICAL</v>
      </c>
      <c r="N399" s="611">
        <f>+IF(OR($Q399=Parametres!$G$2,$Q399=Parametres!$G$3),I399,C399)</f>
        <v>158633.63</v>
      </c>
      <c r="O399" s="611">
        <f>+IF(OR($Q399=Parametres!$G$2,$Q399=Parametres!$G$3),J399,D399)</f>
        <v>22353.200000000001</v>
      </c>
      <c r="P399" s="611">
        <f>+IF(OR($Q399=Parametres!$G$2,$Q399=Parametres!$G$3),K399,E399)</f>
        <v>180986.83</v>
      </c>
      <c r="Q399" s="610" t="str">
        <f t="shared" si="49"/>
        <v>7-Dépenses</v>
      </c>
      <c r="R399" s="609" t="str">
        <f t="shared" si="50"/>
        <v>6123</v>
      </c>
      <c r="S399" s="610" t="str">
        <f t="shared" si="51"/>
        <v>_</v>
      </c>
      <c r="T399" s="612" t="str">
        <f>+VLOOKUP($L399,Data_Validation!$A:$D,1,0)</f>
        <v>6723</v>
      </c>
      <c r="U399" s="612" t="str">
        <f>+VLOOKUP($L399,Data_Validation!$A:$D,3,0)</f>
        <v>Pièces</v>
      </c>
      <c r="V399" s="612" t="str">
        <f>+VLOOKUP($L399,Data_Validation!$A:$D,4,0)</f>
        <v>Salaires commis</v>
      </c>
      <c r="W399" s="612" t="str">
        <f>+VLOOKUP($L399,Data_Validation!$A:$E,5,0)</f>
        <v>$</v>
      </c>
      <c r="X399" s="612">
        <f>+VLOOKUP($L399,Data_Validation!$A:$F,6,0)</f>
        <v>0</v>
      </c>
    </row>
    <row r="400" spans="1:24" ht="15.75" customHeight="1">
      <c r="A400" s="1188" t="s">
        <v>1120</v>
      </c>
      <c r="B400" s="1188" t="s">
        <v>2610</v>
      </c>
      <c r="C400" s="1190">
        <v>32617.03</v>
      </c>
      <c r="D400" s="1190">
        <v>6463.13</v>
      </c>
      <c r="E400" s="1190">
        <v>39080.160000000003</v>
      </c>
      <c r="F400" s="1188" t="s">
        <v>1099</v>
      </c>
      <c r="G400" s="1188" t="s">
        <v>1121</v>
      </c>
      <c r="H400" s="1188" t="s">
        <v>3845</v>
      </c>
      <c r="I400" s="922"/>
      <c r="J400" s="922"/>
      <c r="K400" s="922"/>
      <c r="L400" s="609" t="str">
        <f t="shared" si="47"/>
        <v>6724</v>
      </c>
      <c r="M400" s="610" t="str">
        <f t="shared" si="48"/>
        <v>SALAIRES &amp; RENUM. - AUTRES</v>
      </c>
      <c r="N400" s="611">
        <f>+IF(OR($Q400=Parametres!$G$2,$Q400=Parametres!$G$3),I400,C400)</f>
        <v>32617.03</v>
      </c>
      <c r="O400" s="611">
        <f>+IF(OR($Q400=Parametres!$G$2,$Q400=Parametres!$G$3),J400,D400)</f>
        <v>6463.13</v>
      </c>
      <c r="P400" s="611">
        <f>+IF(OR($Q400=Parametres!$G$2,$Q400=Parametres!$G$3),K400,E400)</f>
        <v>39080.160000000003</v>
      </c>
      <c r="Q400" s="610" t="str">
        <f t="shared" si="49"/>
        <v>7-Dépenses</v>
      </c>
      <c r="R400" s="609" t="str">
        <f t="shared" si="50"/>
        <v>6124</v>
      </c>
      <c r="S400" s="610" t="str">
        <f t="shared" si="51"/>
        <v>_</v>
      </c>
      <c r="T400" s="612" t="str">
        <f>+VLOOKUP($L400,Data_Validation!$A:$D,1,0)</f>
        <v>6724</v>
      </c>
      <c r="U400" s="612" t="str">
        <f>+VLOOKUP($L400,Data_Validation!$A:$D,3,0)</f>
        <v>Pièces</v>
      </c>
      <c r="V400" s="612" t="str">
        <f>+VLOOKUP($L400,Data_Validation!$A:$D,4,0)</f>
        <v>Salaires autres</v>
      </c>
      <c r="W400" s="612" t="str">
        <f>+VLOOKUP($L400,Data_Validation!$A:$E,5,0)</f>
        <v>$</v>
      </c>
      <c r="X400" s="612">
        <f>+VLOOKUP($L400,Data_Validation!$A:$F,6,0)</f>
        <v>0</v>
      </c>
    </row>
    <row r="401" spans="1:24" ht="15.75" customHeight="1">
      <c r="A401" s="1188" t="s">
        <v>1220</v>
      </c>
      <c r="B401" s="1188" t="s">
        <v>2613</v>
      </c>
      <c r="C401" s="1190">
        <v>26634.97</v>
      </c>
      <c r="D401" s="1190">
        <v>4178.4399999999996</v>
      </c>
      <c r="E401" s="1190">
        <v>30813.41</v>
      </c>
      <c r="F401" s="1188" t="s">
        <v>1099</v>
      </c>
      <c r="G401" s="1188" t="s">
        <v>1123</v>
      </c>
      <c r="H401" s="1188" t="s">
        <v>3845</v>
      </c>
      <c r="I401" s="1151"/>
      <c r="J401" s="1151"/>
      <c r="K401" s="1151"/>
      <c r="L401" s="609" t="str">
        <f t="shared" si="47"/>
        <v>6729</v>
      </c>
      <c r="M401" s="610" t="str">
        <f t="shared" si="48"/>
        <v>ABSENCES, VACANCES, ETC</v>
      </c>
      <c r="N401" s="611">
        <f>+IF(OR($Q401=Parametres!$G$2,$Q401=Parametres!$G$3),I401,C401)</f>
        <v>26634.97</v>
      </c>
      <c r="O401" s="611">
        <f>+IF(OR($Q401=Parametres!$G$2,$Q401=Parametres!$G$3),J401,D401)</f>
        <v>4178.4399999999996</v>
      </c>
      <c r="P401" s="611">
        <f>+IF(OR($Q401=Parametres!$G$2,$Q401=Parametres!$G$3),K401,E401)</f>
        <v>30813.41</v>
      </c>
      <c r="Q401" s="610" t="str">
        <f t="shared" si="49"/>
        <v>7-Dépenses</v>
      </c>
      <c r="R401" s="609" t="str">
        <f t="shared" si="50"/>
        <v>6129</v>
      </c>
      <c r="S401" s="610" t="str">
        <f t="shared" si="51"/>
        <v>_</v>
      </c>
      <c r="T401" s="612" t="str">
        <f>+VLOOKUP($L401,Data_Validation!$A:$D,1,0)</f>
        <v>6729</v>
      </c>
      <c r="U401" s="612" t="str">
        <f>+VLOOKUP($L401,Data_Validation!$A:$D,3,0)</f>
        <v>Pièces</v>
      </c>
      <c r="V401" s="612" t="str">
        <f>+VLOOKUP($L401,Data_Validation!$A:$D,4,0)</f>
        <v>Salaires en absences</v>
      </c>
      <c r="W401" s="612" t="str">
        <f>+VLOOKUP($L401,Data_Validation!$A:$E,5,0)</f>
        <v>$</v>
      </c>
      <c r="X401" s="612">
        <f>+VLOOKUP($L401,Data_Validation!$A:$F,6,0)</f>
        <v>0</v>
      </c>
    </row>
    <row r="402" spans="1:24" ht="15.75" customHeight="1">
      <c r="A402" s="1188" t="s">
        <v>1124</v>
      </c>
      <c r="B402" s="1188" t="s">
        <v>2616</v>
      </c>
      <c r="C402" s="1190">
        <v>7487.93</v>
      </c>
      <c r="D402" s="1190">
        <v>1656.22</v>
      </c>
      <c r="E402" s="1190">
        <v>9144.15</v>
      </c>
      <c r="F402" s="1188" t="s">
        <v>1099</v>
      </c>
      <c r="G402" s="1188" t="s">
        <v>1125</v>
      </c>
      <c r="H402" s="1188" t="s">
        <v>3845</v>
      </c>
      <c r="I402" s="1151"/>
      <c r="J402" s="1151"/>
      <c r="K402" s="1151"/>
      <c r="L402" s="609" t="str">
        <f t="shared" si="47"/>
        <v>6731</v>
      </c>
      <c r="M402" s="610" t="str">
        <f t="shared" si="48"/>
        <v>CSST</v>
      </c>
      <c r="N402" s="611">
        <f>+IF(OR($Q402=Parametres!$G$2,$Q402=Parametres!$G$3),I402,C402)</f>
        <v>7487.93</v>
      </c>
      <c r="O402" s="611">
        <f>+IF(OR($Q402=Parametres!$G$2,$Q402=Parametres!$G$3),J402,D402)</f>
        <v>1656.22</v>
      </c>
      <c r="P402" s="611">
        <f>+IF(OR($Q402=Parametres!$G$2,$Q402=Parametres!$G$3),K402,E402)</f>
        <v>9144.15</v>
      </c>
      <c r="Q402" s="610" t="str">
        <f t="shared" si="49"/>
        <v>7-Dépenses</v>
      </c>
      <c r="R402" s="609" t="str">
        <f t="shared" si="50"/>
        <v>6131</v>
      </c>
      <c r="S402" s="610" t="str">
        <f t="shared" si="51"/>
        <v>_</v>
      </c>
      <c r="T402" s="612" t="str">
        <f>+VLOOKUP($L402,Data_Validation!$A:$D,1,0)</f>
        <v>6731</v>
      </c>
      <c r="U402" s="612" t="str">
        <f>+VLOOKUP($L402,Data_Validation!$A:$D,3,0)</f>
        <v>Pièces</v>
      </c>
      <c r="V402" s="612" t="str">
        <f>+VLOOKUP($L402,Data_Validation!$A:$D,4,0)</f>
        <v>Csst</v>
      </c>
      <c r="W402" s="612" t="str">
        <f>+VLOOKUP($L402,Data_Validation!$A:$E,5,0)</f>
        <v>$</v>
      </c>
      <c r="X402" s="612">
        <f>+VLOOKUP($L402,Data_Validation!$A:$F,6,0)</f>
        <v>0</v>
      </c>
    </row>
    <row r="403" spans="1:24" ht="15.75" customHeight="1">
      <c r="A403" s="1188" t="s">
        <v>1126</v>
      </c>
      <c r="B403" s="1188" t="s">
        <v>2619</v>
      </c>
      <c r="C403" s="1190">
        <v>23349.17</v>
      </c>
      <c r="D403" s="1190">
        <v>3844.36</v>
      </c>
      <c r="E403" s="1190">
        <v>27193.53</v>
      </c>
      <c r="F403" s="1188" t="s">
        <v>1099</v>
      </c>
      <c r="G403" s="1188" t="s">
        <v>1127</v>
      </c>
      <c r="H403" s="1188" t="s">
        <v>3845</v>
      </c>
      <c r="I403" s="1151"/>
      <c r="J403" s="1151"/>
      <c r="K403" s="1151"/>
      <c r="L403" s="609" t="str">
        <f t="shared" si="47"/>
        <v>6732</v>
      </c>
      <c r="M403" s="610" t="str">
        <f t="shared" si="48"/>
        <v>RRQ RAMQ AC</v>
      </c>
      <c r="N403" s="611">
        <f>+IF(OR($Q403=Parametres!$G$2,$Q403=Parametres!$G$3),I403,C403)</f>
        <v>23349.17</v>
      </c>
      <c r="O403" s="611">
        <f>+IF(OR($Q403=Parametres!$G$2,$Q403=Parametres!$G$3),J403,D403)</f>
        <v>3844.36</v>
      </c>
      <c r="P403" s="611">
        <f>+IF(OR($Q403=Parametres!$G$2,$Q403=Parametres!$G$3),K403,E403)</f>
        <v>27193.53</v>
      </c>
      <c r="Q403" s="610" t="str">
        <f t="shared" si="49"/>
        <v>7-Dépenses</v>
      </c>
      <c r="R403" s="609" t="str">
        <f t="shared" si="50"/>
        <v>6132</v>
      </c>
      <c r="S403" s="610" t="str">
        <f t="shared" si="51"/>
        <v>_</v>
      </c>
      <c r="T403" s="612" t="str">
        <f>+VLOOKUP($L403,Data_Validation!$A:$D,1,0)</f>
        <v>6732</v>
      </c>
      <c r="U403" s="612" t="str">
        <f>+VLOOKUP($L403,Data_Validation!$A:$D,3,0)</f>
        <v>Pièces</v>
      </c>
      <c r="V403" s="612" t="str">
        <f>+VLOOKUP($L403,Data_Validation!$A:$D,4,0)</f>
        <v>Déduction à la source</v>
      </c>
      <c r="W403" s="612" t="str">
        <f>+VLOOKUP($L403,Data_Validation!$A:$E,5,0)</f>
        <v>$</v>
      </c>
      <c r="X403" s="612">
        <f>+VLOOKUP($L403,Data_Validation!$A:$F,6,0)</f>
        <v>0</v>
      </c>
    </row>
    <row r="404" spans="1:24" ht="15.75" customHeight="1">
      <c r="A404" s="1188" t="s">
        <v>1221</v>
      </c>
      <c r="B404" s="1188" t="s">
        <v>2622</v>
      </c>
      <c r="C404" s="1190">
        <v>8079.03</v>
      </c>
      <c r="D404" s="1190">
        <v>991.76</v>
      </c>
      <c r="E404" s="1190">
        <v>9070.7900000000009</v>
      </c>
      <c r="F404" s="1188" t="s">
        <v>1099</v>
      </c>
      <c r="G404" s="1188" t="s">
        <v>1129</v>
      </c>
      <c r="H404" s="1188" t="s">
        <v>3845</v>
      </c>
      <c r="I404" s="1151"/>
      <c r="J404" s="1151"/>
      <c r="K404" s="1151"/>
      <c r="L404" s="609" t="str">
        <f t="shared" si="47"/>
        <v>6733</v>
      </c>
      <c r="M404" s="610" t="str">
        <f t="shared" si="48"/>
        <v>FOND PENSION - PIECES</v>
      </c>
      <c r="N404" s="611">
        <f>+IF(OR($Q404=Parametres!$G$2,$Q404=Parametres!$G$3),I404,C404)</f>
        <v>8079.03</v>
      </c>
      <c r="O404" s="611">
        <f>+IF(OR($Q404=Parametres!$G$2,$Q404=Parametres!$G$3),J404,D404)</f>
        <v>991.76</v>
      </c>
      <c r="P404" s="611">
        <f>+IF(OR($Q404=Parametres!$G$2,$Q404=Parametres!$G$3),K404,E404)</f>
        <v>9070.7900000000009</v>
      </c>
      <c r="Q404" s="610" t="str">
        <f t="shared" si="49"/>
        <v>7-Dépenses</v>
      </c>
      <c r="R404" s="609" t="str">
        <f t="shared" si="50"/>
        <v>6133</v>
      </c>
      <c r="S404" s="610" t="str">
        <f t="shared" si="51"/>
        <v>_</v>
      </c>
      <c r="T404" s="612" t="str">
        <f>+VLOOKUP($L404,Data_Validation!$A:$D,1,0)</f>
        <v>6733</v>
      </c>
      <c r="U404" s="612" t="str">
        <f>+VLOOKUP($L404,Data_Validation!$A:$D,3,0)</f>
        <v>Pièces</v>
      </c>
      <c r="V404" s="612" t="str">
        <f>+VLOOKUP($L404,Data_Validation!$A:$D,4,0)</f>
        <v>Déduction à la source</v>
      </c>
      <c r="W404" s="612" t="str">
        <f>+VLOOKUP($L404,Data_Validation!$A:$E,5,0)</f>
        <v>$</v>
      </c>
      <c r="X404" s="612">
        <f>+VLOOKUP($L404,Data_Validation!$A:$F,6,0)</f>
        <v>0</v>
      </c>
    </row>
    <row r="405" spans="1:24" ht="15.75" customHeight="1">
      <c r="A405" s="1188" t="s">
        <v>1176</v>
      </c>
      <c r="B405" s="1188" t="s">
        <v>2625</v>
      </c>
      <c r="C405" s="1190">
        <v>10650.28</v>
      </c>
      <c r="D405" s="1190">
        <v>1981.69</v>
      </c>
      <c r="E405" s="1190">
        <v>12631.97</v>
      </c>
      <c r="F405" s="1188" t="s">
        <v>1099</v>
      </c>
      <c r="G405" s="1188" t="s">
        <v>1131</v>
      </c>
      <c r="H405" s="1188" t="s">
        <v>3845</v>
      </c>
      <c r="I405" s="1151"/>
      <c r="J405" s="1151"/>
      <c r="K405" s="1151"/>
      <c r="L405" s="609" t="str">
        <f t="shared" si="47"/>
        <v>6739</v>
      </c>
      <c r="M405" s="610" t="str">
        <f t="shared" si="48"/>
        <v>ASSURANCE GROUPE</v>
      </c>
      <c r="N405" s="611">
        <f>+IF(OR($Q405=Parametres!$G$2,$Q405=Parametres!$G$3),I405,C405)</f>
        <v>10650.28</v>
      </c>
      <c r="O405" s="611">
        <f>+IF(OR($Q405=Parametres!$G$2,$Q405=Parametres!$G$3),J405,D405)</f>
        <v>1981.69</v>
      </c>
      <c r="P405" s="611">
        <f>+IF(OR($Q405=Parametres!$G$2,$Q405=Parametres!$G$3),K405,E405)</f>
        <v>12631.97</v>
      </c>
      <c r="Q405" s="610" t="str">
        <f t="shared" si="49"/>
        <v>7-Dépenses</v>
      </c>
      <c r="R405" s="609" t="str">
        <f t="shared" si="50"/>
        <v>6139</v>
      </c>
      <c r="S405" s="610" t="str">
        <f t="shared" si="51"/>
        <v>_</v>
      </c>
      <c r="T405" s="612" t="str">
        <f>+VLOOKUP($L405,Data_Validation!$A:$D,1,0)</f>
        <v>6739</v>
      </c>
      <c r="U405" s="612" t="str">
        <f>+VLOOKUP($L405,Data_Validation!$A:$D,3,0)</f>
        <v>Pièces</v>
      </c>
      <c r="V405" s="612" t="str">
        <f>+VLOOKUP($L405,Data_Validation!$A:$D,4,0)</f>
        <v>Bénéfices marginaux</v>
      </c>
      <c r="W405" s="612" t="str">
        <f>+VLOOKUP($L405,Data_Validation!$A:$E,5,0)</f>
        <v>$</v>
      </c>
      <c r="X405" s="612">
        <f>+VLOOKUP($L405,Data_Validation!$A:$F,6,0)</f>
        <v>0</v>
      </c>
    </row>
    <row r="406" spans="1:24" ht="15.75" customHeight="1">
      <c r="A406" s="1188" t="s">
        <v>1132</v>
      </c>
      <c r="B406" s="1188" t="s">
        <v>2629</v>
      </c>
      <c r="C406" s="1190">
        <v>121.2</v>
      </c>
      <c r="D406" s="1190">
        <v>0</v>
      </c>
      <c r="E406" s="1190">
        <v>121.2</v>
      </c>
      <c r="F406" s="1188" t="s">
        <v>1099</v>
      </c>
      <c r="G406" s="1188" t="s">
        <v>1133</v>
      </c>
      <c r="H406" s="1188" t="s">
        <v>3845</v>
      </c>
      <c r="I406" s="1151"/>
      <c r="J406" s="1151"/>
      <c r="K406" s="1151"/>
      <c r="L406" s="609" t="str">
        <f t="shared" si="47"/>
        <v>6742</v>
      </c>
      <c r="M406" s="610" t="str">
        <f t="shared" si="48"/>
        <v>FOURNITURES &amp; PETITS OUTILS</v>
      </c>
      <c r="N406" s="611">
        <f>+IF(OR($Q406=Parametres!$G$2,$Q406=Parametres!$G$3),I406,C406)</f>
        <v>121.2</v>
      </c>
      <c r="O406" s="611">
        <f>+IF(OR($Q406=Parametres!$G$2,$Q406=Parametres!$G$3),J406,D406)</f>
        <v>0</v>
      </c>
      <c r="P406" s="611">
        <f>+IF(OR($Q406=Parametres!$G$2,$Q406=Parametres!$G$3),K406,E406)</f>
        <v>121.2</v>
      </c>
      <c r="Q406" s="610" t="str">
        <f t="shared" si="49"/>
        <v>7-Dépenses</v>
      </c>
      <c r="R406" s="609" t="str">
        <f t="shared" si="50"/>
        <v>6142</v>
      </c>
      <c r="S406" s="610" t="str">
        <f t="shared" si="51"/>
        <v>_</v>
      </c>
      <c r="T406" s="612" t="str">
        <f>+VLOOKUP($L406,Data_Validation!$A:$D,1,0)</f>
        <v>6742</v>
      </c>
      <c r="U406" s="612" t="str">
        <f>+VLOOKUP($L406,Data_Validation!$A:$D,3,0)</f>
        <v>Pièces</v>
      </c>
      <c r="V406" s="612" t="str">
        <f>+VLOOKUP($L406,Data_Validation!$A:$D,4,0)</f>
        <v>Fournitures autres</v>
      </c>
      <c r="W406" s="612" t="str">
        <f>+VLOOKUP($L406,Data_Validation!$A:$E,5,0)</f>
        <v>$</v>
      </c>
      <c r="X406" s="612">
        <f>+VLOOKUP($L406,Data_Validation!$A:$F,6,0)</f>
        <v>0</v>
      </c>
    </row>
    <row r="407" spans="1:24" ht="15.75" customHeight="1">
      <c r="A407" s="1188" t="s">
        <v>1136</v>
      </c>
      <c r="B407" s="1188" t="s">
        <v>2635</v>
      </c>
      <c r="C407" s="1190">
        <v>1424.2</v>
      </c>
      <c r="D407" s="1190">
        <v>0</v>
      </c>
      <c r="E407" s="1190">
        <v>1424.2</v>
      </c>
      <c r="F407" s="1188" t="s">
        <v>1099</v>
      </c>
      <c r="G407" s="1188" t="s">
        <v>1137</v>
      </c>
      <c r="H407" s="1188" t="s">
        <v>3845</v>
      </c>
      <c r="I407" s="1151"/>
      <c r="J407" s="1151"/>
      <c r="K407" s="1151"/>
      <c r="L407" s="609" t="str">
        <f t="shared" si="47"/>
        <v>6744</v>
      </c>
      <c r="M407" s="610" t="str">
        <f t="shared" si="48"/>
        <v>FORMATION</v>
      </c>
      <c r="N407" s="611">
        <f>+IF(OR($Q407=Parametres!$G$2,$Q407=Parametres!$G$3),I407,C407)</f>
        <v>1424.2</v>
      </c>
      <c r="O407" s="611">
        <f>+IF(OR($Q407=Parametres!$G$2,$Q407=Parametres!$G$3),J407,D407)</f>
        <v>0</v>
      </c>
      <c r="P407" s="611">
        <f>+IF(OR($Q407=Parametres!$G$2,$Q407=Parametres!$G$3),K407,E407)</f>
        <v>1424.2</v>
      </c>
      <c r="Q407" s="610" t="str">
        <f t="shared" si="49"/>
        <v>7-Dépenses</v>
      </c>
      <c r="R407" s="609" t="str">
        <f t="shared" si="50"/>
        <v>6144</v>
      </c>
      <c r="S407" s="610" t="str">
        <f t="shared" si="51"/>
        <v>_</v>
      </c>
      <c r="T407" s="612" t="str">
        <f>+VLOOKUP($L407,Data_Validation!$A:$D,1,0)</f>
        <v>6744</v>
      </c>
      <c r="U407" s="612" t="str">
        <f>+VLOOKUP($L407,Data_Validation!$A:$D,3,0)</f>
        <v>Pièces</v>
      </c>
      <c r="V407" s="612" t="str">
        <f>+VLOOKUP($L407,Data_Validation!$A:$D,4,0)</f>
        <v>Formation</v>
      </c>
      <c r="W407" s="612" t="str">
        <f>+VLOOKUP($L407,Data_Validation!$A:$E,5,0)</f>
        <v>$</v>
      </c>
      <c r="X407" s="612">
        <f>+VLOOKUP($L407,Data_Validation!$A:$F,6,0)</f>
        <v>0</v>
      </c>
    </row>
    <row r="408" spans="1:24" ht="15.75" customHeight="1">
      <c r="A408" s="1188" t="s">
        <v>1138</v>
      </c>
      <c r="B408" s="1188" t="s">
        <v>2638</v>
      </c>
      <c r="C408" s="1190">
        <v>11488.15</v>
      </c>
      <c r="D408" s="1190">
        <v>2149.75</v>
      </c>
      <c r="E408" s="1190">
        <v>13637.9</v>
      </c>
      <c r="F408" s="1188" t="s">
        <v>1099</v>
      </c>
      <c r="G408" s="1188" t="s">
        <v>1139</v>
      </c>
      <c r="H408" s="1188" t="s">
        <v>3845</v>
      </c>
      <c r="I408" s="1151"/>
      <c r="J408" s="1151"/>
      <c r="K408" s="1151"/>
      <c r="L408" s="609" t="str">
        <f t="shared" si="47"/>
        <v>6745</v>
      </c>
      <c r="M408" s="610" t="str">
        <f t="shared" si="48"/>
        <v>VEHICULE DE COMPAGNIE - DEPENS</v>
      </c>
      <c r="N408" s="611">
        <f>+IF(OR($Q408=Parametres!$G$2,$Q408=Parametres!$G$3),I408,C408)</f>
        <v>11488.15</v>
      </c>
      <c r="O408" s="611">
        <f>+IF(OR($Q408=Parametres!$G$2,$Q408=Parametres!$G$3),J408,D408)</f>
        <v>2149.75</v>
      </c>
      <c r="P408" s="611">
        <f>+IF(OR($Q408=Parametres!$G$2,$Q408=Parametres!$G$3),K408,E408)</f>
        <v>13637.9</v>
      </c>
      <c r="Q408" s="610" t="str">
        <f t="shared" si="49"/>
        <v>7-Dépenses</v>
      </c>
      <c r="R408" s="609" t="str">
        <f t="shared" si="50"/>
        <v>6145</v>
      </c>
      <c r="S408" s="610" t="str">
        <f t="shared" si="51"/>
        <v>_</v>
      </c>
      <c r="T408" s="612" t="str">
        <f>+VLOOKUP($L408,Data_Validation!$A:$D,1,0)</f>
        <v>6745</v>
      </c>
      <c r="U408" s="612" t="str">
        <f>+VLOOKUP($L408,Data_Validation!$A:$D,3,0)</f>
        <v>Pièces</v>
      </c>
      <c r="V408" s="612" t="str">
        <f>+VLOOKUP($L408,Data_Validation!$A:$D,4,0)</f>
        <v>Frais véhicules de cie</v>
      </c>
      <c r="W408" s="612" t="str">
        <f>+VLOOKUP($L408,Data_Validation!$A:$E,5,0)</f>
        <v>$</v>
      </c>
      <c r="X408" s="612">
        <f>+VLOOKUP($L408,Data_Validation!$A:$F,6,0)</f>
        <v>0</v>
      </c>
    </row>
    <row r="409" spans="1:24" ht="15.75" customHeight="1">
      <c r="A409" s="1188" t="s">
        <v>1140</v>
      </c>
      <c r="B409" s="1188" t="s">
        <v>2641</v>
      </c>
      <c r="C409" s="1190">
        <v>-2021.87</v>
      </c>
      <c r="D409" s="1190">
        <v>935.92</v>
      </c>
      <c r="E409" s="1190">
        <v>-1085.95</v>
      </c>
      <c r="F409" s="1188" t="s">
        <v>1099</v>
      </c>
      <c r="G409" s="1188" t="s">
        <v>1141</v>
      </c>
      <c r="H409" s="1188" t="s">
        <v>3845</v>
      </c>
      <c r="I409" s="1151"/>
      <c r="J409" s="1151"/>
      <c r="K409" s="1151"/>
      <c r="L409" s="609" t="str">
        <f t="shared" si="47"/>
        <v>6747</v>
      </c>
      <c r="M409" s="610" t="str">
        <f t="shared" si="48"/>
        <v>FRET/EXPRESS/TRANS. PAR CAMION</v>
      </c>
      <c r="N409" s="611">
        <f>+IF(OR($Q409=Parametres!$G$2,$Q409=Parametres!$G$3),I409,C409)</f>
        <v>-2021.87</v>
      </c>
      <c r="O409" s="611">
        <f>+IF(OR($Q409=Parametres!$G$2,$Q409=Parametres!$G$3),J409,D409)</f>
        <v>935.92</v>
      </c>
      <c r="P409" s="611">
        <f>+IF(OR($Q409=Parametres!$G$2,$Q409=Parametres!$G$3),K409,E409)</f>
        <v>-1085.95</v>
      </c>
      <c r="Q409" s="610" t="str">
        <f t="shared" si="49"/>
        <v>7-Dépenses</v>
      </c>
      <c r="R409" s="609" t="str">
        <f t="shared" si="50"/>
        <v>6147</v>
      </c>
      <c r="S409" s="610" t="str">
        <f t="shared" si="51"/>
        <v>_</v>
      </c>
      <c r="T409" s="612" t="str">
        <f>+VLOOKUP($L409,Data_Validation!$A:$D,1,0)</f>
        <v>6747</v>
      </c>
      <c r="U409" s="612" t="str">
        <f>+VLOOKUP($L409,Data_Validation!$A:$D,3,0)</f>
        <v>Pièces</v>
      </c>
      <c r="V409" s="612" t="str">
        <f>+VLOOKUP($L409,Data_Validation!$A:$D,4,0)</f>
        <v>Frais postaux</v>
      </c>
      <c r="W409" s="612" t="str">
        <f>+VLOOKUP($L409,Data_Validation!$A:$E,5,0)</f>
        <v>$</v>
      </c>
      <c r="X409" s="612">
        <f>+VLOOKUP($L409,Data_Validation!$A:$F,6,0)</f>
        <v>0</v>
      </c>
    </row>
    <row r="410" spans="1:24" ht="15.75" customHeight="1">
      <c r="A410" s="1188" t="s">
        <v>1142</v>
      </c>
      <c r="B410" s="1188" t="s">
        <v>2643</v>
      </c>
      <c r="C410" s="1190">
        <v>34387.67</v>
      </c>
      <c r="D410" s="1190">
        <v>7449.99</v>
      </c>
      <c r="E410" s="1190">
        <v>41837.660000000003</v>
      </c>
      <c r="F410" s="1188" t="s">
        <v>1099</v>
      </c>
      <c r="G410" s="1188" t="s">
        <v>1143</v>
      </c>
      <c r="H410" s="1188" t="s">
        <v>3845</v>
      </c>
      <c r="I410" s="1151"/>
      <c r="J410" s="1151"/>
      <c r="K410" s="1151"/>
      <c r="L410" s="609" t="str">
        <f t="shared" si="47"/>
        <v>6751</v>
      </c>
      <c r="M410" s="610" t="str">
        <f t="shared" si="48"/>
        <v>DEP. DU TRAITEMENT DES DONNEES</v>
      </c>
      <c r="N410" s="611">
        <f>+IF(OR($Q410=Parametres!$G$2,$Q410=Parametres!$G$3),I410,C410)</f>
        <v>34387.67</v>
      </c>
      <c r="O410" s="611">
        <f>+IF(OR($Q410=Parametres!$G$2,$Q410=Parametres!$G$3),J410,D410)</f>
        <v>7449.99</v>
      </c>
      <c r="P410" s="611">
        <f>+IF(OR($Q410=Parametres!$G$2,$Q410=Parametres!$G$3),K410,E410)</f>
        <v>41837.660000000003</v>
      </c>
      <c r="Q410" s="610" t="str">
        <f t="shared" si="49"/>
        <v>7-Dépenses</v>
      </c>
      <c r="R410" s="609" t="str">
        <f t="shared" si="50"/>
        <v>6151</v>
      </c>
      <c r="S410" s="610" t="str">
        <f t="shared" si="51"/>
        <v>_</v>
      </c>
      <c r="T410" s="612" t="str">
        <f>+VLOOKUP($L410,Data_Validation!$A:$D,1,0)</f>
        <v>6751</v>
      </c>
      <c r="U410" s="612" t="str">
        <f>+VLOOKUP($L410,Data_Validation!$A:$D,3,0)</f>
        <v>Pièces</v>
      </c>
      <c r="V410" s="612" t="str">
        <f>+VLOOKUP($L410,Data_Validation!$A:$D,4,0)</f>
        <v>Informatique</v>
      </c>
      <c r="W410" s="612" t="str">
        <f>+VLOOKUP($L410,Data_Validation!$A:$E,5,0)</f>
        <v>$</v>
      </c>
      <c r="X410" s="612">
        <f>+VLOOKUP($L410,Data_Validation!$A:$F,6,0)</f>
        <v>0</v>
      </c>
    </row>
    <row r="411" spans="1:24" ht="15.75" customHeight="1">
      <c r="A411" s="1188" t="s">
        <v>1144</v>
      </c>
      <c r="B411" s="1188" t="s">
        <v>2646</v>
      </c>
      <c r="C411" s="1190">
        <v>4339.33</v>
      </c>
      <c r="D411" s="1190">
        <v>489.23</v>
      </c>
      <c r="E411" s="1190">
        <v>4828.5600000000004</v>
      </c>
      <c r="F411" s="1188" t="s">
        <v>1099</v>
      </c>
      <c r="G411" s="1188" t="s">
        <v>1145</v>
      </c>
      <c r="H411" s="1188" t="s">
        <v>3845</v>
      </c>
      <c r="I411" s="1151"/>
      <c r="J411" s="1151"/>
      <c r="K411" s="1151"/>
      <c r="L411" s="609" t="str">
        <f t="shared" si="47"/>
        <v>6752</v>
      </c>
      <c r="M411" s="610" t="str">
        <f t="shared" si="48"/>
        <v>PAPETERIE</v>
      </c>
      <c r="N411" s="611">
        <f>+IF(OR($Q411=Parametres!$G$2,$Q411=Parametres!$G$3),I411,C411)</f>
        <v>4339.33</v>
      </c>
      <c r="O411" s="611">
        <f>+IF(OR($Q411=Parametres!$G$2,$Q411=Parametres!$G$3),J411,D411)</f>
        <v>489.23</v>
      </c>
      <c r="P411" s="611">
        <f>+IF(OR($Q411=Parametres!$G$2,$Q411=Parametres!$G$3),K411,E411)</f>
        <v>4828.5600000000004</v>
      </c>
      <c r="Q411" s="610" t="str">
        <f t="shared" si="49"/>
        <v>7-Dépenses</v>
      </c>
      <c r="R411" s="609" t="str">
        <f t="shared" si="50"/>
        <v>6152</v>
      </c>
      <c r="S411" s="610" t="str">
        <f t="shared" si="51"/>
        <v>_</v>
      </c>
      <c r="T411" s="612" t="str">
        <f>+VLOOKUP($L411,Data_Validation!$A:$D,1,0)</f>
        <v>6752</v>
      </c>
      <c r="U411" s="612" t="str">
        <f>+VLOOKUP($L411,Data_Validation!$A:$D,3,0)</f>
        <v>Pièces</v>
      </c>
      <c r="V411" s="612" t="str">
        <f>+VLOOKUP($L411,Data_Validation!$A:$D,4,0)</f>
        <v>Papeterie</v>
      </c>
      <c r="W411" s="612" t="str">
        <f>+VLOOKUP($L411,Data_Validation!$A:$E,5,0)</f>
        <v>$</v>
      </c>
      <c r="X411" s="612">
        <f>+VLOOKUP($L411,Data_Validation!$A:$F,6,0)</f>
        <v>0</v>
      </c>
    </row>
    <row r="412" spans="1:24" ht="15.75" customHeight="1">
      <c r="A412" s="1188" t="s">
        <v>1146</v>
      </c>
      <c r="B412" s="1188" t="s">
        <v>2649</v>
      </c>
      <c r="C412" s="1190">
        <v>629.71</v>
      </c>
      <c r="D412" s="1190">
        <v>69.22</v>
      </c>
      <c r="E412" s="1190">
        <v>698.93</v>
      </c>
      <c r="F412" s="1188" t="s">
        <v>1099</v>
      </c>
      <c r="G412" s="1188" t="s">
        <v>1147</v>
      </c>
      <c r="H412" s="1188" t="s">
        <v>3845</v>
      </c>
      <c r="I412" s="1151"/>
      <c r="J412" s="1151"/>
      <c r="K412" s="1151"/>
      <c r="L412" s="609" t="str">
        <f t="shared" si="47"/>
        <v>6753</v>
      </c>
      <c r="M412" s="610" t="str">
        <f t="shared" si="48"/>
        <v>TELEPHONE ET TELEX</v>
      </c>
      <c r="N412" s="611">
        <f>+IF(OR($Q412=Parametres!$G$2,$Q412=Parametres!$G$3),I412,C412)</f>
        <v>629.71</v>
      </c>
      <c r="O412" s="611">
        <f>+IF(OR($Q412=Parametres!$G$2,$Q412=Parametres!$G$3),J412,D412)</f>
        <v>69.22</v>
      </c>
      <c r="P412" s="611">
        <f>+IF(OR($Q412=Parametres!$G$2,$Q412=Parametres!$G$3),K412,E412)</f>
        <v>698.93</v>
      </c>
      <c r="Q412" s="610" t="str">
        <f t="shared" si="49"/>
        <v>7-Dépenses</v>
      </c>
      <c r="R412" s="609" t="str">
        <f t="shared" si="50"/>
        <v>6153</v>
      </c>
      <c r="S412" s="610" t="str">
        <f t="shared" si="51"/>
        <v>_</v>
      </c>
      <c r="T412" s="612" t="str">
        <f>+VLOOKUP($L412,Data_Validation!$A:$D,1,0)</f>
        <v>6753</v>
      </c>
      <c r="U412" s="612" t="str">
        <f>+VLOOKUP($L412,Data_Validation!$A:$D,3,0)</f>
        <v>Pièces</v>
      </c>
      <c r="V412" s="612" t="str">
        <f>+VLOOKUP($L412,Data_Validation!$A:$D,4,0)</f>
        <v>Téléphone</v>
      </c>
      <c r="W412" s="612" t="str">
        <f>+VLOOKUP($L412,Data_Validation!$A:$E,5,0)</f>
        <v>$</v>
      </c>
      <c r="X412" s="612">
        <f>+VLOOKUP($L412,Data_Validation!$A:$F,6,0)</f>
        <v>0</v>
      </c>
    </row>
    <row r="413" spans="1:24" ht="15.75" customHeight="1">
      <c r="A413" s="1188" t="s">
        <v>1148</v>
      </c>
      <c r="B413" s="1188" t="s">
        <v>2652</v>
      </c>
      <c r="C413" s="1190">
        <v>829.13</v>
      </c>
      <c r="D413" s="1190">
        <v>14.74</v>
      </c>
      <c r="E413" s="1190">
        <v>843.87</v>
      </c>
      <c r="F413" s="1188" t="s">
        <v>1099</v>
      </c>
      <c r="G413" s="1188" t="s">
        <v>1149</v>
      </c>
      <c r="H413" s="1188" t="s">
        <v>3845</v>
      </c>
      <c r="I413" s="1151"/>
      <c r="J413" s="1151"/>
      <c r="K413" s="1151"/>
      <c r="L413" s="609" t="str">
        <f t="shared" si="47"/>
        <v>6755</v>
      </c>
      <c r="M413" s="610" t="str">
        <f t="shared" si="48"/>
        <v>DEPENSES DIVERS</v>
      </c>
      <c r="N413" s="611">
        <f>+IF(OR($Q413=Parametres!$G$2,$Q413=Parametres!$G$3),I413,C413)</f>
        <v>829.13</v>
      </c>
      <c r="O413" s="611">
        <f>+IF(OR($Q413=Parametres!$G$2,$Q413=Parametres!$G$3),J413,D413)</f>
        <v>14.74</v>
      </c>
      <c r="P413" s="611">
        <f>+IF(OR($Q413=Parametres!$G$2,$Q413=Parametres!$G$3),K413,E413)</f>
        <v>843.87</v>
      </c>
      <c r="Q413" s="610" t="str">
        <f t="shared" si="49"/>
        <v>7-Dépenses</v>
      </c>
      <c r="R413" s="609" t="str">
        <f t="shared" si="50"/>
        <v>6155</v>
      </c>
      <c r="S413" s="610" t="str">
        <f t="shared" si="51"/>
        <v>_</v>
      </c>
      <c r="T413" s="612" t="str">
        <f>+VLOOKUP($L413,Data_Validation!$A:$D,1,0)</f>
        <v>6755</v>
      </c>
      <c r="U413" s="612" t="str">
        <f>+VLOOKUP($L413,Data_Validation!$A:$D,3,0)</f>
        <v>Pièces</v>
      </c>
      <c r="V413" s="612" t="str">
        <f>+VLOOKUP($L413,Data_Validation!$A:$D,4,0)</f>
        <v>Divers</v>
      </c>
      <c r="W413" s="612" t="str">
        <f>+VLOOKUP($L413,Data_Validation!$A:$E,5,0)</f>
        <v>$</v>
      </c>
      <c r="X413" s="612">
        <f>+VLOOKUP($L413,Data_Validation!$A:$F,6,0)</f>
        <v>0</v>
      </c>
    </row>
    <row r="414" spans="1:24" ht="15.75" customHeight="1">
      <c r="A414" s="1188" t="s">
        <v>1222</v>
      </c>
      <c r="B414" s="1188" t="s">
        <v>2655</v>
      </c>
      <c r="C414" s="1190">
        <v>4018.4</v>
      </c>
      <c r="D414" s="1190">
        <v>247.26</v>
      </c>
      <c r="E414" s="1190">
        <v>4265.66</v>
      </c>
      <c r="F414" s="1188" t="s">
        <v>1099</v>
      </c>
      <c r="G414" s="1188" t="s">
        <v>1151</v>
      </c>
      <c r="H414" s="1188" t="s">
        <v>3845</v>
      </c>
      <c r="I414" s="1151"/>
      <c r="J414" s="1151"/>
      <c r="K414" s="1151"/>
      <c r="L414" s="609" t="str">
        <f t="shared" si="47"/>
        <v>6756</v>
      </c>
      <c r="M414" s="610" t="str">
        <f t="shared" si="48"/>
        <v>FRAIS REPRESENTATION - PIECES</v>
      </c>
      <c r="N414" s="611">
        <f>+IF(OR($Q414=Parametres!$G$2,$Q414=Parametres!$G$3),I414,C414)</f>
        <v>4018.4</v>
      </c>
      <c r="O414" s="611">
        <f>+IF(OR($Q414=Parametres!$G$2,$Q414=Parametres!$G$3),J414,D414)</f>
        <v>247.26</v>
      </c>
      <c r="P414" s="611">
        <f>+IF(OR($Q414=Parametres!$G$2,$Q414=Parametres!$G$3),K414,E414)</f>
        <v>4265.66</v>
      </c>
      <c r="Q414" s="610" t="str">
        <f t="shared" si="49"/>
        <v>7-Dépenses</v>
      </c>
      <c r="R414" s="609" t="str">
        <f t="shared" si="50"/>
        <v>6156</v>
      </c>
      <c r="S414" s="610" t="str">
        <f t="shared" si="51"/>
        <v>_</v>
      </c>
      <c r="T414" s="612" t="str">
        <f>+VLOOKUP($L414,Data_Validation!$A:$D,1,0)</f>
        <v>6756</v>
      </c>
      <c r="U414" s="612" t="str">
        <f>+VLOOKUP($L414,Data_Validation!$A:$D,3,0)</f>
        <v>Pièces</v>
      </c>
      <c r="V414" s="612" t="str">
        <f>+VLOOKUP($L414,Data_Validation!$A:$D,4,0)</f>
        <v>Frais de déplacement</v>
      </c>
      <c r="W414" s="612" t="str">
        <f>+VLOOKUP($L414,Data_Validation!$A:$E,5,0)</f>
        <v>$</v>
      </c>
      <c r="X414" s="612">
        <f>+VLOOKUP($L414,Data_Validation!$A:$F,6,0)</f>
        <v>0</v>
      </c>
    </row>
    <row r="415" spans="1:24" ht="15.75" customHeight="1">
      <c r="A415" s="1188" t="s">
        <v>1223</v>
      </c>
      <c r="B415" s="1188" t="s">
        <v>3345</v>
      </c>
      <c r="C415" s="1190">
        <v>11575.44</v>
      </c>
      <c r="D415" s="1190">
        <v>1891.27</v>
      </c>
      <c r="E415" s="1190">
        <v>13466.71</v>
      </c>
      <c r="F415" s="1188" t="s">
        <v>1099</v>
      </c>
      <c r="G415" s="1188" t="s">
        <v>3283</v>
      </c>
      <c r="H415" s="1188" t="s">
        <v>3845</v>
      </c>
      <c r="I415" s="1151"/>
      <c r="J415" s="1151"/>
      <c r="K415" s="1151"/>
      <c r="L415" s="609" t="str">
        <f t="shared" si="47"/>
        <v>6757</v>
      </c>
      <c r="M415" s="610" t="str">
        <f t="shared" si="48"/>
        <v>FRAIS BANCAIRES - PIECES</v>
      </c>
      <c r="N415" s="611">
        <f>+IF(OR($Q415=Parametres!$G$2,$Q415=Parametres!$G$3),I415,C415)</f>
        <v>11575.44</v>
      </c>
      <c r="O415" s="611">
        <f>+IF(OR($Q415=Parametres!$G$2,$Q415=Parametres!$G$3),J415,D415)</f>
        <v>1891.27</v>
      </c>
      <c r="P415" s="611">
        <f>+IF(OR($Q415=Parametres!$G$2,$Q415=Parametres!$G$3),K415,E415)</f>
        <v>13466.71</v>
      </c>
      <c r="Q415" s="610" t="str">
        <f t="shared" si="49"/>
        <v>7-Dépenses</v>
      </c>
      <c r="R415" s="609" t="str">
        <f t="shared" si="50"/>
        <v>675</v>
      </c>
      <c r="S415" s="610" t="str">
        <f t="shared" si="51"/>
        <v>_</v>
      </c>
      <c r="T415" s="612" t="str">
        <f>+VLOOKUP($L415,Data_Validation!$A:$D,1,0)</f>
        <v>6757</v>
      </c>
      <c r="U415" s="612" t="str">
        <f>+VLOOKUP($L415,Data_Validation!$A:$D,3,0)</f>
        <v>Pièces</v>
      </c>
      <c r="V415" s="612" t="str">
        <f>+VLOOKUP($L415,Data_Validation!$A:$D,4,0)</f>
        <v>Frais bancaires</v>
      </c>
      <c r="W415" s="612" t="str">
        <f>+VLOOKUP($L415,Data_Validation!$A:$E,5,0)</f>
        <v>$</v>
      </c>
      <c r="X415" s="612">
        <f>+VLOOKUP($L415,Data_Validation!$A:$F,6,0)</f>
        <v>0</v>
      </c>
    </row>
    <row r="416" spans="1:24" ht="15.75" customHeight="1">
      <c r="A416" s="1188" t="s">
        <v>3811</v>
      </c>
      <c r="B416" s="1188" t="s">
        <v>3812</v>
      </c>
      <c r="C416" s="1190">
        <v>35467.449999999997</v>
      </c>
      <c r="D416" s="1190">
        <v>3403.21</v>
      </c>
      <c r="E416" s="1190">
        <v>38870.660000000003</v>
      </c>
      <c r="F416" s="1188" t="s">
        <v>1099</v>
      </c>
      <c r="G416" s="1188" t="s">
        <v>1155</v>
      </c>
      <c r="H416" s="1188" t="s">
        <v>3845</v>
      </c>
      <c r="I416" s="1152"/>
      <c r="J416" s="1152"/>
      <c r="K416" s="1152"/>
      <c r="L416" s="609" t="str">
        <f t="shared" si="47"/>
        <v>6758</v>
      </c>
      <c r="M416" s="610" t="str">
        <f t="shared" si="48"/>
        <v>FRAIS DE LIVRAISON PIECES</v>
      </c>
      <c r="N416" s="611">
        <f>+IF(OR($Q416=Parametres!$G$2,$Q416=Parametres!$G$3),I416,C416)</f>
        <v>35467.449999999997</v>
      </c>
      <c r="O416" s="611">
        <f>+IF(OR($Q416=Parametres!$G$2,$Q416=Parametres!$G$3),J416,D416)</f>
        <v>3403.21</v>
      </c>
      <c r="P416" s="611">
        <f>+IF(OR($Q416=Parametres!$G$2,$Q416=Parametres!$G$3),K416,E416)</f>
        <v>38870.660000000003</v>
      </c>
      <c r="Q416" s="610" t="str">
        <f t="shared" si="49"/>
        <v>7-Dépenses</v>
      </c>
      <c r="R416" s="609" t="str">
        <f t="shared" si="50"/>
        <v>6159</v>
      </c>
      <c r="S416" s="610" t="str">
        <f t="shared" si="51"/>
        <v>_</v>
      </c>
      <c r="T416" s="612" t="str">
        <f>+VLOOKUP($L416,Data_Validation!$A:$D,1,0)</f>
        <v>6758</v>
      </c>
      <c r="U416" s="612" t="str">
        <f>+VLOOKUP($L416,Data_Validation!$A:$D,3,0)</f>
        <v>Pièces</v>
      </c>
      <c r="V416" s="612" t="str">
        <f>+VLOOKUP($L416,Data_Validation!$A:$D,4,0)</f>
        <v>Services extérieurs</v>
      </c>
      <c r="W416" s="612" t="str">
        <f>+VLOOKUP($L416,Data_Validation!$A:$E,5,0)</f>
        <v>$</v>
      </c>
      <c r="X416" s="612">
        <f>+VLOOKUP($L416,Data_Validation!$A:$F,6,0)</f>
        <v>0</v>
      </c>
    </row>
    <row r="417" spans="1:24" ht="15.75" customHeight="1">
      <c r="A417" s="1188" t="s">
        <v>1154</v>
      </c>
      <c r="B417" s="1188" t="s">
        <v>2658</v>
      </c>
      <c r="C417" s="1190">
        <v>21656.67</v>
      </c>
      <c r="D417" s="1190">
        <v>3078.07</v>
      </c>
      <c r="E417" s="1190">
        <v>24734.74</v>
      </c>
      <c r="F417" s="1188" t="s">
        <v>1099</v>
      </c>
      <c r="G417" s="1188" t="s">
        <v>1155</v>
      </c>
      <c r="H417" s="1188" t="s">
        <v>3845</v>
      </c>
      <c r="I417" s="1154"/>
      <c r="J417" s="1154"/>
      <c r="K417" s="1154"/>
      <c r="L417" s="609" t="str">
        <f t="shared" si="47"/>
        <v>6759</v>
      </c>
      <c r="M417" s="610" t="str">
        <f t="shared" si="48"/>
        <v>SERVICE EXTERIEUR</v>
      </c>
      <c r="N417" s="611">
        <f>+IF(OR($Q417=Parametres!$G$2,$Q417=Parametres!$G$3),I417,C417)</f>
        <v>21656.67</v>
      </c>
      <c r="O417" s="611">
        <f>+IF(OR($Q417=Parametres!$G$2,$Q417=Parametres!$G$3),J417,D417)</f>
        <v>3078.07</v>
      </c>
      <c r="P417" s="611">
        <f>+IF(OR($Q417=Parametres!$G$2,$Q417=Parametres!$G$3),K417,E417)</f>
        <v>24734.74</v>
      </c>
      <c r="Q417" s="610" t="str">
        <f t="shared" si="49"/>
        <v>7-Dépenses</v>
      </c>
      <c r="R417" s="609" t="str">
        <f t="shared" si="50"/>
        <v>6159</v>
      </c>
      <c r="S417" s="610" t="str">
        <f t="shared" si="51"/>
        <v>_</v>
      </c>
      <c r="T417" s="612" t="str">
        <f>+VLOOKUP($L417,Data_Validation!$A:$D,1,0)</f>
        <v>6759</v>
      </c>
      <c r="U417" s="612" t="str">
        <f>+VLOOKUP($L417,Data_Validation!$A:$D,3,0)</f>
        <v>Pièces</v>
      </c>
      <c r="V417" s="612" t="str">
        <f>+VLOOKUP($L417,Data_Validation!$A:$D,4,0)</f>
        <v>Services extérieurs</v>
      </c>
      <c r="W417" s="612" t="str">
        <f>+VLOOKUP($L417,Data_Validation!$A:$E,5,0)</f>
        <v>$</v>
      </c>
      <c r="X417" s="612">
        <f>+VLOOKUP($L417,Data_Validation!$A:$F,6,0)</f>
        <v>0</v>
      </c>
    </row>
    <row r="418" spans="1:24" ht="15.75" customHeight="1">
      <c r="A418" s="1188" t="s">
        <v>1156</v>
      </c>
      <c r="B418" s="1188" t="s">
        <v>2661</v>
      </c>
      <c r="C418" s="1190">
        <v>14275.5</v>
      </c>
      <c r="D418" s="1190">
        <v>2379.25</v>
      </c>
      <c r="E418" s="1190">
        <v>16654.75</v>
      </c>
      <c r="F418" s="1188" t="s">
        <v>1099</v>
      </c>
      <c r="G418" s="1188" t="s">
        <v>1157</v>
      </c>
      <c r="H418" s="1188" t="s">
        <v>3845</v>
      </c>
      <c r="I418" s="1154"/>
      <c r="J418" s="1154"/>
      <c r="K418" s="1154"/>
      <c r="L418" s="609" t="str">
        <f t="shared" si="47"/>
        <v>6761</v>
      </c>
      <c r="M418" s="610" t="str">
        <f t="shared" si="48"/>
        <v>DEPRECIATION EQUIP. &amp; FIXTURES</v>
      </c>
      <c r="N418" s="611">
        <f>+IF(OR($Q418=Parametres!$G$2,$Q418=Parametres!$G$3),I418,C418)</f>
        <v>14275.5</v>
      </c>
      <c r="O418" s="611">
        <f>+IF(OR($Q418=Parametres!$G$2,$Q418=Parametres!$G$3),J418,D418)</f>
        <v>2379.25</v>
      </c>
      <c r="P418" s="611">
        <f>+IF(OR($Q418=Parametres!$G$2,$Q418=Parametres!$G$3),K418,E418)</f>
        <v>16654.75</v>
      </c>
      <c r="Q418" s="610" t="str">
        <f t="shared" si="49"/>
        <v>7-Dépenses</v>
      </c>
      <c r="R418" s="609" t="str">
        <f t="shared" si="50"/>
        <v>6161</v>
      </c>
      <c r="S418" s="610" t="str">
        <f t="shared" si="51"/>
        <v>_</v>
      </c>
      <c r="T418" s="612" t="str">
        <f>+VLOOKUP($L418,Data_Validation!$A:$D,1,0)</f>
        <v>6761</v>
      </c>
      <c r="U418" s="612" t="str">
        <f>+VLOOKUP($L418,Data_Validation!$A:$D,3,0)</f>
        <v>Pièces</v>
      </c>
      <c r="V418" s="612" t="str">
        <f>+VLOOKUP($L418,Data_Validation!$A:$D,4,0)</f>
        <v>Amortissement</v>
      </c>
      <c r="W418" s="612" t="str">
        <f>+VLOOKUP($L418,Data_Validation!$A:$E,5,0)</f>
        <v>$</v>
      </c>
      <c r="X418" s="612">
        <f>+VLOOKUP($L418,Data_Validation!$A:$F,6,0)</f>
        <v>0</v>
      </c>
    </row>
    <row r="419" spans="1:24" ht="15.75" customHeight="1">
      <c r="A419" s="1188" t="s">
        <v>1224</v>
      </c>
      <c r="B419" s="1188" t="s">
        <v>2670</v>
      </c>
      <c r="C419" s="1190">
        <v>11537.06</v>
      </c>
      <c r="D419" s="1190">
        <v>1036.19</v>
      </c>
      <c r="E419" s="1190">
        <v>12573.25</v>
      </c>
      <c r="F419" s="1188" t="s">
        <v>1099</v>
      </c>
      <c r="G419" s="1188" t="s">
        <v>1159</v>
      </c>
      <c r="H419" s="1188" t="s">
        <v>3845</v>
      </c>
      <c r="I419" s="1154"/>
      <c r="J419" s="1154"/>
      <c r="K419" s="1154"/>
      <c r="L419" s="609" t="str">
        <f t="shared" si="47"/>
        <v>6781</v>
      </c>
      <c r="M419" s="610" t="str">
        <f t="shared" si="48"/>
        <v>CHAUFFAGE,ELECTRICITE,EAU-PIECES</v>
      </c>
      <c r="N419" s="611">
        <f>+IF(OR($Q419=Parametres!$G$2,$Q419=Parametres!$G$3),I419,C419)</f>
        <v>11537.06</v>
      </c>
      <c r="O419" s="611">
        <f>+IF(OR($Q419=Parametres!$G$2,$Q419=Parametres!$G$3),J419,D419)</f>
        <v>1036.19</v>
      </c>
      <c r="P419" s="611">
        <f>+IF(OR($Q419=Parametres!$G$2,$Q419=Parametres!$G$3),K419,E419)</f>
        <v>12573.25</v>
      </c>
      <c r="Q419" s="610" t="str">
        <f t="shared" si="49"/>
        <v>7-Dépenses</v>
      </c>
      <c r="R419" s="609" t="str">
        <f t="shared" si="50"/>
        <v>6181</v>
      </c>
      <c r="S419" s="610" t="str">
        <f t="shared" si="51"/>
        <v>_</v>
      </c>
      <c r="T419" s="612" t="str">
        <f>+VLOOKUP($L419,Data_Validation!$A:$D,1,0)</f>
        <v>6781</v>
      </c>
      <c r="U419" s="612" t="str">
        <f>+VLOOKUP($L419,Data_Validation!$A:$D,3,0)</f>
        <v>Pièces</v>
      </c>
      <c r="V419" s="612" t="str">
        <f>+VLOOKUP($L419,Data_Validation!$A:$D,4,0)</f>
        <v>Chauffage, éclairage</v>
      </c>
      <c r="W419" s="612" t="str">
        <f>+VLOOKUP($L419,Data_Validation!$A:$E,5,0)</f>
        <v>$</v>
      </c>
      <c r="X419" s="612">
        <f>+VLOOKUP($L419,Data_Validation!$A:$F,6,0)</f>
        <v>0</v>
      </c>
    </row>
    <row r="420" spans="1:24" ht="15.75" customHeight="1">
      <c r="A420" s="1188" t="s">
        <v>1225</v>
      </c>
      <c r="B420" s="1188" t="s">
        <v>2673</v>
      </c>
      <c r="C420" s="1190">
        <v>110875</v>
      </c>
      <c r="D420" s="1190">
        <v>19875</v>
      </c>
      <c r="E420" s="1190">
        <v>130750</v>
      </c>
      <c r="F420" s="1188" t="s">
        <v>1099</v>
      </c>
      <c r="G420" s="1188" t="s">
        <v>1161</v>
      </c>
      <c r="H420" s="1188" t="s">
        <v>3845</v>
      </c>
      <c r="I420" s="1154"/>
      <c r="J420" s="1154"/>
      <c r="K420" s="1154"/>
      <c r="L420" s="609" t="str">
        <f t="shared" si="47"/>
        <v>6782</v>
      </c>
      <c r="M420" s="610" t="str">
        <f t="shared" si="48"/>
        <v>LOYER - PIECES</v>
      </c>
      <c r="N420" s="611">
        <f>+IF(OR($Q420=Parametres!$G$2,$Q420=Parametres!$G$3),I420,C420)</f>
        <v>110875</v>
      </c>
      <c r="O420" s="611">
        <f>+IF(OR($Q420=Parametres!$G$2,$Q420=Parametres!$G$3),J420,D420)</f>
        <v>19875</v>
      </c>
      <c r="P420" s="611">
        <f>+IF(OR($Q420=Parametres!$G$2,$Q420=Parametres!$G$3),K420,E420)</f>
        <v>130750</v>
      </c>
      <c r="Q420" s="610" t="str">
        <f t="shared" si="49"/>
        <v>7-Dépenses</v>
      </c>
      <c r="R420" s="609" t="str">
        <f t="shared" si="50"/>
        <v>6182</v>
      </c>
      <c r="S420" s="610" t="str">
        <f t="shared" si="51"/>
        <v>_</v>
      </c>
      <c r="T420" s="612" t="str">
        <f>+VLOOKUP($L420,Data_Validation!$A:$D,1,0)</f>
        <v>6782</v>
      </c>
      <c r="U420" s="612" t="str">
        <f>+VLOOKUP($L420,Data_Validation!$A:$D,3,0)</f>
        <v>Pièces</v>
      </c>
      <c r="V420" s="612" t="str">
        <f>+VLOOKUP($L420,Data_Validation!$A:$D,4,0)</f>
        <v>Loyer</v>
      </c>
      <c r="W420" s="612" t="str">
        <f>+VLOOKUP($L420,Data_Validation!$A:$E,5,0)</f>
        <v>$</v>
      </c>
      <c r="X420" s="612">
        <f>+VLOOKUP($L420,Data_Validation!$A:$F,6,0)</f>
        <v>0</v>
      </c>
    </row>
    <row r="421" spans="1:24" ht="15.75" customHeight="1">
      <c r="A421" s="1188" t="s">
        <v>1226</v>
      </c>
      <c r="B421" s="1188" t="s">
        <v>2676</v>
      </c>
      <c r="C421" s="1190">
        <v>5976.06</v>
      </c>
      <c r="D421" s="1190">
        <v>1000</v>
      </c>
      <c r="E421" s="1190">
        <v>6976.06</v>
      </c>
      <c r="F421" s="1188" t="s">
        <v>1099</v>
      </c>
      <c r="G421" s="1188" t="s">
        <v>1163</v>
      </c>
      <c r="H421" s="1188" t="s">
        <v>3845</v>
      </c>
      <c r="I421" s="1154"/>
      <c r="J421" s="1154"/>
      <c r="K421" s="1154"/>
      <c r="L421" s="609" t="str">
        <f t="shared" si="47"/>
        <v>6786</v>
      </c>
      <c r="M421" s="610" t="str">
        <f t="shared" si="48"/>
        <v>ASSURANCE BATISSE &amp; AMEL.-PIECES</v>
      </c>
      <c r="N421" s="611">
        <f>+IF(OR($Q421=Parametres!$G$2,$Q421=Parametres!$G$3),I421,C421)</f>
        <v>5976.06</v>
      </c>
      <c r="O421" s="611">
        <f>+IF(OR($Q421=Parametres!$G$2,$Q421=Parametres!$G$3),J421,D421)</f>
        <v>1000</v>
      </c>
      <c r="P421" s="611">
        <f>+IF(OR($Q421=Parametres!$G$2,$Q421=Parametres!$G$3),K421,E421)</f>
        <v>6976.06</v>
      </c>
      <c r="Q421" s="610" t="str">
        <f t="shared" si="49"/>
        <v>7-Dépenses</v>
      </c>
      <c r="R421" s="609" t="str">
        <f t="shared" si="50"/>
        <v>6186</v>
      </c>
      <c r="S421" s="610" t="str">
        <f t="shared" si="51"/>
        <v>_</v>
      </c>
      <c r="T421" s="612" t="str">
        <f>+VLOOKUP($L421,Data_Validation!$A:$D,1,0)</f>
        <v>6786</v>
      </c>
      <c r="U421" s="612" t="str">
        <f>+VLOOKUP($L421,Data_Validation!$A:$D,3,0)</f>
        <v>Pièces</v>
      </c>
      <c r="V421" s="612" t="str">
        <f>+VLOOKUP($L421,Data_Validation!$A:$D,4,0)</f>
        <v>Assurances</v>
      </c>
      <c r="W421" s="612" t="str">
        <f>+VLOOKUP($L421,Data_Validation!$A:$E,5,0)</f>
        <v>$</v>
      </c>
      <c r="X421" s="612">
        <f>+VLOOKUP($L421,Data_Validation!$A:$F,6,0)</f>
        <v>0</v>
      </c>
    </row>
    <row r="422" spans="1:24" ht="15.75" customHeight="1">
      <c r="A422" s="1188" t="s">
        <v>1227</v>
      </c>
      <c r="B422" s="1188" t="s">
        <v>2679</v>
      </c>
      <c r="C422" s="1190">
        <v>24750</v>
      </c>
      <c r="D422" s="1190">
        <v>4125</v>
      </c>
      <c r="E422" s="1190">
        <v>28875</v>
      </c>
      <c r="F422" s="1188" t="s">
        <v>1099</v>
      </c>
      <c r="G422" s="1188" t="s">
        <v>1165</v>
      </c>
      <c r="H422" s="1188" t="s">
        <v>3845</v>
      </c>
      <c r="I422" s="1154"/>
      <c r="J422" s="1154"/>
      <c r="K422" s="1154"/>
      <c r="L422" s="609" t="str">
        <f t="shared" si="47"/>
        <v>6787</v>
      </c>
      <c r="M422" s="610" t="str">
        <f t="shared" si="48"/>
        <v>TAXES FONCIERES - PIECES</v>
      </c>
      <c r="N422" s="611">
        <f>+IF(OR($Q422=Parametres!$G$2,$Q422=Parametres!$G$3),I422,C422)</f>
        <v>24750</v>
      </c>
      <c r="O422" s="611">
        <f>+IF(OR($Q422=Parametres!$G$2,$Q422=Parametres!$G$3),J422,D422)</f>
        <v>4125</v>
      </c>
      <c r="P422" s="611">
        <f>+IF(OR($Q422=Parametres!$G$2,$Q422=Parametres!$G$3),K422,E422)</f>
        <v>28875</v>
      </c>
      <c r="Q422" s="610" t="str">
        <f t="shared" si="49"/>
        <v>7-Dépenses</v>
      </c>
      <c r="R422" s="609" t="str">
        <f t="shared" si="50"/>
        <v>6187</v>
      </c>
      <c r="S422" s="610" t="str">
        <f t="shared" si="51"/>
        <v>_</v>
      </c>
      <c r="T422" s="612" t="str">
        <f>+VLOOKUP($L422,Data_Validation!$A:$D,1,0)</f>
        <v>6787</v>
      </c>
      <c r="U422" s="612" t="str">
        <f>+VLOOKUP($L422,Data_Validation!$A:$D,3,0)</f>
        <v>Pièces</v>
      </c>
      <c r="V422" s="612" t="str">
        <f>+VLOOKUP($L422,Data_Validation!$A:$D,4,0)</f>
        <v>Taxes foncières</v>
      </c>
      <c r="W422" s="612" t="str">
        <f>+VLOOKUP($L422,Data_Validation!$A:$E,5,0)</f>
        <v>$</v>
      </c>
      <c r="X422" s="612">
        <f>+VLOOKUP($L422,Data_Validation!$A:$F,6,0)</f>
        <v>0</v>
      </c>
    </row>
    <row r="423" spans="1:24" ht="15.75" customHeight="1">
      <c r="A423" s="1188" t="s">
        <v>1228</v>
      </c>
      <c r="B423" s="1188" t="s">
        <v>2682</v>
      </c>
      <c r="C423" s="1190">
        <v>2250</v>
      </c>
      <c r="D423" s="1190">
        <v>375</v>
      </c>
      <c r="E423" s="1190">
        <v>2625</v>
      </c>
      <c r="F423" s="1188" t="s">
        <v>1099</v>
      </c>
      <c r="G423" s="1188" t="s">
        <v>1167</v>
      </c>
      <c r="H423" s="1188" t="s">
        <v>3845</v>
      </c>
      <c r="I423" s="1154"/>
      <c r="J423" s="1154"/>
      <c r="K423" s="1154"/>
      <c r="L423" s="609" t="str">
        <f t="shared" si="47"/>
        <v>6793</v>
      </c>
      <c r="M423" s="610" t="str">
        <f t="shared" si="48"/>
        <v>AUTRES TAXES - PIECES</v>
      </c>
      <c r="N423" s="611">
        <f>+IF(OR($Q423=Parametres!$G$2,$Q423=Parametres!$G$3),I423,C423)</f>
        <v>2250</v>
      </c>
      <c r="O423" s="611">
        <f>+IF(OR($Q423=Parametres!$G$2,$Q423=Parametres!$G$3),J423,D423)</f>
        <v>375</v>
      </c>
      <c r="P423" s="611">
        <f>+IF(OR($Q423=Parametres!$G$2,$Q423=Parametres!$G$3),K423,E423)</f>
        <v>2625</v>
      </c>
      <c r="Q423" s="610" t="str">
        <f t="shared" si="49"/>
        <v>7-Dépenses</v>
      </c>
      <c r="R423" s="609" t="str">
        <f t="shared" si="50"/>
        <v>6193</v>
      </c>
      <c r="S423" s="610" t="str">
        <f t="shared" si="51"/>
        <v>_</v>
      </c>
      <c r="T423" s="612" t="str">
        <f>+VLOOKUP($L423,Data_Validation!$A:$D,1,0)</f>
        <v>6793</v>
      </c>
      <c r="U423" s="612" t="str">
        <f>+VLOOKUP($L423,Data_Validation!$A:$D,3,0)</f>
        <v>Pièces</v>
      </c>
      <c r="V423" s="612" t="str">
        <f>+VLOOKUP($L423,Data_Validation!$A:$D,4,0)</f>
        <v>Taxes d`affaires</v>
      </c>
      <c r="W423" s="612" t="str">
        <f>+VLOOKUP($L423,Data_Validation!$A:$E,5,0)</f>
        <v>$</v>
      </c>
      <c r="X423" s="612">
        <f>+VLOOKUP($L423,Data_Validation!$A:$F,6,0)</f>
        <v>0</v>
      </c>
    </row>
    <row r="424" spans="1:24" ht="15.75" customHeight="1">
      <c r="A424" s="1188" t="s">
        <v>1229</v>
      </c>
      <c r="B424" s="1188" t="s">
        <v>2685</v>
      </c>
      <c r="C424" s="1190">
        <v>16522.490000000002</v>
      </c>
      <c r="D424" s="1190">
        <v>566.75</v>
      </c>
      <c r="E424" s="1190">
        <v>17089.240000000002</v>
      </c>
      <c r="F424" s="1188" t="s">
        <v>1099</v>
      </c>
      <c r="G424" s="1188" t="s">
        <v>1169</v>
      </c>
      <c r="H424" s="1188" t="s">
        <v>3845</v>
      </c>
      <c r="I424" s="1154"/>
      <c r="J424" s="1154"/>
      <c r="K424" s="1154"/>
      <c r="L424" s="609" t="str">
        <f t="shared" si="47"/>
        <v>6794</v>
      </c>
      <c r="M424" s="610" t="str">
        <f t="shared" si="48"/>
        <v>FRAIS PROFESSIONNEL-PIECES</v>
      </c>
      <c r="N424" s="611">
        <f>+IF(OR($Q424=Parametres!$G$2,$Q424=Parametres!$G$3),I424,C424)</f>
        <v>16522.490000000002</v>
      </c>
      <c r="O424" s="611">
        <f>+IF(OR($Q424=Parametres!$G$2,$Q424=Parametres!$G$3),J424,D424)</f>
        <v>566.75</v>
      </c>
      <c r="P424" s="611">
        <f>+IF(OR($Q424=Parametres!$G$2,$Q424=Parametres!$G$3),K424,E424)</f>
        <v>17089.240000000002</v>
      </c>
      <c r="Q424" s="610" t="str">
        <f t="shared" si="49"/>
        <v>7-Dépenses</v>
      </c>
      <c r="R424" s="609" t="str">
        <f t="shared" si="50"/>
        <v>6194</v>
      </c>
      <c r="S424" s="610" t="str">
        <f t="shared" si="51"/>
        <v>_</v>
      </c>
      <c r="T424" s="612" t="str">
        <f>+VLOOKUP($L424,Data_Validation!$A:$D,1,0)</f>
        <v>6794</v>
      </c>
      <c r="U424" s="612" t="str">
        <f>+VLOOKUP($L424,Data_Validation!$A:$D,3,0)</f>
        <v>Pièces</v>
      </c>
      <c r="V424" s="612" t="str">
        <f>+VLOOKUP($L424,Data_Validation!$A:$D,4,0)</f>
        <v>Honoraires</v>
      </c>
      <c r="W424" s="612" t="str">
        <f>+VLOOKUP($L424,Data_Validation!$A:$E,5,0)</f>
        <v>$</v>
      </c>
      <c r="X424" s="612">
        <f>+VLOOKUP($L424,Data_Validation!$A:$F,6,0)</f>
        <v>0</v>
      </c>
    </row>
    <row r="425" spans="1:24" ht="15.75" customHeight="1">
      <c r="A425" s="1188" t="s">
        <v>3872</v>
      </c>
      <c r="B425" s="1188" t="s">
        <v>3873</v>
      </c>
      <c r="C425" s="1190">
        <v>0</v>
      </c>
      <c r="D425" s="1190">
        <v>19344</v>
      </c>
      <c r="E425" s="1190">
        <v>19344</v>
      </c>
      <c r="F425" s="1188" t="s">
        <v>1099</v>
      </c>
      <c r="G425" s="1188" t="s">
        <v>1119</v>
      </c>
      <c r="H425" s="1188" t="s">
        <v>3845</v>
      </c>
      <c r="I425" s="1154"/>
      <c r="J425" s="1154"/>
      <c r="K425" s="1154"/>
      <c r="L425" s="609" t="str">
        <f t="shared" si="47"/>
        <v>7910</v>
      </c>
      <c r="M425" s="610" t="str">
        <f t="shared" si="48"/>
        <v>Salaire Commis N et U</v>
      </c>
      <c r="N425" s="611">
        <f>+IF(OR($Q425=Parametres!$G$2,$Q425=Parametres!$G$3),I425,C425)</f>
        <v>0</v>
      </c>
      <c r="O425" s="611">
        <f>+IF(OR($Q425=Parametres!$G$2,$Q425=Parametres!$G$3),J425,D425)</f>
        <v>19344</v>
      </c>
      <c r="P425" s="611">
        <f>+IF(OR($Q425=Parametres!$G$2,$Q425=Parametres!$G$3),K425,E425)</f>
        <v>19344</v>
      </c>
      <c r="Q425" s="610" t="str">
        <f t="shared" si="49"/>
        <v>7-Dépenses</v>
      </c>
      <c r="R425" s="609" t="str">
        <f t="shared" si="50"/>
        <v>6123</v>
      </c>
      <c r="S425" s="610" t="str">
        <f t="shared" si="51"/>
        <v>_</v>
      </c>
      <c r="T425" s="612" t="str">
        <f>+VLOOKUP($L425,Data_Validation!$A:$D,1,0)</f>
        <v>7910</v>
      </c>
      <c r="U425" s="612" t="str">
        <f>+VLOOKUP($L425,Data_Validation!$A:$D,3,0)</f>
        <v>Véhicules neufs</v>
      </c>
      <c r="V425" s="612" t="str">
        <f>+VLOOKUP($L425,Data_Validation!$A:$D,4,0)</f>
        <v>Salaires commis</v>
      </c>
      <c r="W425" s="612" t="str">
        <f>+VLOOKUP($L425,Data_Validation!$A:$E,5,0)</f>
        <v>$</v>
      </c>
      <c r="X425" s="612">
        <f>+VLOOKUP($L425,Data_Validation!$A:$F,6,0)</f>
        <v>0</v>
      </c>
    </row>
    <row r="426" spans="1:24" ht="15.75" customHeight="1">
      <c r="A426" s="1188" t="s">
        <v>1232</v>
      </c>
      <c r="B426" s="1188" t="s">
        <v>2696</v>
      </c>
      <c r="C426" s="1190">
        <v>-527920.85</v>
      </c>
      <c r="D426" s="1190">
        <v>-84421</v>
      </c>
      <c r="E426" s="1190">
        <v>-612341.85</v>
      </c>
      <c r="F426" s="1188" t="s">
        <v>1230</v>
      </c>
      <c r="G426" s="1188" t="s">
        <v>1231</v>
      </c>
      <c r="H426" s="1188" t="s">
        <v>3845</v>
      </c>
      <c r="I426" s="1154"/>
      <c r="J426" s="1154"/>
      <c r="K426" s="1154"/>
      <c r="L426" s="609" t="str">
        <f t="shared" si="47"/>
        <v>9149</v>
      </c>
      <c r="M426" s="610" t="str">
        <f t="shared" si="48"/>
        <v>REVENU RESERVE VOLKS</v>
      </c>
      <c r="N426" s="611">
        <f>+IF(OR($Q426=Parametres!$G$2,$Q426=Parametres!$G$3),I426,C426)</f>
        <v>-527920.85</v>
      </c>
      <c r="O426" s="611">
        <f>+IF(OR($Q426=Parametres!$G$2,$Q426=Parametres!$G$3),J426,D426)</f>
        <v>-84421</v>
      </c>
      <c r="P426" s="611">
        <f>+IF(OR($Q426=Parametres!$G$2,$Q426=Parametres!$G$3),K426,E426)</f>
        <v>-612341.85</v>
      </c>
      <c r="Q426" s="610" t="str">
        <f t="shared" si="49"/>
        <v>8-Autres revenus</v>
      </c>
      <c r="R426" s="609" t="str">
        <f t="shared" si="50"/>
        <v>9101</v>
      </c>
      <c r="S426" s="610" t="str">
        <f t="shared" si="51"/>
        <v>_</v>
      </c>
      <c r="T426" s="612" t="str">
        <f>+VLOOKUP($L426,Data_Validation!$A:$D,1,0)</f>
        <v>9149</v>
      </c>
      <c r="U426" s="612" t="str">
        <f>+VLOOKUP($L426,Data_Validation!$A:$D,3,0)</f>
        <v>Véhicules neufs</v>
      </c>
      <c r="V426" s="612" t="str">
        <f>+VLOOKUP($L426,Data_Validation!$A:$D,4,0)</f>
        <v>Holdbacks</v>
      </c>
      <c r="W426" s="612" t="str">
        <f>+VLOOKUP($L426,Data_Validation!$A:$E,5,0)</f>
        <v>$</v>
      </c>
      <c r="X426" s="612">
        <f>+VLOOKUP($L426,Data_Validation!$A:$F,6,0)</f>
        <v>0</v>
      </c>
    </row>
    <row r="427" spans="1:24" ht="15.75" customHeight="1">
      <c r="A427" s="1188" t="s">
        <v>1233</v>
      </c>
      <c r="B427" s="1188" t="s">
        <v>1234</v>
      </c>
      <c r="C427" s="1190">
        <v>-50731.96</v>
      </c>
      <c r="D427" s="1190">
        <v>-6298.08</v>
      </c>
      <c r="E427" s="1190">
        <v>-57030.04</v>
      </c>
      <c r="F427" s="1188" t="s">
        <v>1230</v>
      </c>
      <c r="G427" s="1188" t="s">
        <v>1234</v>
      </c>
      <c r="H427" s="1188" t="s">
        <v>3845</v>
      </c>
      <c r="I427" s="1154"/>
      <c r="J427" s="1154"/>
      <c r="K427" s="1154"/>
      <c r="L427" s="609" t="str">
        <f t="shared" si="47"/>
        <v>9152</v>
      </c>
      <c r="M427" s="610" t="str">
        <f t="shared" si="48"/>
        <v>ESCOMPTES SUR ACHAT PIECES</v>
      </c>
      <c r="N427" s="611">
        <f>+IF(OR($Q427=Parametres!$G$2,$Q427=Parametres!$G$3),I427,C427)</f>
        <v>-50731.96</v>
      </c>
      <c r="O427" s="611">
        <f>+IF(OR($Q427=Parametres!$G$2,$Q427=Parametres!$G$3),J427,D427)</f>
        <v>-6298.08</v>
      </c>
      <c r="P427" s="611">
        <f>+IF(OR($Q427=Parametres!$G$2,$Q427=Parametres!$G$3),K427,E427)</f>
        <v>-57030.04</v>
      </c>
      <c r="Q427" s="610" t="str">
        <f t="shared" si="49"/>
        <v>8-Autres revenus</v>
      </c>
      <c r="R427" s="609" t="str">
        <f t="shared" si="50"/>
        <v>9152</v>
      </c>
      <c r="S427" s="610" t="str">
        <f t="shared" si="51"/>
        <v>_</v>
      </c>
      <c r="T427" s="612" t="str">
        <f>+VLOOKUP($L427,Data_Validation!$A:$D,1,0)</f>
        <v>9152</v>
      </c>
      <c r="U427" s="612" t="str">
        <f>+VLOOKUP($L427,Data_Validation!$A:$D,3,0)</f>
        <v>Pièces</v>
      </c>
      <c r="V427" s="612" t="str">
        <f>+VLOOKUP($L427,Data_Validation!$A:$D,4,0)</f>
        <v>Escomptes</v>
      </c>
      <c r="W427" s="612" t="str">
        <f>+VLOOKUP($L427,Data_Validation!$A:$E,5,0)</f>
        <v>$</v>
      </c>
      <c r="X427" s="612">
        <f>+VLOOKUP($L427,Data_Validation!$A:$F,6,0)</f>
        <v>0</v>
      </c>
    </row>
    <row r="428" spans="1:24" ht="15.75" customHeight="1">
      <c r="A428" s="1188" t="s">
        <v>3359</v>
      </c>
      <c r="B428" s="1188" t="s">
        <v>2701</v>
      </c>
      <c r="C428" s="1190">
        <v>-143210</v>
      </c>
      <c r="D428" s="1190">
        <v>-21700</v>
      </c>
      <c r="E428" s="1190">
        <v>-164910</v>
      </c>
      <c r="F428" s="1188" t="s">
        <v>1230</v>
      </c>
      <c r="G428" s="1188" t="s">
        <v>3360</v>
      </c>
      <c r="H428" s="1188" t="s">
        <v>3845</v>
      </c>
      <c r="I428" s="1154"/>
      <c r="J428" s="1154"/>
      <c r="K428" s="1154"/>
      <c r="L428" s="609" t="str">
        <f t="shared" si="47"/>
        <v>9157</v>
      </c>
      <c r="M428" s="610" t="str">
        <f t="shared" si="48"/>
        <v>BONUS EXPERIENCE + - NV</v>
      </c>
      <c r="N428" s="611">
        <f>+IF(OR($Q428=Parametres!$G$2,$Q428=Parametres!$G$3),I428,C428)</f>
        <v>-143210</v>
      </c>
      <c r="O428" s="611">
        <f>+IF(OR($Q428=Parametres!$G$2,$Q428=Parametres!$G$3),J428,D428)</f>
        <v>-21700</v>
      </c>
      <c r="P428" s="611">
        <f>+IF(OR($Q428=Parametres!$G$2,$Q428=Parametres!$G$3),K428,E428)</f>
        <v>-164910</v>
      </c>
      <c r="Q428" s="610" t="str">
        <f t="shared" si="49"/>
        <v>8-Autres revenus</v>
      </c>
      <c r="R428" s="609" t="str">
        <f t="shared" si="50"/>
        <v>915</v>
      </c>
      <c r="S428" s="610" t="str">
        <f t="shared" si="51"/>
        <v>_</v>
      </c>
      <c r="T428" s="612" t="str">
        <f>+VLOOKUP($L428,Data_Validation!$A:$D,1,0)</f>
        <v>9157</v>
      </c>
      <c r="U428" s="612" t="str">
        <f>+VLOOKUP($L428,Data_Validation!$A:$D,3,0)</f>
        <v>Véhicules neufs</v>
      </c>
      <c r="V428" s="612" t="str">
        <f>+VLOOKUP($L428,Data_Validation!$A:$D,4,0)</f>
        <v>Programme neuf 1</v>
      </c>
      <c r="W428" s="612" t="str">
        <f>+VLOOKUP($L428,Data_Validation!$A:$E,5,0)</f>
        <v>$</v>
      </c>
      <c r="X428" s="612">
        <f>+VLOOKUP($L428,Data_Validation!$A:$F,6,0)</f>
        <v>0</v>
      </c>
    </row>
    <row r="429" spans="1:24" ht="15.75" customHeight="1">
      <c r="A429" s="1188" t="s">
        <v>1235</v>
      </c>
      <c r="B429" s="1188" t="s">
        <v>1236</v>
      </c>
      <c r="C429" s="1190">
        <v>-8034.65</v>
      </c>
      <c r="D429" s="1190">
        <v>-1930.32</v>
      </c>
      <c r="E429" s="1190">
        <v>-9964.9699999999993</v>
      </c>
      <c r="F429" s="1188" t="s">
        <v>1230</v>
      </c>
      <c r="G429" s="1188" t="s">
        <v>1236</v>
      </c>
      <c r="H429" s="1188" t="s">
        <v>3845</v>
      </c>
      <c r="I429" s="1154"/>
      <c r="J429" s="1154"/>
      <c r="K429" s="1154"/>
      <c r="L429" s="609" t="str">
        <f t="shared" si="47"/>
        <v>9161</v>
      </c>
      <c r="M429" s="610" t="str">
        <f t="shared" si="48"/>
        <v>REVENU FIN ET ASS NEUF</v>
      </c>
      <c r="N429" s="611">
        <f>+IF(OR($Q429=Parametres!$G$2,$Q429=Parametres!$G$3),I429,C429)</f>
        <v>-8034.65</v>
      </c>
      <c r="O429" s="611">
        <f>+IF(OR($Q429=Parametres!$G$2,$Q429=Parametres!$G$3),J429,D429)</f>
        <v>-1930.32</v>
      </c>
      <c r="P429" s="611">
        <f>+IF(OR($Q429=Parametres!$G$2,$Q429=Parametres!$G$3),K429,E429)</f>
        <v>-9964.9699999999993</v>
      </c>
      <c r="Q429" s="610" t="str">
        <f t="shared" si="49"/>
        <v>8-Autres revenus</v>
      </c>
      <c r="R429" s="609" t="str">
        <f t="shared" si="50"/>
        <v>9161</v>
      </c>
      <c r="S429" s="610" t="str">
        <f t="shared" si="51"/>
        <v>_</v>
      </c>
      <c r="T429" s="612" t="str">
        <f>+VLOOKUP($L429,Data_Validation!$A:$D,1,0)</f>
        <v>9161</v>
      </c>
      <c r="U429" s="612" t="str">
        <f>+VLOOKUP($L429,Data_Validation!$A:$D,3,0)</f>
        <v>Véhicules neufs</v>
      </c>
      <c r="V429" s="612" t="str">
        <f>+VLOOKUP($L429,Data_Validation!$A:$D,4,0)</f>
        <v>Rev. Finances</v>
      </c>
      <c r="W429" s="612" t="str">
        <f>+VLOOKUP($L429,Data_Validation!$A:$E,5,0)</f>
        <v>$</v>
      </c>
      <c r="X429" s="612" t="str">
        <f>+VLOOKUP($L429,Data_Validation!$A:$F,6,0)</f>
        <v>Oui</v>
      </c>
    </row>
    <row r="430" spans="1:24" ht="15.75" customHeight="1">
      <c r="A430" s="1188" t="s">
        <v>1239</v>
      </c>
      <c r="B430" s="1188" t="s">
        <v>1240</v>
      </c>
      <c r="C430" s="1190">
        <v>-36570.22</v>
      </c>
      <c r="D430" s="1190">
        <v>-15115.57</v>
      </c>
      <c r="E430" s="1190">
        <v>-51685.79</v>
      </c>
      <c r="F430" s="1188" t="s">
        <v>1230</v>
      </c>
      <c r="G430" s="1188" t="s">
        <v>1240</v>
      </c>
      <c r="H430" s="1188" t="s">
        <v>3845</v>
      </c>
      <c r="I430" s="1154"/>
      <c r="J430" s="1154"/>
      <c r="K430" s="1154"/>
      <c r="L430" s="609" t="str">
        <f t="shared" si="47"/>
        <v>9163</v>
      </c>
      <c r="M430" s="610" t="str">
        <f t="shared" si="48"/>
        <v>RESERVE FIN ET ASS VEH OCCASION</v>
      </c>
      <c r="N430" s="611">
        <f>+IF(OR($Q430=Parametres!$G$2,$Q430=Parametres!$G$3),I430,C430)</f>
        <v>-36570.22</v>
      </c>
      <c r="O430" s="611">
        <f>+IF(OR($Q430=Parametres!$G$2,$Q430=Parametres!$G$3),J430,D430)</f>
        <v>-15115.57</v>
      </c>
      <c r="P430" s="611">
        <f>+IF(OR($Q430=Parametres!$G$2,$Q430=Parametres!$G$3),K430,E430)</f>
        <v>-51685.79</v>
      </c>
      <c r="Q430" s="610" t="str">
        <f t="shared" si="49"/>
        <v>8-Autres revenus</v>
      </c>
      <c r="R430" s="609" t="str">
        <f t="shared" si="50"/>
        <v>9163</v>
      </c>
      <c r="S430" s="610" t="str">
        <f t="shared" si="51"/>
        <v>_</v>
      </c>
      <c r="T430" s="612" t="str">
        <f>+VLOOKUP($L430,Data_Validation!$A:$D,1,0)</f>
        <v>9163</v>
      </c>
      <c r="U430" s="612" t="str">
        <f>+VLOOKUP($L430,Data_Validation!$A:$D,3,0)</f>
        <v>Véhicules usagés</v>
      </c>
      <c r="V430" s="612" t="str">
        <f>+VLOOKUP($L430,Data_Validation!$A:$D,4,0)</f>
        <v>Rev. Finances</v>
      </c>
      <c r="W430" s="612" t="str">
        <f>+VLOOKUP($L430,Data_Validation!$A:$E,5,0)</f>
        <v>$</v>
      </c>
      <c r="X430" s="612" t="str">
        <f>+VLOOKUP($L430,Data_Validation!$A:$F,6,0)</f>
        <v>Oui</v>
      </c>
    </row>
    <row r="431" spans="1:24" ht="15.75" customHeight="1">
      <c r="A431" s="1188" t="s">
        <v>1242</v>
      </c>
      <c r="B431" s="1188" t="s">
        <v>2708</v>
      </c>
      <c r="C431" s="1190">
        <v>-4391.29</v>
      </c>
      <c r="D431" s="1190">
        <v>0</v>
      </c>
      <c r="E431" s="1190">
        <v>-4391.29</v>
      </c>
      <c r="F431" s="1188" t="s">
        <v>1230</v>
      </c>
      <c r="G431" s="1188" t="s">
        <v>1236</v>
      </c>
      <c r="H431" s="1188" t="s">
        <v>3845</v>
      </c>
      <c r="I431" s="1155"/>
      <c r="J431" s="1155"/>
      <c r="K431" s="1155"/>
      <c r="L431" s="609" t="str">
        <f t="shared" si="47"/>
        <v>9165</v>
      </c>
      <c r="M431" s="610" t="str">
        <f t="shared" si="48"/>
        <v>REV. ASSURANCES NEUF</v>
      </c>
      <c r="N431" s="611">
        <f>+IF(OR($Q431=Parametres!$G$2,$Q431=Parametres!$G$3),I431,C431)</f>
        <v>-4391.29</v>
      </c>
      <c r="O431" s="611">
        <f>+IF(OR($Q431=Parametres!$G$2,$Q431=Parametres!$G$3),J431,D431)</f>
        <v>0</v>
      </c>
      <c r="P431" s="611">
        <f>+IF(OR($Q431=Parametres!$G$2,$Q431=Parametres!$G$3),K431,E431)</f>
        <v>-4391.29</v>
      </c>
      <c r="Q431" s="610" t="str">
        <f t="shared" si="49"/>
        <v>8-Autres revenus</v>
      </c>
      <c r="R431" s="609" t="str">
        <f t="shared" si="50"/>
        <v>9161</v>
      </c>
      <c r="S431" s="610" t="str">
        <f t="shared" si="51"/>
        <v>_</v>
      </c>
      <c r="T431" s="612" t="str">
        <f>+VLOOKUP($L431,Data_Validation!$A:$D,1,0)</f>
        <v>9165</v>
      </c>
      <c r="U431" s="612" t="str">
        <f>+VLOOKUP($L431,Data_Validation!$A:$D,3,0)</f>
        <v>Véhicules neufs</v>
      </c>
      <c r="V431" s="612" t="str">
        <f>+VLOOKUP($L431,Data_Validation!$A:$D,4,0)</f>
        <v>Rev. Autres</v>
      </c>
      <c r="W431" s="612" t="str">
        <f>+VLOOKUP($L431,Data_Validation!$A:$E,5,0)</f>
        <v>$</v>
      </c>
      <c r="X431" s="612" t="str">
        <f>+VLOOKUP($L431,Data_Validation!$A:$F,6,0)</f>
        <v>Oui</v>
      </c>
    </row>
    <row r="432" spans="1:24" ht="15.75" customHeight="1">
      <c r="A432" s="1188" t="s">
        <v>1243</v>
      </c>
      <c r="B432" s="1188" t="s">
        <v>2711</v>
      </c>
      <c r="C432" s="1190">
        <v>-4460.25</v>
      </c>
      <c r="D432" s="1190">
        <v>0</v>
      </c>
      <c r="E432" s="1190">
        <v>-4460.25</v>
      </c>
      <c r="F432" s="1188" t="s">
        <v>1230</v>
      </c>
      <c r="G432" s="1188" t="s">
        <v>1240</v>
      </c>
      <c r="H432" s="1188" t="s">
        <v>3845</v>
      </c>
      <c r="I432" s="1155"/>
      <c r="J432" s="1155"/>
      <c r="K432" s="1155"/>
      <c r="L432" s="609" t="str">
        <f t="shared" si="47"/>
        <v>9167</v>
      </c>
      <c r="M432" s="610" t="str">
        <f t="shared" si="48"/>
        <v>REV ASSURANCE USAGE</v>
      </c>
      <c r="N432" s="611">
        <f>+IF(OR($Q432=Parametres!$G$2,$Q432=Parametres!$G$3),I432,C432)</f>
        <v>-4460.25</v>
      </c>
      <c r="O432" s="611">
        <f>+IF(OR($Q432=Parametres!$G$2,$Q432=Parametres!$G$3),J432,D432)</f>
        <v>0</v>
      </c>
      <c r="P432" s="611">
        <f>+IF(OR($Q432=Parametres!$G$2,$Q432=Parametres!$G$3),K432,E432)</f>
        <v>-4460.25</v>
      </c>
      <c r="Q432" s="610" t="str">
        <f t="shared" si="49"/>
        <v>8-Autres revenus</v>
      </c>
      <c r="R432" s="609" t="str">
        <f t="shared" si="50"/>
        <v>9163</v>
      </c>
      <c r="S432" s="610" t="str">
        <f t="shared" si="51"/>
        <v>_</v>
      </c>
      <c r="T432" s="612" t="str">
        <f>+VLOOKUP($L432,Data_Validation!$A:$D,1,0)</f>
        <v>9167</v>
      </c>
      <c r="U432" s="612" t="str">
        <f>+VLOOKUP($L432,Data_Validation!$A:$D,3,0)</f>
        <v>Véhicules usagés</v>
      </c>
      <c r="V432" s="612" t="str">
        <f>+VLOOKUP($L432,Data_Validation!$A:$D,4,0)</f>
        <v>Rev. Autres</v>
      </c>
      <c r="W432" s="612" t="str">
        <f>+VLOOKUP($L432,Data_Validation!$A:$E,5,0)</f>
        <v>$</v>
      </c>
      <c r="X432" s="612" t="str">
        <f>+VLOOKUP($L432,Data_Validation!$A:$F,6,0)</f>
        <v>Oui</v>
      </c>
    </row>
    <row r="433" spans="1:24" ht="15.75" customHeight="1">
      <c r="A433" s="1188" t="s">
        <v>1246</v>
      </c>
      <c r="B433" s="1188" t="s">
        <v>2714</v>
      </c>
      <c r="C433" s="1190">
        <v>-55297</v>
      </c>
      <c r="D433" s="1190">
        <v>-15805</v>
      </c>
      <c r="E433" s="1190">
        <v>-71102</v>
      </c>
      <c r="F433" s="1188" t="s">
        <v>1230</v>
      </c>
      <c r="G433" s="1188" t="s">
        <v>1236</v>
      </c>
      <c r="H433" s="1188" t="s">
        <v>3845</v>
      </c>
      <c r="I433" s="1189"/>
      <c r="J433" s="1189"/>
      <c r="K433" s="1189"/>
      <c r="L433" s="609" t="str">
        <f t="shared" si="47"/>
        <v>9169</v>
      </c>
      <c r="M433" s="610" t="str">
        <f t="shared" si="48"/>
        <v>REV GARANTIE PROLONGEE NEUF</v>
      </c>
      <c r="N433" s="611">
        <f>+IF(OR($Q433=Parametres!$G$2,$Q433=Parametres!$G$3),I433,C433)</f>
        <v>-55297</v>
      </c>
      <c r="O433" s="611">
        <f>+IF(OR($Q433=Parametres!$G$2,$Q433=Parametres!$G$3),J433,D433)</f>
        <v>-15805</v>
      </c>
      <c r="P433" s="611">
        <f>+IF(OR($Q433=Parametres!$G$2,$Q433=Parametres!$G$3),K433,E433)</f>
        <v>-71102</v>
      </c>
      <c r="Q433" s="610" t="str">
        <f t="shared" si="49"/>
        <v>8-Autres revenus</v>
      </c>
      <c r="R433" s="609" t="str">
        <f t="shared" si="50"/>
        <v>9161</v>
      </c>
      <c r="S433" s="610" t="str">
        <f t="shared" si="51"/>
        <v>_</v>
      </c>
      <c r="T433" s="612" t="str">
        <f>+VLOOKUP($L433,Data_Validation!$A:$D,1,0)</f>
        <v>9169</v>
      </c>
      <c r="U433" s="612" t="str">
        <f>+VLOOKUP($L433,Data_Validation!$A:$D,3,0)</f>
        <v>Véhicules neufs</v>
      </c>
      <c r="V433" s="612" t="str">
        <f>+VLOOKUP($L433,Data_Validation!$A:$D,4,0)</f>
        <v>Rev. Protections</v>
      </c>
      <c r="W433" s="612" t="str">
        <f>+VLOOKUP($L433,Data_Validation!$A:$E,5,0)</f>
        <v>$</v>
      </c>
      <c r="X433" s="612" t="str">
        <f>+VLOOKUP($L433,Data_Validation!$A:$F,6,0)</f>
        <v>Oui</v>
      </c>
    </row>
    <row r="434" spans="1:24" ht="15.75" customHeight="1">
      <c r="A434" s="1188" t="s">
        <v>1247</v>
      </c>
      <c r="B434" s="1188" t="s">
        <v>2717</v>
      </c>
      <c r="C434" s="1190">
        <v>-282277.39</v>
      </c>
      <c r="D434" s="1190">
        <v>-59399.85</v>
      </c>
      <c r="E434" s="1190">
        <v>-341677.24</v>
      </c>
      <c r="F434" s="1188" t="s">
        <v>1230</v>
      </c>
      <c r="G434" s="1188" t="s">
        <v>1236</v>
      </c>
      <c r="H434" s="1188" t="s">
        <v>3845</v>
      </c>
      <c r="I434" s="1189"/>
      <c r="J434" s="1189"/>
      <c r="K434" s="1189"/>
      <c r="L434" s="609" t="str">
        <f t="shared" si="47"/>
        <v>9170</v>
      </c>
      <c r="M434" s="610" t="str">
        <f t="shared" si="48"/>
        <v>PROFIT PROTECTIONS - NEUFS</v>
      </c>
      <c r="N434" s="611">
        <f>+IF(OR($Q434=Parametres!$G$2,$Q434=Parametres!$G$3),I434,C434)</f>
        <v>-282277.39</v>
      </c>
      <c r="O434" s="611">
        <f>+IF(OR($Q434=Parametres!$G$2,$Q434=Parametres!$G$3),J434,D434)</f>
        <v>-59399.85</v>
      </c>
      <c r="P434" s="611">
        <f>+IF(OR($Q434=Parametres!$G$2,$Q434=Parametres!$G$3),K434,E434)</f>
        <v>-341677.24</v>
      </c>
      <c r="Q434" s="610" t="str">
        <f t="shared" si="49"/>
        <v>8-Autres revenus</v>
      </c>
      <c r="R434" s="609" t="str">
        <f t="shared" si="50"/>
        <v>9161</v>
      </c>
      <c r="S434" s="610" t="str">
        <f t="shared" si="51"/>
        <v>_</v>
      </c>
      <c r="T434" s="612" t="str">
        <f>+VLOOKUP($L434,Data_Validation!$A:$D,1,0)</f>
        <v>9170</v>
      </c>
      <c r="U434" s="612" t="str">
        <f>+VLOOKUP($L434,Data_Validation!$A:$D,3,0)</f>
        <v>Véhicules neufs</v>
      </c>
      <c r="V434" s="612" t="str">
        <f>+VLOOKUP($L434,Data_Validation!$A:$D,4,0)</f>
        <v>Rev. Protections</v>
      </c>
      <c r="W434" s="612" t="str">
        <f>+VLOOKUP($L434,Data_Validation!$A:$E,5,0)</f>
        <v>$</v>
      </c>
      <c r="X434" s="612" t="str">
        <f>+VLOOKUP($L434,Data_Validation!$A:$F,6,0)</f>
        <v>Oui</v>
      </c>
    </row>
    <row r="435" spans="1:24" ht="15.75" customHeight="1">
      <c r="A435" s="1188" t="s">
        <v>1248</v>
      </c>
      <c r="B435" s="1188" t="s">
        <v>2720</v>
      </c>
      <c r="C435" s="1190">
        <v>-103722</v>
      </c>
      <c r="D435" s="1190">
        <v>-35500</v>
      </c>
      <c r="E435" s="1190">
        <v>-139222</v>
      </c>
      <c r="F435" s="1188" t="s">
        <v>1230</v>
      </c>
      <c r="G435" s="1188" t="s">
        <v>1240</v>
      </c>
      <c r="H435" s="1188" t="s">
        <v>3845</v>
      </c>
      <c r="I435" s="1189"/>
      <c r="J435" s="1189"/>
      <c r="K435" s="1189"/>
      <c r="L435" s="609" t="str">
        <f t="shared" si="47"/>
        <v>9171</v>
      </c>
      <c r="M435" s="610" t="str">
        <f t="shared" si="48"/>
        <v>REV GARANTIE PROLONGEE USAGE</v>
      </c>
      <c r="N435" s="611">
        <f>+IF(OR($Q435=Parametres!$G$2,$Q435=Parametres!$G$3),I435,C435)</f>
        <v>-103722</v>
      </c>
      <c r="O435" s="611">
        <f>+IF(OR($Q435=Parametres!$G$2,$Q435=Parametres!$G$3),J435,D435)</f>
        <v>-35500</v>
      </c>
      <c r="P435" s="611">
        <f>+IF(OR($Q435=Parametres!$G$2,$Q435=Parametres!$G$3),K435,E435)</f>
        <v>-139222</v>
      </c>
      <c r="Q435" s="610" t="str">
        <f t="shared" si="49"/>
        <v>8-Autres revenus</v>
      </c>
      <c r="R435" s="609" t="str">
        <f t="shared" si="50"/>
        <v>9163</v>
      </c>
      <c r="S435" s="610" t="str">
        <f t="shared" si="51"/>
        <v>_</v>
      </c>
      <c r="T435" s="612" t="str">
        <f>+VLOOKUP($L435,Data_Validation!$A:$D,1,0)</f>
        <v>9171</v>
      </c>
      <c r="U435" s="612" t="str">
        <f>+VLOOKUP($L435,Data_Validation!$A:$D,3,0)</f>
        <v>Véhicules usagés</v>
      </c>
      <c r="V435" s="612" t="str">
        <f>+VLOOKUP($L435,Data_Validation!$A:$D,4,0)</f>
        <v>Rev. Protections</v>
      </c>
      <c r="W435" s="612" t="str">
        <f>+VLOOKUP($L435,Data_Validation!$A:$E,5,0)</f>
        <v>$</v>
      </c>
      <c r="X435" s="612" t="str">
        <f>+VLOOKUP($L435,Data_Validation!$A:$F,6,0)</f>
        <v>Oui</v>
      </c>
    </row>
    <row r="436" spans="1:24" ht="15.75" customHeight="1">
      <c r="A436" s="1188" t="s">
        <v>1251</v>
      </c>
      <c r="B436" s="1188" t="s">
        <v>2723</v>
      </c>
      <c r="C436" s="1190">
        <v>-87713.48</v>
      </c>
      <c r="D436" s="1190">
        <v>-14597.16</v>
      </c>
      <c r="E436" s="1190">
        <v>-102310.64</v>
      </c>
      <c r="F436" s="1188" t="s">
        <v>1230</v>
      </c>
      <c r="G436" s="1188" t="s">
        <v>1240</v>
      </c>
      <c r="H436" s="1188" t="s">
        <v>3845</v>
      </c>
      <c r="I436" s="1189"/>
      <c r="J436" s="1189"/>
      <c r="K436" s="1189"/>
      <c r="L436" s="609" t="str">
        <f t="shared" si="47"/>
        <v>9172</v>
      </c>
      <c r="M436" s="610" t="str">
        <f t="shared" si="48"/>
        <v>PROFIT PROTECTIONS - USAGES</v>
      </c>
      <c r="N436" s="611">
        <f>+IF(OR($Q436=Parametres!$G$2,$Q436=Parametres!$G$3),I436,C436)</f>
        <v>-87713.48</v>
      </c>
      <c r="O436" s="611">
        <f>+IF(OR($Q436=Parametres!$G$2,$Q436=Parametres!$G$3),J436,D436)</f>
        <v>-14597.16</v>
      </c>
      <c r="P436" s="611">
        <f>+IF(OR($Q436=Parametres!$G$2,$Q436=Parametres!$G$3),K436,E436)</f>
        <v>-102310.64</v>
      </c>
      <c r="Q436" s="610" t="str">
        <f t="shared" si="49"/>
        <v>8-Autres revenus</v>
      </c>
      <c r="R436" s="609" t="str">
        <f t="shared" si="50"/>
        <v>9163</v>
      </c>
      <c r="S436" s="610" t="str">
        <f t="shared" si="51"/>
        <v>_</v>
      </c>
      <c r="T436" s="612" t="str">
        <f>+VLOOKUP($L436,Data_Validation!$A:$D,1,0)</f>
        <v>9172</v>
      </c>
      <c r="U436" s="612" t="str">
        <f>+VLOOKUP($L436,Data_Validation!$A:$D,3,0)</f>
        <v>Véhicules usagés</v>
      </c>
      <c r="V436" s="612" t="str">
        <f>+VLOOKUP($L436,Data_Validation!$A:$D,4,0)</f>
        <v>Rev. Protections</v>
      </c>
      <c r="W436" s="612" t="str">
        <f>+VLOOKUP($L436,Data_Validation!$A:$E,5,0)</f>
        <v>$</v>
      </c>
      <c r="X436" s="612" t="str">
        <f>+VLOOKUP($L436,Data_Validation!$A:$F,6,0)</f>
        <v>Oui</v>
      </c>
    </row>
    <row r="437" spans="1:24" ht="15.75" customHeight="1">
      <c r="A437" s="1188" t="s">
        <v>1254</v>
      </c>
      <c r="B437" s="1188" t="s">
        <v>2726</v>
      </c>
      <c r="C437" s="1190">
        <v>-175639</v>
      </c>
      <c r="D437" s="1190">
        <v>-43645</v>
      </c>
      <c r="E437" s="1190">
        <v>-219284</v>
      </c>
      <c r="F437" s="1188" t="s">
        <v>1230</v>
      </c>
      <c r="G437" s="1188" t="s">
        <v>1255</v>
      </c>
      <c r="H437" s="1188" t="s">
        <v>3845</v>
      </c>
      <c r="I437" s="1189"/>
      <c r="J437" s="1189"/>
      <c r="K437" s="1189"/>
      <c r="L437" s="609" t="str">
        <f t="shared" si="47"/>
        <v>9173</v>
      </c>
      <c r="M437" s="610" t="str">
        <f t="shared" si="48"/>
        <v>FRAIS ADMIN. VOLKS</v>
      </c>
      <c r="N437" s="611">
        <f>+IF(OR($Q437=Parametres!$G$2,$Q437=Parametres!$G$3),I437,C437)</f>
        <v>-175639</v>
      </c>
      <c r="O437" s="611">
        <f>+IF(OR($Q437=Parametres!$G$2,$Q437=Parametres!$G$3),J437,D437)</f>
        <v>-43645</v>
      </c>
      <c r="P437" s="611">
        <f>+IF(OR($Q437=Parametres!$G$2,$Q437=Parametres!$G$3),K437,E437)</f>
        <v>-219284</v>
      </c>
      <c r="Q437" s="610" t="str">
        <f t="shared" si="49"/>
        <v>8-Autres revenus</v>
      </c>
      <c r="R437" s="609" t="str">
        <f t="shared" si="50"/>
        <v>9191</v>
      </c>
      <c r="S437" s="610" t="str">
        <f t="shared" si="51"/>
        <v>_</v>
      </c>
      <c r="T437" s="612" t="str">
        <f>+VLOOKUP($L437,Data_Validation!$A:$D,1,0)</f>
        <v>9173</v>
      </c>
      <c r="U437" s="612" t="str">
        <f>+VLOOKUP($L437,Data_Validation!$A:$D,3,0)</f>
        <v>Véhicules neufs</v>
      </c>
      <c r="V437" s="612" t="str">
        <f>+VLOOKUP($L437,Data_Validation!$A:$D,4,0)</f>
        <v>Frais administration</v>
      </c>
      <c r="W437" s="612" t="str">
        <f>+VLOOKUP($L437,Data_Validation!$A:$E,5,0)</f>
        <v>$</v>
      </c>
      <c r="X437" s="612">
        <f>+VLOOKUP($L437,Data_Validation!$A:$F,6,0)</f>
        <v>0</v>
      </c>
    </row>
    <row r="438" spans="1:24" ht="15.75" customHeight="1">
      <c r="A438" s="1188" t="s">
        <v>1256</v>
      </c>
      <c r="B438" s="1188" t="s">
        <v>3348</v>
      </c>
      <c r="C438" s="1190">
        <v>-80691</v>
      </c>
      <c r="D438" s="1190">
        <v>-23500</v>
      </c>
      <c r="E438" s="1190">
        <v>-104191</v>
      </c>
      <c r="F438" s="1188" t="s">
        <v>1230</v>
      </c>
      <c r="G438" s="1188" t="s">
        <v>1255</v>
      </c>
      <c r="H438" s="1188" t="s">
        <v>3845</v>
      </c>
      <c r="I438" s="1189"/>
      <c r="J438" s="1189"/>
      <c r="K438" s="1189"/>
      <c r="L438" s="609" t="str">
        <f t="shared" ref="L438:L446" si="52">TEXT(B438,0)</f>
        <v>9174</v>
      </c>
      <c r="M438" s="610" t="str">
        <f t="shared" ref="M438:M446" si="53">+A438</f>
        <v>FRAIS ADMIN. VW USAGE</v>
      </c>
      <c r="N438" s="611">
        <f>+IF(OR($Q438=Parametres!$G$2,$Q438=Parametres!$G$3),I438,C438)</f>
        <v>-80691</v>
      </c>
      <c r="O438" s="611">
        <f>+IF(OR($Q438=Parametres!$G$2,$Q438=Parametres!$G$3),J438,D438)</f>
        <v>-23500</v>
      </c>
      <c r="P438" s="611">
        <f>+IF(OR($Q438=Parametres!$G$2,$Q438=Parametres!$G$3),K438,E438)</f>
        <v>-104191</v>
      </c>
      <c r="Q438" s="610" t="str">
        <f t="shared" ref="Q438:Q446" si="54">+F438</f>
        <v>8-Autres revenus</v>
      </c>
      <c r="R438" s="609" t="str">
        <f t="shared" ref="R438:R446" si="55">+G438</f>
        <v>9191</v>
      </c>
      <c r="S438" s="610" t="str">
        <f t="shared" ref="S438:S446" si="56">+H438</f>
        <v>_</v>
      </c>
      <c r="T438" s="612" t="str">
        <f>+VLOOKUP($L438,Data_Validation!$A:$D,1,0)</f>
        <v>9174</v>
      </c>
      <c r="U438" s="612" t="str">
        <f>+VLOOKUP($L438,Data_Validation!$A:$D,3,0)</f>
        <v>Véhicules usagés</v>
      </c>
      <c r="V438" s="612" t="str">
        <f>+VLOOKUP($L438,Data_Validation!$A:$D,4,0)</f>
        <v>Frais administration</v>
      </c>
      <c r="W438" s="612" t="str">
        <f>+VLOOKUP($L438,Data_Validation!$A:$E,5,0)</f>
        <v>$</v>
      </c>
      <c r="X438" s="612">
        <f>+VLOOKUP($L438,Data_Validation!$A:$F,6,0)</f>
        <v>0</v>
      </c>
    </row>
    <row r="439" spans="1:24" ht="15.75" customHeight="1">
      <c r="A439" s="1188" t="s">
        <v>1257</v>
      </c>
      <c r="B439" s="1188" t="s">
        <v>1255</v>
      </c>
      <c r="C439" s="1190">
        <v>-111294.92</v>
      </c>
      <c r="D439" s="1190">
        <v>-70.19</v>
      </c>
      <c r="E439" s="1190">
        <v>-111365.11</v>
      </c>
      <c r="F439" s="1188" t="s">
        <v>1230</v>
      </c>
      <c r="G439" s="1188" t="s">
        <v>1255</v>
      </c>
      <c r="H439" s="1188" t="s">
        <v>3845</v>
      </c>
      <c r="I439" s="1189"/>
      <c r="J439" s="1189"/>
      <c r="K439" s="1189"/>
      <c r="L439" s="609" t="str">
        <f t="shared" si="52"/>
        <v>9191</v>
      </c>
      <c r="M439" s="610" t="str">
        <f t="shared" si="53"/>
        <v>REVENUS DIVERS</v>
      </c>
      <c r="N439" s="611">
        <f>+IF(OR($Q439=Parametres!$G$2,$Q439=Parametres!$G$3),I439,C439)</f>
        <v>-111294.92</v>
      </c>
      <c r="O439" s="611">
        <f>+IF(OR($Q439=Parametres!$G$2,$Q439=Parametres!$G$3),J439,D439)</f>
        <v>-70.19</v>
      </c>
      <c r="P439" s="611">
        <f>+IF(OR($Q439=Parametres!$G$2,$Q439=Parametres!$G$3),K439,E439)</f>
        <v>-111365.11</v>
      </c>
      <c r="Q439" s="610" t="str">
        <f t="shared" si="54"/>
        <v>8-Autres revenus</v>
      </c>
      <c r="R439" s="609" t="str">
        <f t="shared" si="55"/>
        <v>9191</v>
      </c>
      <c r="S439" s="610" t="str">
        <f t="shared" si="56"/>
        <v>_</v>
      </c>
      <c r="T439" s="612" t="str">
        <f>+VLOOKUP($L439,Data_Validation!$A:$D,1,0)</f>
        <v>9191</v>
      </c>
      <c r="U439" s="612" t="str">
        <f>+VLOOKUP($L439,Data_Validation!$A:$D,3,0)</f>
        <v>TOTAL  DES  REVENUS  ET  DÉPENSES</v>
      </c>
      <c r="V439" s="612" t="str">
        <f>+VLOOKUP($L439,Data_Validation!$A:$D,4,0)</f>
        <v>Revenus autres</v>
      </c>
      <c r="W439" s="612" t="str">
        <f>+VLOOKUP($L439,Data_Validation!$A:$E,5,0)</f>
        <v>$</v>
      </c>
      <c r="X439" s="612">
        <f>+VLOOKUP($L439,Data_Validation!$A:$F,6,0)</f>
        <v>0</v>
      </c>
    </row>
    <row r="440" spans="1:24" ht="15.75" customHeight="1">
      <c r="A440" s="1188" t="s">
        <v>1261</v>
      </c>
      <c r="B440" s="1188" t="s">
        <v>2736</v>
      </c>
      <c r="C440" s="1190">
        <v>124650.95</v>
      </c>
      <c r="D440" s="1190">
        <v>24745.119999999999</v>
      </c>
      <c r="E440" s="1190">
        <v>149396.07</v>
      </c>
      <c r="F440" s="1188" t="s">
        <v>1259</v>
      </c>
      <c r="G440" s="1188" t="s">
        <v>1260</v>
      </c>
      <c r="H440" s="1188" t="s">
        <v>3845</v>
      </c>
      <c r="I440" s="1189"/>
      <c r="J440" s="1189"/>
      <c r="K440" s="1189"/>
      <c r="L440" s="609" t="str">
        <f t="shared" si="52"/>
        <v>9404</v>
      </c>
      <c r="M440" s="610" t="str">
        <f t="shared" si="53"/>
        <v>INTERETS SUR PRET</v>
      </c>
      <c r="N440" s="611">
        <f>+IF(OR($Q440=Parametres!$G$2,$Q440=Parametres!$G$3),I440,C440)</f>
        <v>124650.95</v>
      </c>
      <c r="O440" s="611">
        <f>+IF(OR($Q440=Parametres!$G$2,$Q440=Parametres!$G$3),J440,D440)</f>
        <v>24745.119999999999</v>
      </c>
      <c r="P440" s="611">
        <f>+IF(OR($Q440=Parametres!$G$2,$Q440=Parametres!$G$3),K440,E440)</f>
        <v>149396.07</v>
      </c>
      <c r="Q440" s="610" t="str">
        <f t="shared" si="54"/>
        <v>9-Autres déductions</v>
      </c>
      <c r="R440" s="609" t="str">
        <f t="shared" si="55"/>
        <v>9402</v>
      </c>
      <c r="S440" s="610" t="str">
        <f t="shared" si="56"/>
        <v>_</v>
      </c>
      <c r="T440" s="612" t="str">
        <f>+VLOOKUP($L440,Data_Validation!$A:$D,1,0)</f>
        <v>9404</v>
      </c>
      <c r="U440" s="612" t="str">
        <f>+VLOOKUP($L440,Data_Validation!$A:$D,3,0)</f>
        <v>TOTAL  DES  REVENUS  ET  DÉPENSES</v>
      </c>
      <c r="V440" s="612" t="str">
        <f>+VLOOKUP($L440,Data_Validation!$A:$D,4,0)</f>
        <v>Intérêts sur prêt</v>
      </c>
      <c r="W440" s="612" t="str">
        <f>+VLOOKUP($L440,Data_Validation!$A:$E,5,0)</f>
        <v>$</v>
      </c>
      <c r="X440" s="612">
        <f>+VLOOKUP($L440,Data_Validation!$A:$F,6,0)</f>
        <v>0</v>
      </c>
    </row>
    <row r="441" spans="1:24" ht="15.75" customHeight="1">
      <c r="A441" s="1188" t="s">
        <v>3813</v>
      </c>
      <c r="B441" s="1188" t="s">
        <v>3814</v>
      </c>
      <c r="C441" s="1190">
        <v>-124651.23</v>
      </c>
      <c r="D441" s="1190">
        <v>-24745.119999999999</v>
      </c>
      <c r="E441" s="1190">
        <v>-149396.35</v>
      </c>
      <c r="F441" s="1188" t="s">
        <v>1259</v>
      </c>
      <c r="G441" s="1188" t="s">
        <v>3866</v>
      </c>
      <c r="H441" s="1188" t="s">
        <v>3845</v>
      </c>
      <c r="I441" s="1189"/>
      <c r="J441" s="1189"/>
      <c r="K441" s="1189"/>
      <c r="L441" s="609" t="str">
        <f t="shared" si="52"/>
        <v>9405</v>
      </c>
      <c r="M441" s="610" t="str">
        <f t="shared" si="53"/>
        <v>Revenus d'interets floor plan</v>
      </c>
      <c r="N441" s="611">
        <f>+IF(OR($Q441=Parametres!$G$2,$Q441=Parametres!$G$3),I441,C441)</f>
        <v>-124651.23</v>
      </c>
      <c r="O441" s="611">
        <f>+IF(OR($Q441=Parametres!$G$2,$Q441=Parametres!$G$3),J441,D441)</f>
        <v>-24745.119999999999</v>
      </c>
      <c r="P441" s="611">
        <f>+IF(OR($Q441=Parametres!$G$2,$Q441=Parametres!$G$3),K441,E441)</f>
        <v>-149396.35</v>
      </c>
      <c r="Q441" s="610" t="str">
        <f t="shared" si="54"/>
        <v>9-Autres déductions</v>
      </c>
      <c r="R441" s="609" t="str">
        <f t="shared" si="55"/>
        <v>940</v>
      </c>
      <c r="S441" s="610" t="str">
        <f t="shared" si="56"/>
        <v>_</v>
      </c>
      <c r="T441" s="612" t="str">
        <f>+VLOOKUP($L441,Data_Validation!$A:$D,1,0)</f>
        <v>9405</v>
      </c>
      <c r="U441" s="612" t="str">
        <f>+VLOOKUP($L441,Data_Validation!$A:$D,3,0)</f>
        <v>Autres</v>
      </c>
      <c r="V441" s="612" t="str">
        <f>+VLOOKUP($L441,Data_Validation!$A:$D,4,0)</f>
        <v>Revenus d'intérêts floor plan</v>
      </c>
      <c r="W441" s="612" t="str">
        <f>+VLOOKUP($L441,Data_Validation!$A:$E,5,0)</f>
        <v>$</v>
      </c>
      <c r="X441" s="612">
        <f>+VLOOKUP($L441,Data_Validation!$A:$F,6,0)</f>
        <v>0</v>
      </c>
    </row>
    <row r="442" spans="1:24" ht="15.75" customHeight="1">
      <c r="A442" s="1188" t="s">
        <v>1244</v>
      </c>
      <c r="B442" s="1188" t="s">
        <v>1245</v>
      </c>
      <c r="C442" s="1189"/>
      <c r="D442" s="1189"/>
      <c r="E442" s="1189"/>
      <c r="F442" s="1188" t="s">
        <v>7</v>
      </c>
      <c r="G442" s="1188" t="s">
        <v>1240</v>
      </c>
      <c r="H442" s="1188" t="s">
        <v>3845</v>
      </c>
      <c r="I442" s="1190">
        <v>-8</v>
      </c>
      <c r="J442" s="1190">
        <v>0</v>
      </c>
      <c r="K442" s="1190">
        <v>-8</v>
      </c>
      <c r="L442" s="609" t="str">
        <f t="shared" si="52"/>
        <v>9167@</v>
      </c>
      <c r="M442" s="610" t="str">
        <f t="shared" si="53"/>
        <v>ASSURANCE VIE USAGE</v>
      </c>
      <c r="N442" s="611">
        <f>+IF(OR($Q442=Parametres!$G$2,$Q442=Parametres!$G$3),I442,C442)</f>
        <v>-8</v>
      </c>
      <c r="O442" s="611">
        <f>+IF(OR($Q442=Parametres!$G$2,$Q442=Parametres!$G$3),J442,D442)</f>
        <v>0</v>
      </c>
      <c r="P442" s="611">
        <f>+IF(OR($Q442=Parametres!$G$2,$Q442=Parametres!$G$3),K442,E442)</f>
        <v>-8</v>
      </c>
      <c r="Q442" s="610" t="str">
        <f t="shared" si="54"/>
        <v>10-Compte compteur</v>
      </c>
      <c r="R442" s="609" t="str">
        <f t="shared" si="55"/>
        <v>9163</v>
      </c>
      <c r="S442" s="610" t="str">
        <f t="shared" si="56"/>
        <v>_</v>
      </c>
      <c r="T442" s="612" t="str">
        <f>+VLOOKUP($L442,Data_Validation!$A:$D,1,0)</f>
        <v>9167@</v>
      </c>
      <c r="U442" s="612" t="str">
        <f>+VLOOKUP($L442,Data_Validation!$A:$D,3,0)</f>
        <v>Véhicules usagés</v>
      </c>
      <c r="V442" s="612">
        <f>+VLOOKUP($L442,Data_Validation!$A:$D,4,0)</f>
        <v>0</v>
      </c>
      <c r="W442" s="612" t="str">
        <f>+VLOOKUP($L442,Data_Validation!$A:$E,5,0)</f>
        <v>NB</v>
      </c>
      <c r="X442" s="612">
        <f>+VLOOKUP($L442,Data_Validation!$A:$F,6,0)</f>
        <v>0</v>
      </c>
    </row>
    <row r="443" spans="1:24" ht="15.75" customHeight="1">
      <c r="A443" s="1188" t="s">
        <v>3289</v>
      </c>
      <c r="B443" s="1188" t="s">
        <v>3290</v>
      </c>
      <c r="C443" s="1189"/>
      <c r="D443" s="1189"/>
      <c r="E443" s="1189"/>
      <c r="F443" s="1188" t="s">
        <v>7</v>
      </c>
      <c r="G443" s="1188" t="s">
        <v>1236</v>
      </c>
      <c r="H443" s="1188" t="s">
        <v>3845</v>
      </c>
      <c r="I443" s="1190">
        <v>-41</v>
      </c>
      <c r="J443" s="1190">
        <v>-11</v>
      </c>
      <c r="K443" s="1190">
        <v>-52</v>
      </c>
      <c r="L443" s="609" t="str">
        <f t="shared" si="52"/>
        <v>9169@</v>
      </c>
      <c r="M443" s="610" t="str">
        <f t="shared" si="53"/>
        <v>VENTES PEINTURE</v>
      </c>
      <c r="N443" s="611">
        <f>+IF(OR($Q443=Parametres!$G$2,$Q443=Parametres!$G$3),I443,C443)</f>
        <v>-41</v>
      </c>
      <c r="O443" s="611">
        <f>+IF(OR($Q443=Parametres!$G$2,$Q443=Parametres!$G$3),J443,D443)</f>
        <v>-11</v>
      </c>
      <c r="P443" s="611">
        <f>+IF(OR($Q443=Parametres!$G$2,$Q443=Parametres!$G$3),K443,E443)</f>
        <v>-52</v>
      </c>
      <c r="Q443" s="610" t="str">
        <f t="shared" si="54"/>
        <v>10-Compte compteur</v>
      </c>
      <c r="R443" s="609" t="str">
        <f t="shared" si="55"/>
        <v>9161</v>
      </c>
      <c r="S443" s="610" t="str">
        <f t="shared" si="56"/>
        <v>_</v>
      </c>
      <c r="T443" s="612" t="str">
        <f>+VLOOKUP($L443,Data_Validation!$A:$D,1,0)</f>
        <v>9169@</v>
      </c>
      <c r="U443" s="612">
        <f>+VLOOKUP($L443,Data_Validation!$A:$D,3,0)</f>
        <v>0</v>
      </c>
      <c r="V443" s="612">
        <f>+VLOOKUP($L443,Data_Validation!$A:$D,4,0)</f>
        <v>0</v>
      </c>
      <c r="W443" s="612" t="str">
        <f>+VLOOKUP($L443,Data_Validation!$A:$E,5,0)</f>
        <v>NB</v>
      </c>
      <c r="X443" s="612">
        <f>+VLOOKUP($L443,Data_Validation!$A:$F,6,0)</f>
        <v>0</v>
      </c>
    </row>
    <row r="444" spans="1:24" ht="15.75" customHeight="1">
      <c r="A444" s="1188" t="s">
        <v>1249</v>
      </c>
      <c r="B444" s="1188" t="s">
        <v>1250</v>
      </c>
      <c r="C444" s="1189"/>
      <c r="D444" s="1189"/>
      <c r="E444" s="1189"/>
      <c r="F444" s="1188" t="s">
        <v>7</v>
      </c>
      <c r="G444" s="1188" t="s">
        <v>1240</v>
      </c>
      <c r="H444" s="1188" t="s">
        <v>3845</v>
      </c>
      <c r="I444" s="1190">
        <v>-67</v>
      </c>
      <c r="J444" s="1190">
        <v>-21</v>
      </c>
      <c r="K444" s="1190">
        <v>-88</v>
      </c>
      <c r="L444" s="609" t="str">
        <f t="shared" si="52"/>
        <v>9171@</v>
      </c>
      <c r="M444" s="610" t="str">
        <f t="shared" si="53"/>
        <v>VENTE CHIMIQUE USAGE</v>
      </c>
      <c r="N444" s="611">
        <f>+IF(OR($Q444=Parametres!$G$2,$Q444=Parametres!$G$3),I444,C444)</f>
        <v>-67</v>
      </c>
      <c r="O444" s="611">
        <f>+IF(OR($Q444=Parametres!$G$2,$Q444=Parametres!$G$3),J444,D444)</f>
        <v>-21</v>
      </c>
      <c r="P444" s="611">
        <f>+IF(OR($Q444=Parametres!$G$2,$Q444=Parametres!$G$3),K444,E444)</f>
        <v>-88</v>
      </c>
      <c r="Q444" s="610" t="str">
        <f t="shared" si="54"/>
        <v>10-Compte compteur</v>
      </c>
      <c r="R444" s="609" t="str">
        <f t="shared" si="55"/>
        <v>9163</v>
      </c>
      <c r="S444" s="610" t="str">
        <f t="shared" si="56"/>
        <v>_</v>
      </c>
      <c r="T444" s="612" t="str">
        <f>+VLOOKUP($L444,Data_Validation!$A:$D,1,0)</f>
        <v>9171@</v>
      </c>
      <c r="U444" s="612" t="str">
        <f>+VLOOKUP($L444,Data_Validation!$A:$D,3,0)</f>
        <v>Véhicules usagés</v>
      </c>
      <c r="V444" s="612">
        <f>+VLOOKUP($L444,Data_Validation!$A:$D,4,0)</f>
        <v>0</v>
      </c>
      <c r="W444" s="612" t="str">
        <f>+VLOOKUP($L444,Data_Validation!$A:$E,5,0)</f>
        <v>NB</v>
      </c>
      <c r="X444" s="612">
        <f>+VLOOKUP($L444,Data_Validation!$A:$F,6,0)</f>
        <v>0</v>
      </c>
    </row>
    <row r="445" spans="1:24" ht="15.75" customHeight="1">
      <c r="A445" s="1188" t="s">
        <v>787</v>
      </c>
      <c r="B445" s="1188" t="s">
        <v>788</v>
      </c>
      <c r="C445" s="1189"/>
      <c r="D445" s="1189"/>
      <c r="E445" s="1189"/>
      <c r="F445" s="1188" t="s">
        <v>7</v>
      </c>
      <c r="G445" s="1188" t="s">
        <v>786</v>
      </c>
      <c r="H445" s="1188" t="s">
        <v>3845</v>
      </c>
      <c r="I445" s="1190">
        <v>154</v>
      </c>
      <c r="J445" s="1190">
        <v>-44</v>
      </c>
      <c r="K445" s="1190">
        <v>110</v>
      </c>
      <c r="L445" s="609" t="str">
        <f t="shared" si="52"/>
        <v>1402@</v>
      </c>
      <c r="M445" s="610" t="str">
        <f t="shared" si="53"/>
        <v># DE INVENTAIRE VEH.NEUFS VW</v>
      </c>
      <c r="N445" s="611">
        <f>+IF(OR($Q445=Parametres!$G$2,$Q445=Parametres!$G$3),I445,C445)</f>
        <v>154</v>
      </c>
      <c r="O445" s="611">
        <f>+IF(OR($Q445=Parametres!$G$2,$Q445=Parametres!$G$3),J445,D445)</f>
        <v>-44</v>
      </c>
      <c r="P445" s="611">
        <f>+IF(OR($Q445=Parametres!$G$2,$Q445=Parametres!$G$3),K445,E445)</f>
        <v>110</v>
      </c>
      <c r="Q445" s="610" t="str">
        <f t="shared" si="54"/>
        <v>10-Compte compteur</v>
      </c>
      <c r="R445" s="609" t="str">
        <f t="shared" si="55"/>
        <v>1402</v>
      </c>
      <c r="S445" s="610" t="str">
        <f t="shared" si="56"/>
        <v>_</v>
      </c>
      <c r="T445" s="612" t="str">
        <f>+VLOOKUP($L445,Data_Validation!$A:$D,1,0)</f>
        <v>1402@</v>
      </c>
      <c r="U445" s="612" t="str">
        <f>+VLOOKUP($L445,Data_Validation!$A:$D,3,0)</f>
        <v>Bilan</v>
      </c>
      <c r="V445" s="612">
        <f>+VLOOKUP($L445,Data_Validation!$A:$D,4,0)</f>
        <v>0</v>
      </c>
      <c r="W445" s="612" t="str">
        <f>+VLOOKUP($L445,Data_Validation!$A:$E,5,0)</f>
        <v>NB</v>
      </c>
      <c r="X445" s="612">
        <f>+VLOOKUP($L445,Data_Validation!$A:$F,6,0)</f>
        <v>0</v>
      </c>
    </row>
    <row r="446" spans="1:24" ht="15.75" customHeight="1">
      <c r="A446" s="1188" t="s">
        <v>794</v>
      </c>
      <c r="B446" s="1188" t="s">
        <v>795</v>
      </c>
      <c r="C446" s="1189"/>
      <c r="D446" s="1189"/>
      <c r="E446" s="1189"/>
      <c r="F446" s="1188" t="s">
        <v>7</v>
      </c>
      <c r="G446" s="1188" t="s">
        <v>793</v>
      </c>
      <c r="H446" s="1188" t="s">
        <v>3845</v>
      </c>
      <c r="I446" s="1190">
        <v>58</v>
      </c>
      <c r="J446" s="1190">
        <v>-3</v>
      </c>
      <c r="K446" s="1190">
        <v>55</v>
      </c>
      <c r="L446" s="609" t="str">
        <f t="shared" si="52"/>
        <v>1416@</v>
      </c>
      <c r="M446" s="610" t="str">
        <f t="shared" si="53"/>
        <v># DE INV. VEH. USAGE VW</v>
      </c>
      <c r="N446" s="611">
        <f>+IF(OR($Q446=Parametres!$G$2,$Q446=Parametres!$G$3),I446,C446)</f>
        <v>58</v>
      </c>
      <c r="O446" s="611">
        <f>+IF(OR($Q446=Parametres!$G$2,$Q446=Parametres!$G$3),J446,D446)</f>
        <v>-3</v>
      </c>
      <c r="P446" s="611">
        <f>+IF(OR($Q446=Parametres!$G$2,$Q446=Parametres!$G$3),K446,E446)</f>
        <v>55</v>
      </c>
      <c r="Q446" s="610" t="str">
        <f t="shared" si="54"/>
        <v>10-Compte compteur</v>
      </c>
      <c r="R446" s="609" t="str">
        <f t="shared" si="55"/>
        <v>1416</v>
      </c>
      <c r="S446" s="610" t="str">
        <f t="shared" si="56"/>
        <v>_</v>
      </c>
      <c r="T446" s="612" t="str">
        <f>+VLOOKUP($L446,Data_Validation!$A:$D,1,0)</f>
        <v>1416@</v>
      </c>
      <c r="U446" s="612" t="str">
        <f>+VLOOKUP($L446,Data_Validation!$A:$D,3,0)</f>
        <v>Bilan</v>
      </c>
      <c r="V446" s="612">
        <f>+VLOOKUP($L446,Data_Validation!$A:$D,4,0)</f>
        <v>0</v>
      </c>
      <c r="W446" s="612" t="str">
        <f>+VLOOKUP($L446,Data_Validation!$A:$E,5,0)</f>
        <v>NB</v>
      </c>
      <c r="X446" s="612">
        <f>+VLOOKUP($L446,Data_Validation!$A:$F,6,0)</f>
        <v>0</v>
      </c>
    </row>
    <row r="447" spans="1:24" ht="15.75" customHeight="1">
      <c r="A447" s="1188" t="s">
        <v>910</v>
      </c>
      <c r="B447" s="1188" t="s">
        <v>911</v>
      </c>
      <c r="C447" s="1189"/>
      <c r="D447" s="1189"/>
      <c r="E447" s="1189"/>
      <c r="F447" s="1188" t="s">
        <v>7</v>
      </c>
      <c r="G447" s="1188" t="s">
        <v>909</v>
      </c>
      <c r="H447" s="1188" t="s">
        <v>3845</v>
      </c>
      <c r="I447" s="1190">
        <v>-50</v>
      </c>
      <c r="J447" s="1190">
        <v>-16</v>
      </c>
      <c r="K447" s="1190">
        <v>-66</v>
      </c>
      <c r="L447" s="609" t="str">
        <f t="shared" ref="L447:L460" si="57">TEXT(B447,0)</f>
        <v>4100@</v>
      </c>
      <c r="M447" s="610" t="str">
        <f t="shared" ref="M447:M460" si="58">+A447</f>
        <v>RESERVE</v>
      </c>
      <c r="N447" s="611">
        <f>+IF(OR($Q447=Parametres!$G$2,$Q447=Parametres!$G$3),I447,C447)</f>
        <v>-50</v>
      </c>
      <c r="O447" s="611">
        <f>+IF(OR($Q447=Parametres!$G$2,$Q447=Parametres!$G$3),J447,D447)</f>
        <v>-16</v>
      </c>
      <c r="P447" s="611">
        <f>+IF(OR($Q447=Parametres!$G$2,$Q447=Parametres!$G$3),K447,E447)</f>
        <v>-66</v>
      </c>
      <c r="Q447" s="610" t="str">
        <f t="shared" ref="Q447:Q460" si="59">+F447</f>
        <v>10-Compte compteur</v>
      </c>
      <c r="R447" s="609" t="str">
        <f t="shared" ref="R447:R460" si="60">+G447</f>
        <v>4100</v>
      </c>
      <c r="S447" s="610" t="str">
        <f t="shared" ref="S447:S460" si="61">+H447</f>
        <v>_</v>
      </c>
      <c r="T447" s="612" t="str">
        <f>+VLOOKUP($L447,Data_Validation!$A:$D,1,0)</f>
        <v>4100@</v>
      </c>
      <c r="U447" s="612" t="str">
        <f>+VLOOKUP($L447,Data_Validation!$A:$D,3,0)</f>
        <v>Véhicules usagés</v>
      </c>
      <c r="V447" s="612" t="str">
        <f>+VLOOKUP($L447,Data_Validation!$A:$D,4,0)</f>
        <v>Rachat bail</v>
      </c>
      <c r="W447" s="612" t="str">
        <f>+VLOOKUP($L447,Data_Validation!$A:$E,5,0)</f>
        <v>NB</v>
      </c>
      <c r="X447" s="612">
        <f>+VLOOKUP($L447,Data_Validation!$A:$F,6,0)</f>
        <v>0</v>
      </c>
    </row>
    <row r="448" spans="1:24" ht="15.75" customHeight="1">
      <c r="A448" s="1188" t="s">
        <v>914</v>
      </c>
      <c r="B448" s="1188" t="s">
        <v>915</v>
      </c>
      <c r="C448" s="1189"/>
      <c r="D448" s="1189"/>
      <c r="E448" s="1189"/>
      <c r="F448" s="1188" t="s">
        <v>7</v>
      </c>
      <c r="G448" s="1188" t="s">
        <v>913</v>
      </c>
      <c r="H448" s="1188" t="s">
        <v>3845</v>
      </c>
      <c r="I448" s="1190">
        <v>-12</v>
      </c>
      <c r="J448" s="1190">
        <v>-1</v>
      </c>
      <c r="K448" s="1190">
        <v>-13</v>
      </c>
      <c r="L448" s="609" t="str">
        <f t="shared" si="57"/>
        <v>4109@</v>
      </c>
      <c r="M448" s="610" t="str">
        <f t="shared" si="58"/>
        <v># DE VENTE - GOLF R</v>
      </c>
      <c r="N448" s="611">
        <f>+IF(OR($Q448=Parametres!$G$2,$Q448=Parametres!$G$3),I448,C448)</f>
        <v>-12</v>
      </c>
      <c r="O448" s="611">
        <f>+IF(OR($Q448=Parametres!$G$2,$Q448=Parametres!$G$3),J448,D448)</f>
        <v>-1</v>
      </c>
      <c r="P448" s="611">
        <f>+IF(OR($Q448=Parametres!$G$2,$Q448=Parametres!$G$3),K448,E448)</f>
        <v>-13</v>
      </c>
      <c r="Q448" s="610" t="str">
        <f t="shared" si="59"/>
        <v>10-Compte compteur</v>
      </c>
      <c r="R448" s="609" t="str">
        <f t="shared" si="60"/>
        <v>4109</v>
      </c>
      <c r="S448" s="610" t="str">
        <f t="shared" si="61"/>
        <v>_</v>
      </c>
      <c r="T448" s="612" t="str">
        <f>+VLOOKUP($L448,Data_Validation!$A:$D,1,0)</f>
        <v>4109@</v>
      </c>
      <c r="U448" s="612" t="str">
        <f>+VLOOKUP($L448,Data_Validation!$A:$D,3,0)</f>
        <v>Véhicules neufs</v>
      </c>
      <c r="V448" s="612" t="str">
        <f>+VLOOKUP($L448,Data_Validation!$A:$D,4,0)</f>
        <v>Autos détail</v>
      </c>
      <c r="W448" s="612" t="str">
        <f>+VLOOKUP($L448,Data_Validation!$A:$E,5,0)</f>
        <v>NB</v>
      </c>
      <c r="X448" s="612">
        <f>+VLOOKUP($L448,Data_Validation!$A:$F,6,0)</f>
        <v>0</v>
      </c>
    </row>
    <row r="449" spans="1:24" ht="15.75" customHeight="1">
      <c r="A449" s="1188" t="s">
        <v>916</v>
      </c>
      <c r="B449" s="1188" t="s">
        <v>918</v>
      </c>
      <c r="C449" s="1189"/>
      <c r="D449" s="1189"/>
      <c r="E449" s="1189"/>
      <c r="F449" s="1188" t="s">
        <v>7</v>
      </c>
      <c r="G449" s="1188" t="s">
        <v>917</v>
      </c>
      <c r="H449" s="1188" t="s">
        <v>3845</v>
      </c>
      <c r="I449" s="1190">
        <v>-30</v>
      </c>
      <c r="J449" s="1190">
        <v>-15</v>
      </c>
      <c r="K449" s="1190">
        <v>-45</v>
      </c>
      <c r="L449" s="609" t="str">
        <f t="shared" si="57"/>
        <v>4111@</v>
      </c>
      <c r="M449" s="610" t="str">
        <f t="shared" si="58"/>
        <v>JETTA/ JETTA GLI</v>
      </c>
      <c r="N449" s="611">
        <f>+IF(OR($Q449=Parametres!$G$2,$Q449=Parametres!$G$3),I449,C449)</f>
        <v>-30</v>
      </c>
      <c r="O449" s="611">
        <f>+IF(OR($Q449=Parametres!$G$2,$Q449=Parametres!$G$3),J449,D449)</f>
        <v>-15</v>
      </c>
      <c r="P449" s="611">
        <f>+IF(OR($Q449=Parametres!$G$2,$Q449=Parametres!$G$3),K449,E449)</f>
        <v>-45</v>
      </c>
      <c r="Q449" s="610" t="str">
        <f t="shared" si="59"/>
        <v>10-Compte compteur</v>
      </c>
      <c r="R449" s="609" t="str">
        <f t="shared" si="60"/>
        <v>4111</v>
      </c>
      <c r="S449" s="610" t="str">
        <f t="shared" si="61"/>
        <v>_</v>
      </c>
      <c r="T449" s="612" t="str">
        <f>+VLOOKUP($L449,Data_Validation!$A:$D,1,0)</f>
        <v>4111@</v>
      </c>
      <c r="U449" s="612" t="str">
        <f>+VLOOKUP($L449,Data_Validation!$A:$D,3,0)</f>
        <v>Véhicules neufs</v>
      </c>
      <c r="V449" s="612" t="str">
        <f>+VLOOKUP($L449,Data_Validation!$A:$D,4,0)</f>
        <v>Autos détail</v>
      </c>
      <c r="W449" s="612" t="str">
        <f>+VLOOKUP($L449,Data_Validation!$A:$E,5,0)</f>
        <v>NB</v>
      </c>
      <c r="X449" s="612">
        <f>+VLOOKUP($L449,Data_Validation!$A:$F,6,0)</f>
        <v>0</v>
      </c>
    </row>
    <row r="450" spans="1:24" ht="15.75" customHeight="1">
      <c r="A450" s="1188" t="s">
        <v>921</v>
      </c>
      <c r="B450" s="1188" t="s">
        <v>922</v>
      </c>
      <c r="C450" s="1189"/>
      <c r="D450" s="1189"/>
      <c r="E450" s="1189"/>
      <c r="F450" s="1188" t="s">
        <v>7</v>
      </c>
      <c r="G450" s="1188" t="s">
        <v>923</v>
      </c>
      <c r="H450" s="1188" t="s">
        <v>3845</v>
      </c>
      <c r="I450" s="1190">
        <v>-88</v>
      </c>
      <c r="J450" s="1190">
        <v>-7</v>
      </c>
      <c r="K450" s="1190">
        <v>-95</v>
      </c>
      <c r="L450" s="609" t="str">
        <f t="shared" si="57"/>
        <v>4118@</v>
      </c>
      <c r="M450" s="610" t="str">
        <f t="shared" si="58"/>
        <v>TAOS</v>
      </c>
      <c r="N450" s="611">
        <f>+IF(OR($Q450=Parametres!$G$2,$Q450=Parametres!$G$3),I450,C450)</f>
        <v>-88</v>
      </c>
      <c r="O450" s="611">
        <f>+IF(OR($Q450=Parametres!$G$2,$Q450=Parametres!$G$3),J450,D450)</f>
        <v>-7</v>
      </c>
      <c r="P450" s="611">
        <f>+IF(OR($Q450=Parametres!$G$2,$Q450=Parametres!$G$3),K450,E450)</f>
        <v>-95</v>
      </c>
      <c r="Q450" s="610" t="str">
        <f t="shared" si="59"/>
        <v>10-Compte compteur</v>
      </c>
      <c r="R450" s="609" t="str">
        <f t="shared" si="60"/>
        <v>411</v>
      </c>
      <c r="S450" s="610" t="str">
        <f t="shared" si="61"/>
        <v>_</v>
      </c>
      <c r="T450" s="612" t="str">
        <f>+VLOOKUP($L450,Data_Validation!$A:$D,1,0)</f>
        <v>4118@</v>
      </c>
      <c r="U450" s="612" t="str">
        <f>+VLOOKUP($L450,Data_Validation!$A:$D,3,0)</f>
        <v>Véhicules neufs</v>
      </c>
      <c r="V450" s="612" t="str">
        <f>+VLOOKUP($L450,Data_Validation!$A:$D,4,0)</f>
        <v>Camions détail</v>
      </c>
      <c r="W450" s="612" t="str">
        <f>+VLOOKUP($L450,Data_Validation!$A:$E,5,0)</f>
        <v>NB</v>
      </c>
      <c r="X450" s="612">
        <f>+VLOOKUP($L450,Data_Validation!$A:$F,6,0)</f>
        <v>0</v>
      </c>
    </row>
    <row r="451" spans="1:24" ht="15.75" customHeight="1">
      <c r="A451" s="1188" t="s">
        <v>926</v>
      </c>
      <c r="B451" s="1188" t="s">
        <v>927</v>
      </c>
      <c r="C451" s="1189"/>
      <c r="D451" s="1189"/>
      <c r="E451" s="1189"/>
      <c r="F451" s="1188" t="s">
        <v>7</v>
      </c>
      <c r="G451" s="1188" t="s">
        <v>925</v>
      </c>
      <c r="H451" s="1188" t="s">
        <v>3845</v>
      </c>
      <c r="I451" s="1190">
        <v>-30</v>
      </c>
      <c r="J451" s="1190">
        <v>-9</v>
      </c>
      <c r="K451" s="1190">
        <v>-39</v>
      </c>
      <c r="L451" s="609" t="str">
        <f t="shared" si="57"/>
        <v>4119@</v>
      </c>
      <c r="M451" s="610" t="str">
        <f t="shared" si="58"/>
        <v># DE VTE - ATLAS</v>
      </c>
      <c r="N451" s="611">
        <f>+IF(OR($Q451=Parametres!$G$2,$Q451=Parametres!$G$3),I451,C451)</f>
        <v>-30</v>
      </c>
      <c r="O451" s="611">
        <f>+IF(OR($Q451=Parametres!$G$2,$Q451=Parametres!$G$3),J451,D451)</f>
        <v>-9</v>
      </c>
      <c r="P451" s="611">
        <f>+IF(OR($Q451=Parametres!$G$2,$Q451=Parametres!$G$3),K451,E451)</f>
        <v>-39</v>
      </c>
      <c r="Q451" s="610" t="str">
        <f t="shared" si="59"/>
        <v>10-Compte compteur</v>
      </c>
      <c r="R451" s="609" t="str">
        <f t="shared" si="60"/>
        <v>4119</v>
      </c>
      <c r="S451" s="610" t="str">
        <f t="shared" si="61"/>
        <v>_</v>
      </c>
      <c r="T451" s="612" t="str">
        <f>+VLOOKUP($L451,Data_Validation!$A:$D,1,0)</f>
        <v>4119@</v>
      </c>
      <c r="U451" s="612" t="str">
        <f>+VLOOKUP($L451,Data_Validation!$A:$D,3,0)</f>
        <v>Véhicules neufs</v>
      </c>
      <c r="V451" s="612" t="str">
        <f>+VLOOKUP($L451,Data_Validation!$A:$D,4,0)</f>
        <v>Camions détail</v>
      </c>
      <c r="W451" s="612" t="str">
        <f>+VLOOKUP($L451,Data_Validation!$A:$E,5,0)</f>
        <v>NB</v>
      </c>
      <c r="X451" s="612">
        <f>+VLOOKUP($L451,Data_Validation!$A:$F,6,0)</f>
        <v>0</v>
      </c>
    </row>
    <row r="452" spans="1:24" ht="15.75" customHeight="1">
      <c r="A452" s="1188" t="s">
        <v>929</v>
      </c>
      <c r="B452" s="1188" t="s">
        <v>930</v>
      </c>
      <c r="C452" s="1189"/>
      <c r="D452" s="1189"/>
      <c r="E452" s="1189"/>
      <c r="F452" s="1188" t="s">
        <v>7</v>
      </c>
      <c r="G452" s="1188" t="s">
        <v>3293</v>
      </c>
      <c r="H452" s="1188" t="s">
        <v>3845</v>
      </c>
      <c r="I452" s="1190">
        <v>-8</v>
      </c>
      <c r="J452" s="1190">
        <v>0</v>
      </c>
      <c r="K452" s="1190">
        <v>-8</v>
      </c>
      <c r="L452" s="609" t="str">
        <f t="shared" si="57"/>
        <v>4121@</v>
      </c>
      <c r="M452" s="610" t="str">
        <f t="shared" si="58"/>
        <v># DE VTE - ATLAS CROSS SPORT</v>
      </c>
      <c r="N452" s="611">
        <f>+IF(OR($Q452=Parametres!$G$2,$Q452=Parametres!$G$3),I452,C452)</f>
        <v>-8</v>
      </c>
      <c r="O452" s="611">
        <f>+IF(OR($Q452=Parametres!$G$2,$Q452=Parametres!$G$3),J452,D452)</f>
        <v>0</v>
      </c>
      <c r="P452" s="611">
        <f>+IF(OR($Q452=Parametres!$G$2,$Q452=Parametres!$G$3),K452,E452)</f>
        <v>-8</v>
      </c>
      <c r="Q452" s="610" t="str">
        <f t="shared" si="59"/>
        <v>10-Compte compteur</v>
      </c>
      <c r="R452" s="609" t="str">
        <f t="shared" si="60"/>
        <v>4121</v>
      </c>
      <c r="S452" s="610" t="str">
        <f t="shared" si="61"/>
        <v>_</v>
      </c>
      <c r="T452" s="612" t="str">
        <f>+VLOOKUP($L452,Data_Validation!$A:$D,1,0)</f>
        <v>4121@</v>
      </c>
      <c r="U452" s="612" t="str">
        <f>+VLOOKUP($L452,Data_Validation!$A:$D,3,0)</f>
        <v>Véhicules neufs</v>
      </c>
      <c r="V452" s="612" t="str">
        <f>+VLOOKUP($L452,Data_Validation!$A:$D,4,0)</f>
        <v>Camions détail</v>
      </c>
      <c r="W452" s="612" t="str">
        <f>+VLOOKUP($L452,Data_Validation!$A:$E,5,0)</f>
        <v>NB</v>
      </c>
      <c r="X452" s="612">
        <f>+VLOOKUP($L452,Data_Validation!$A:$F,6,0)</f>
        <v>0</v>
      </c>
    </row>
    <row r="453" spans="1:24" ht="15" customHeight="1">
      <c r="A453" s="1188" t="s">
        <v>933</v>
      </c>
      <c r="B453" s="1188" t="s">
        <v>934</v>
      </c>
      <c r="C453" s="1189"/>
      <c r="D453" s="1189"/>
      <c r="E453" s="1189"/>
      <c r="F453" s="1188" t="s">
        <v>7</v>
      </c>
      <c r="G453" s="1188" t="s">
        <v>932</v>
      </c>
      <c r="H453" s="1188" t="s">
        <v>3845</v>
      </c>
      <c r="I453" s="1190">
        <v>-9</v>
      </c>
      <c r="J453" s="1190">
        <v>-2</v>
      </c>
      <c r="K453" s="1190">
        <v>-11</v>
      </c>
      <c r="L453" s="609" t="str">
        <f t="shared" si="57"/>
        <v>4127@</v>
      </c>
      <c r="M453" s="610" t="str">
        <f t="shared" si="58"/>
        <v># DE VENTE - GOLF GTI</v>
      </c>
      <c r="N453" s="611">
        <f>+IF(OR($Q453=Parametres!$G$2,$Q453=Parametres!$G$3),I453,C453)</f>
        <v>-9</v>
      </c>
      <c r="O453" s="611">
        <f>+IF(OR($Q453=Parametres!$G$2,$Q453=Parametres!$G$3),J453,D453)</f>
        <v>-2</v>
      </c>
      <c r="P453" s="611">
        <f>+IF(OR($Q453=Parametres!$G$2,$Q453=Parametres!$G$3),K453,E453)</f>
        <v>-11</v>
      </c>
      <c r="Q453" s="610" t="str">
        <f t="shared" si="59"/>
        <v>10-Compte compteur</v>
      </c>
      <c r="R453" s="609" t="str">
        <f t="shared" si="60"/>
        <v>4127</v>
      </c>
      <c r="S453" s="610" t="str">
        <f t="shared" si="61"/>
        <v>_</v>
      </c>
      <c r="T453" s="612" t="str">
        <f>+VLOOKUP($L453,Data_Validation!$A:$D,1,0)</f>
        <v>4127@</v>
      </c>
      <c r="U453" s="612" t="str">
        <f>+VLOOKUP($L453,Data_Validation!$A:$D,3,0)</f>
        <v>Véhicules neufs</v>
      </c>
      <c r="V453" s="612" t="str">
        <f>+VLOOKUP($L453,Data_Validation!$A:$D,4,0)</f>
        <v>Autos détail</v>
      </c>
      <c r="W453" s="612" t="str">
        <f>+VLOOKUP($L453,Data_Validation!$A:$E,5,0)</f>
        <v>NB</v>
      </c>
      <c r="X453" s="612">
        <f>+VLOOKUP($L453,Data_Validation!$A:$F,6,0)</f>
        <v>0</v>
      </c>
    </row>
    <row r="454" spans="1:24" ht="15" customHeight="1">
      <c r="A454" s="1188" t="s">
        <v>937</v>
      </c>
      <c r="B454" s="1188" t="s">
        <v>938</v>
      </c>
      <c r="C454" s="1189"/>
      <c r="D454" s="1189"/>
      <c r="E454" s="1189"/>
      <c r="F454" s="1188" t="s">
        <v>7</v>
      </c>
      <c r="G454" s="1188" t="s">
        <v>936</v>
      </c>
      <c r="H454" s="1188" t="s">
        <v>3845</v>
      </c>
      <c r="I454" s="1190">
        <v>-118</v>
      </c>
      <c r="J454" s="1190">
        <v>-21</v>
      </c>
      <c r="K454" s="1190">
        <v>-139</v>
      </c>
      <c r="L454" s="609" t="str">
        <f t="shared" si="57"/>
        <v>4131@</v>
      </c>
      <c r="M454" s="610" t="str">
        <f t="shared" si="58"/>
        <v># DE VTE - TIGUAN LWB</v>
      </c>
      <c r="N454" s="611">
        <f>+IF(OR($Q454=Parametres!$G$2,$Q454=Parametres!$G$3),I454,C454)</f>
        <v>-118</v>
      </c>
      <c r="O454" s="611">
        <f>+IF(OR($Q454=Parametres!$G$2,$Q454=Parametres!$G$3),J454,D454)</f>
        <v>-21</v>
      </c>
      <c r="P454" s="611">
        <f>+IF(OR($Q454=Parametres!$G$2,$Q454=Parametres!$G$3),K454,E454)</f>
        <v>-139</v>
      </c>
      <c r="Q454" s="610" t="str">
        <f t="shared" si="59"/>
        <v>10-Compte compteur</v>
      </c>
      <c r="R454" s="609" t="str">
        <f t="shared" si="60"/>
        <v>4131</v>
      </c>
      <c r="S454" s="610" t="str">
        <f t="shared" si="61"/>
        <v>_</v>
      </c>
      <c r="T454" s="612" t="str">
        <f>+VLOOKUP($L454,Data_Validation!$A:$D,1,0)</f>
        <v>4131@</v>
      </c>
      <c r="U454" s="612" t="str">
        <f>+VLOOKUP($L454,Data_Validation!$A:$D,3,0)</f>
        <v>Véhicules neufs</v>
      </c>
      <c r="V454" s="612" t="str">
        <f>+VLOOKUP($L454,Data_Validation!$A:$D,4,0)</f>
        <v>Camions détail</v>
      </c>
      <c r="W454" s="612" t="str">
        <f>+VLOOKUP($L454,Data_Validation!$A:$E,5,0)</f>
        <v>NB</v>
      </c>
      <c r="X454" s="612">
        <f>+VLOOKUP($L454,Data_Validation!$A:$F,6,0)</f>
        <v>0</v>
      </c>
    </row>
    <row r="455" spans="1:24" ht="15" customHeight="1">
      <c r="A455" s="1188" t="s">
        <v>941</v>
      </c>
      <c r="B455" s="1188" t="s">
        <v>942</v>
      </c>
      <c r="C455" s="1189"/>
      <c r="D455" s="1189"/>
      <c r="E455" s="1189"/>
      <c r="F455" s="1188" t="s">
        <v>7</v>
      </c>
      <c r="G455" s="1188" t="s">
        <v>940</v>
      </c>
      <c r="H455" s="1188" t="s">
        <v>3845</v>
      </c>
      <c r="I455" s="1190">
        <v>-46</v>
      </c>
      <c r="J455" s="1190">
        <v>-1</v>
      </c>
      <c r="K455" s="1190">
        <v>-47</v>
      </c>
      <c r="L455" s="609" t="str">
        <f t="shared" si="57"/>
        <v>4137@</v>
      </c>
      <c r="M455" s="610" t="str">
        <f t="shared" si="58"/>
        <v>VW FLOTTE/VENTE ENTR/EMPLOYE/VEH DEMONST</v>
      </c>
      <c r="N455" s="611">
        <f>+IF(OR($Q455=Parametres!$G$2,$Q455=Parametres!$G$3),I455,C455)</f>
        <v>-46</v>
      </c>
      <c r="O455" s="611">
        <f>+IF(OR($Q455=Parametres!$G$2,$Q455=Parametres!$G$3),J455,D455)</f>
        <v>-1</v>
      </c>
      <c r="P455" s="611">
        <f>+IF(OR($Q455=Parametres!$G$2,$Q455=Parametres!$G$3),K455,E455)</f>
        <v>-47</v>
      </c>
      <c r="Q455" s="610" t="str">
        <f t="shared" si="59"/>
        <v>10-Compte compteur</v>
      </c>
      <c r="R455" s="609" t="str">
        <f t="shared" si="60"/>
        <v>4137</v>
      </c>
      <c r="S455" s="610" t="str">
        <f t="shared" si="61"/>
        <v>_</v>
      </c>
      <c r="T455" s="612" t="str">
        <f>+VLOOKUP($L455,Data_Validation!$A:$D,1,0)</f>
        <v>4137@</v>
      </c>
      <c r="U455" s="612" t="str">
        <f>+VLOOKUP($L455,Data_Validation!$A:$D,3,0)</f>
        <v>Véhicules neufs</v>
      </c>
      <c r="V455" s="612" t="str">
        <f>+VLOOKUP($L455,Data_Validation!$A:$D,4,0)</f>
        <v>Flottes</v>
      </c>
      <c r="W455" s="612" t="str">
        <f>+VLOOKUP($L455,Data_Validation!$A:$E,5,0)</f>
        <v>NB</v>
      </c>
      <c r="X455" s="612">
        <f>+VLOOKUP($L455,Data_Validation!$A:$F,6,0)</f>
        <v>0</v>
      </c>
    </row>
    <row r="456" spans="1:24" ht="15" customHeight="1">
      <c r="A456" s="1188" t="s">
        <v>945</v>
      </c>
      <c r="B456" s="1188" t="s">
        <v>946</v>
      </c>
      <c r="C456" s="1189"/>
      <c r="D456" s="1189"/>
      <c r="E456" s="1189"/>
      <c r="F456" s="1188" t="s">
        <v>7</v>
      </c>
      <c r="G456" s="1188" t="s">
        <v>944</v>
      </c>
      <c r="H456" s="1188" t="s">
        <v>3845</v>
      </c>
      <c r="I456" s="1190">
        <v>-10</v>
      </c>
      <c r="J456" s="1190">
        <v>-6</v>
      </c>
      <c r="K456" s="1190">
        <v>-16</v>
      </c>
      <c r="L456" s="609" t="str">
        <f t="shared" si="57"/>
        <v>4139@</v>
      </c>
      <c r="M456" s="610" t="str">
        <f t="shared" si="58"/>
        <v>VENTES A PARK AVENUE LOCATION</v>
      </c>
      <c r="N456" s="611">
        <f>+IF(OR($Q456=Parametres!$G$2,$Q456=Parametres!$G$3),I456,C456)</f>
        <v>-10</v>
      </c>
      <c r="O456" s="611">
        <f>+IF(OR($Q456=Parametres!$G$2,$Q456=Parametres!$G$3),J456,D456)</f>
        <v>-6</v>
      </c>
      <c r="P456" s="611">
        <f>+IF(OR($Q456=Parametres!$G$2,$Q456=Parametres!$G$3),K456,E456)</f>
        <v>-16</v>
      </c>
      <c r="Q456" s="610" t="str">
        <f t="shared" si="59"/>
        <v>10-Compte compteur</v>
      </c>
      <c r="R456" s="609" t="str">
        <f t="shared" si="60"/>
        <v>4139</v>
      </c>
      <c r="S456" s="610" t="str">
        <f t="shared" si="61"/>
        <v>_</v>
      </c>
      <c r="T456" s="612" t="str">
        <f>+VLOOKUP($L456,Data_Validation!$A:$D,1,0)</f>
        <v>4139@</v>
      </c>
      <c r="U456" s="612" t="str">
        <f>+VLOOKUP($L456,Data_Validation!$A:$D,3,0)</f>
        <v>Véhicules neufs</v>
      </c>
      <c r="V456" s="612" t="str">
        <f>+VLOOKUP($L456,Data_Validation!$A:$D,4,0)</f>
        <v>Ex-Démos et courtoisies</v>
      </c>
      <c r="W456" s="612" t="str">
        <f>+VLOOKUP($L456,Data_Validation!$A:$E,5,0)</f>
        <v>NB</v>
      </c>
      <c r="X456" s="612">
        <f>+VLOOKUP($L456,Data_Validation!$A:$F,6,0)</f>
        <v>0</v>
      </c>
    </row>
    <row r="457" spans="1:24" ht="15" customHeight="1">
      <c r="A457" s="1188" t="s">
        <v>3819</v>
      </c>
      <c r="B457" s="1188" t="s">
        <v>3820</v>
      </c>
      <c r="C457" s="1189"/>
      <c r="D457" s="1189"/>
      <c r="E457" s="1189"/>
      <c r="F457" s="1188" t="s">
        <v>7</v>
      </c>
      <c r="G457" s="1188" t="s">
        <v>3816</v>
      </c>
      <c r="H457" s="1188" t="s">
        <v>3845</v>
      </c>
      <c r="I457" s="1190">
        <v>-13</v>
      </c>
      <c r="J457" s="1190">
        <v>0</v>
      </c>
      <c r="K457" s="1190">
        <v>-13</v>
      </c>
      <c r="L457" s="609" t="str">
        <f t="shared" si="57"/>
        <v>4141@</v>
      </c>
      <c r="M457" s="610" t="str">
        <f t="shared" si="58"/>
        <v># DE VTW - ID4</v>
      </c>
      <c r="N457" s="611">
        <f>+IF(OR($Q457=Parametres!$G$2,$Q457=Parametres!$G$3),I457,C457)</f>
        <v>-13</v>
      </c>
      <c r="O457" s="611">
        <f>+IF(OR($Q457=Parametres!$G$2,$Q457=Parametres!$G$3),J457,D457)</f>
        <v>0</v>
      </c>
      <c r="P457" s="611">
        <f>+IF(OR($Q457=Parametres!$G$2,$Q457=Parametres!$G$3),K457,E457)</f>
        <v>-13</v>
      </c>
      <c r="Q457" s="610" t="str">
        <f t="shared" si="59"/>
        <v>10-Compte compteur</v>
      </c>
      <c r="R457" s="609" t="str">
        <f t="shared" si="60"/>
        <v>4141</v>
      </c>
      <c r="S457" s="610" t="str">
        <f t="shared" si="61"/>
        <v>_</v>
      </c>
      <c r="T457" s="612" t="str">
        <f>+VLOOKUP($L457,Data_Validation!$A:$D,1,0)</f>
        <v>4141@</v>
      </c>
      <c r="U457" s="612" t="str">
        <f>+VLOOKUP($L457,Data_Validation!$A:$D,3,0)</f>
        <v>Véhicules neufs</v>
      </c>
      <c r="V457" s="612" t="str">
        <f>+VLOOKUP($L457,Data_Validation!$A:$D,4,0)</f>
        <v>Camions détail</v>
      </c>
      <c r="W457" s="612" t="str">
        <f>+VLOOKUP($L457,Data_Validation!$A:$E,5,0)</f>
        <v>NB</v>
      </c>
      <c r="X457" s="612">
        <f>+VLOOKUP($L457,Data_Validation!$A:$F,6,0)</f>
        <v>0</v>
      </c>
    </row>
    <row r="458" spans="1:24" ht="15" customHeight="1">
      <c r="A458" s="1188" t="s">
        <v>949</v>
      </c>
      <c r="B458" s="1188" t="s">
        <v>950</v>
      </c>
      <c r="C458" s="1189"/>
      <c r="D458" s="1189"/>
      <c r="E458" s="1189"/>
      <c r="F458" s="1188" t="s">
        <v>7</v>
      </c>
      <c r="G458" s="1188" t="s">
        <v>948</v>
      </c>
      <c r="H458" s="1188" t="s">
        <v>3845</v>
      </c>
      <c r="I458" s="1190">
        <v>-6</v>
      </c>
      <c r="J458" s="1190">
        <v>-2</v>
      </c>
      <c r="K458" s="1190">
        <v>-8</v>
      </c>
      <c r="L458" s="609" t="str">
        <f t="shared" si="57"/>
        <v>4144@</v>
      </c>
      <c r="M458" s="610" t="str">
        <f t="shared" si="58"/>
        <v># OF VTES -JETTA GLI</v>
      </c>
      <c r="N458" s="611">
        <f>+IF(OR($Q458=Parametres!$G$2,$Q458=Parametres!$G$3),I458,C458)</f>
        <v>-6</v>
      </c>
      <c r="O458" s="611">
        <f>+IF(OR($Q458=Parametres!$G$2,$Q458=Parametres!$G$3),J458,D458)</f>
        <v>-2</v>
      </c>
      <c r="P458" s="611">
        <f>+IF(OR($Q458=Parametres!$G$2,$Q458=Parametres!$G$3),K458,E458)</f>
        <v>-8</v>
      </c>
      <c r="Q458" s="610" t="str">
        <f t="shared" si="59"/>
        <v>10-Compte compteur</v>
      </c>
      <c r="R458" s="609" t="str">
        <f t="shared" si="60"/>
        <v>414</v>
      </c>
      <c r="S458" s="610" t="str">
        <f t="shared" si="61"/>
        <v>_</v>
      </c>
      <c r="T458" s="612" t="str">
        <f>+VLOOKUP($L458,Data_Validation!$A:$D,1,0)</f>
        <v>4144@</v>
      </c>
      <c r="U458" s="612" t="str">
        <f>+VLOOKUP($L458,Data_Validation!$A:$D,3,0)</f>
        <v>Véhicules neufs</v>
      </c>
      <c r="V458" s="612" t="str">
        <f>+VLOOKUP($L458,Data_Validation!$A:$D,4,0)</f>
        <v>Autos détail</v>
      </c>
      <c r="W458" s="612" t="str">
        <f>+VLOOKUP($L458,Data_Validation!$A:$E,5,0)</f>
        <v>NB</v>
      </c>
      <c r="X458" s="612">
        <f>+VLOOKUP($L458,Data_Validation!$A:$F,6,0)</f>
        <v>0</v>
      </c>
    </row>
    <row r="459" spans="1:24" ht="15" customHeight="1">
      <c r="A459" s="1188" t="s">
        <v>3847</v>
      </c>
      <c r="B459" s="1188" t="s">
        <v>3850</v>
      </c>
      <c r="C459" s="1189"/>
      <c r="D459" s="1189"/>
      <c r="E459" s="1189"/>
      <c r="F459" s="1188" t="s">
        <v>7</v>
      </c>
      <c r="G459" s="1188" t="s">
        <v>3865</v>
      </c>
      <c r="H459" s="1188" t="s">
        <v>3845</v>
      </c>
      <c r="I459" s="1190">
        <v>-1</v>
      </c>
      <c r="J459" s="1190">
        <v>0</v>
      </c>
      <c r="K459" s="1190">
        <v>-1</v>
      </c>
      <c r="L459" s="609" t="str">
        <f t="shared" si="57"/>
        <v>4145@</v>
      </c>
      <c r="M459" s="610" t="str">
        <f t="shared" si="58"/>
        <v>ID BUZZ</v>
      </c>
      <c r="N459" s="611">
        <f>+IF(OR($Q459=Parametres!$G$2,$Q459=Parametres!$G$3),I459,C459)</f>
        <v>-1</v>
      </c>
      <c r="O459" s="611">
        <f>+IF(OR($Q459=Parametres!$G$2,$Q459=Parametres!$G$3),J459,D459)</f>
        <v>0</v>
      </c>
      <c r="P459" s="611">
        <f>+IF(OR($Q459=Parametres!$G$2,$Q459=Parametres!$G$3),K459,E459)</f>
        <v>-1</v>
      </c>
      <c r="Q459" s="610" t="str">
        <f t="shared" si="59"/>
        <v>10-Compte compteur</v>
      </c>
      <c r="R459" s="609" t="str">
        <f t="shared" si="60"/>
        <v>84137</v>
      </c>
      <c r="S459" s="610" t="str">
        <f t="shared" si="61"/>
        <v>_</v>
      </c>
      <c r="T459" s="612" t="str">
        <f>+VLOOKUP($L459,Data_Validation!$A:$D,1,0)</f>
        <v>4145@</v>
      </c>
      <c r="U459" s="612" t="str">
        <f>+VLOOKUP($L459,Data_Validation!$A:$D,3,0)</f>
        <v>Véhicules neufs</v>
      </c>
      <c r="V459" s="612" t="str">
        <f>+VLOOKUP($L459,Data_Validation!$A:$D,4,0)</f>
        <v>Camions détail</v>
      </c>
      <c r="W459" s="612" t="str">
        <f>+VLOOKUP($L459,Data_Validation!$A:$E,5,0)</f>
        <v>NB</v>
      </c>
      <c r="X459" s="612">
        <f>+VLOOKUP($L459,Data_Validation!$A:$F,6,0)</f>
        <v>0</v>
      </c>
    </row>
    <row r="460" spans="1:24" ht="15" customHeight="1">
      <c r="A460" s="1188" t="s">
        <v>953</v>
      </c>
      <c r="B460" s="1188" t="s">
        <v>954</v>
      </c>
      <c r="C460" s="1189"/>
      <c r="D460" s="1189"/>
      <c r="E460" s="1189"/>
      <c r="F460" s="1188" t="s">
        <v>7</v>
      </c>
      <c r="G460" s="1188" t="s">
        <v>952</v>
      </c>
      <c r="H460" s="1188" t="s">
        <v>3845</v>
      </c>
      <c r="I460" s="1190">
        <v>-128</v>
      </c>
      <c r="J460" s="1190">
        <v>-19</v>
      </c>
      <c r="K460" s="1190">
        <v>-147</v>
      </c>
      <c r="L460" s="609" t="str">
        <f t="shared" si="57"/>
        <v>4201@</v>
      </c>
      <c r="M460" s="610" t="str">
        <f t="shared" si="58"/>
        <v># DE VTE - VEH.USAGE VW DET.CERT.</v>
      </c>
      <c r="N460" s="611">
        <f>+IF(OR($Q460=Parametres!$G$2,$Q460=Parametres!$G$3),I460,C460)</f>
        <v>-128</v>
      </c>
      <c r="O460" s="611">
        <f>+IF(OR($Q460=Parametres!$G$2,$Q460=Parametres!$G$3),J460,D460)</f>
        <v>-19</v>
      </c>
      <c r="P460" s="611">
        <f>+IF(OR($Q460=Parametres!$G$2,$Q460=Parametres!$G$3),K460,E460)</f>
        <v>-147</v>
      </c>
      <c r="Q460" s="610" t="str">
        <f t="shared" si="59"/>
        <v>10-Compte compteur</v>
      </c>
      <c r="R460" s="609" t="str">
        <f t="shared" si="60"/>
        <v>4201</v>
      </c>
      <c r="S460" s="610" t="str">
        <f t="shared" si="61"/>
        <v>_</v>
      </c>
      <c r="T460" s="612" t="str">
        <f>+VLOOKUP($L460,Data_Validation!$A:$D,1,0)</f>
        <v>4201@</v>
      </c>
      <c r="U460" s="612" t="str">
        <f>+VLOOKUP($L460,Data_Validation!$A:$D,3,0)</f>
        <v>Véhicules usagés</v>
      </c>
      <c r="V460" s="612" t="str">
        <f>+VLOOKUP($L460,Data_Validation!$A:$D,4,0)</f>
        <v>Certifié</v>
      </c>
      <c r="W460" s="612" t="str">
        <f>+VLOOKUP($L460,Data_Validation!$A:$E,5,0)</f>
        <v>NB</v>
      </c>
      <c r="X460" s="612">
        <f>+VLOOKUP($L460,Data_Validation!$A:$F,6,0)</f>
        <v>0</v>
      </c>
    </row>
    <row r="461" spans="1:24" ht="15" customHeight="1">
      <c r="A461" s="1188" t="s">
        <v>957</v>
      </c>
      <c r="B461" s="1188" t="s">
        <v>958</v>
      </c>
      <c r="C461" s="1189"/>
      <c r="D461" s="1189"/>
      <c r="E461" s="1189"/>
      <c r="F461" s="1188" t="s">
        <v>7</v>
      </c>
      <c r="G461" s="1188" t="s">
        <v>956</v>
      </c>
      <c r="H461" s="1188" t="s">
        <v>3845</v>
      </c>
      <c r="I461" s="1190">
        <v>-9</v>
      </c>
      <c r="J461" s="1190">
        <v>-11</v>
      </c>
      <c r="K461" s="1190">
        <v>-20</v>
      </c>
      <c r="L461" s="609" t="str">
        <f t="shared" ref="L461:L466" si="62">TEXT(B461,0)</f>
        <v>4211@</v>
      </c>
      <c r="M461" s="610" t="str">
        <f t="shared" ref="M461:M466" si="63">+A461</f>
        <v>VENTES USED DET. CHAMBLY</v>
      </c>
      <c r="N461" s="611">
        <f>+IF(OR($Q461=Parametres!$G$2,$Q461=Parametres!$G$3),I461,C461)</f>
        <v>-9</v>
      </c>
      <c r="O461" s="611">
        <f>+IF(OR($Q461=Parametres!$G$2,$Q461=Parametres!$G$3),J461,D461)</f>
        <v>-11</v>
      </c>
      <c r="P461" s="611">
        <f>+IF(OR($Q461=Parametres!$G$2,$Q461=Parametres!$G$3),K461,E461)</f>
        <v>-20</v>
      </c>
      <c r="Q461" s="610" t="str">
        <f t="shared" ref="Q461:S466" si="64">+F461</f>
        <v>10-Compte compteur</v>
      </c>
      <c r="R461" s="609" t="str">
        <f t="shared" si="64"/>
        <v>4211</v>
      </c>
      <c r="S461" s="610" t="str">
        <f t="shared" si="64"/>
        <v>_</v>
      </c>
      <c r="T461" s="612" t="str">
        <f>+VLOOKUP($L461,Data_Validation!$A:$D,1,0)</f>
        <v>4211@</v>
      </c>
      <c r="U461" s="612" t="str">
        <f>+VLOOKUP($L461,Data_Validation!$A:$D,3,0)</f>
        <v>Véhicules usagés</v>
      </c>
      <c r="V461" s="612" t="str">
        <f>+VLOOKUP($L461,Data_Validation!$A:$D,4,0)</f>
        <v>Non Certifié</v>
      </c>
      <c r="W461" s="612" t="str">
        <f>+VLOOKUP($L461,Data_Validation!$A:$E,5,0)</f>
        <v>NB</v>
      </c>
      <c r="X461" s="612">
        <f>+VLOOKUP($L461,Data_Validation!$A:$F,6,0)</f>
        <v>0</v>
      </c>
    </row>
    <row r="462" spans="1:24" ht="15" customHeight="1">
      <c r="A462" s="1188" t="s">
        <v>961</v>
      </c>
      <c r="B462" s="1188" t="s">
        <v>962</v>
      </c>
      <c r="C462" s="1189"/>
      <c r="D462" s="1189"/>
      <c r="E462" s="1189"/>
      <c r="F462" s="1188" t="s">
        <v>7</v>
      </c>
      <c r="G462" s="1188" t="s">
        <v>960</v>
      </c>
      <c r="H462" s="1188" t="s">
        <v>3845</v>
      </c>
      <c r="I462" s="1190">
        <v>-10</v>
      </c>
      <c r="J462" s="1190">
        <v>-3</v>
      </c>
      <c r="K462" s="1190">
        <v>-13</v>
      </c>
      <c r="L462" s="609" t="str">
        <f t="shared" si="62"/>
        <v>4285@</v>
      </c>
      <c r="M462" s="610" t="str">
        <f t="shared" si="63"/>
        <v>AUTRE MARQUES DETAIL - USAGE</v>
      </c>
      <c r="N462" s="611">
        <f>+IF(OR($Q462=Parametres!$G$2,$Q462=Parametres!$G$3),I462,C462)</f>
        <v>-10</v>
      </c>
      <c r="O462" s="611">
        <f>+IF(OR($Q462=Parametres!$G$2,$Q462=Parametres!$G$3),J462,D462)</f>
        <v>-3</v>
      </c>
      <c r="P462" s="611">
        <f>+IF(OR($Q462=Parametres!$G$2,$Q462=Parametres!$G$3),K462,E462)</f>
        <v>-13</v>
      </c>
      <c r="Q462" s="610" t="str">
        <f t="shared" si="64"/>
        <v>10-Compte compteur</v>
      </c>
      <c r="R462" s="609" t="str">
        <f t="shared" si="64"/>
        <v>4261</v>
      </c>
      <c r="S462" s="610" t="str">
        <f t="shared" si="64"/>
        <v>_</v>
      </c>
      <c r="T462" s="612" t="str">
        <f>+VLOOKUP($L462,Data_Validation!$A:$D,1,0)</f>
        <v>4285@</v>
      </c>
      <c r="U462" s="612" t="str">
        <f>+VLOOKUP($L462,Data_Validation!$A:$D,3,0)</f>
        <v>Véhicules usagés</v>
      </c>
      <c r="V462" s="612" t="str">
        <f>+VLOOKUP($L462,Data_Validation!$A:$D,4,0)</f>
        <v>Autres Marques</v>
      </c>
      <c r="W462" s="612" t="str">
        <f>+VLOOKUP($L462,Data_Validation!$A:$E,5,0)</f>
        <v>NB</v>
      </c>
      <c r="X462" s="612">
        <f>+VLOOKUP($L462,Data_Validation!$A:$F,6,0)</f>
        <v>0</v>
      </c>
    </row>
    <row r="463" spans="1:24" ht="15" customHeight="1">
      <c r="A463" s="1188" t="s">
        <v>965</v>
      </c>
      <c r="B463" s="1188" t="s">
        <v>966</v>
      </c>
      <c r="C463" s="1189"/>
      <c r="D463" s="1189"/>
      <c r="E463" s="1189"/>
      <c r="F463" s="1188" t="s">
        <v>7</v>
      </c>
      <c r="G463" s="1188" t="s">
        <v>964</v>
      </c>
      <c r="H463" s="1188" t="s">
        <v>3845</v>
      </c>
      <c r="I463" s="1190">
        <v>-161</v>
      </c>
      <c r="J463" s="1190">
        <v>-23</v>
      </c>
      <c r="K463" s="1190">
        <v>-184</v>
      </c>
      <c r="L463" s="609" t="str">
        <f t="shared" si="62"/>
        <v>4291@</v>
      </c>
      <c r="M463" s="610" t="str">
        <f t="shared" si="63"/>
        <v>VENTE AU GROS - USAGES</v>
      </c>
      <c r="N463" s="611">
        <f>+IF(OR($Q463=Parametres!$G$2,$Q463=Parametres!$G$3),I463,C463)</f>
        <v>-161</v>
      </c>
      <c r="O463" s="611">
        <f>+IF(OR($Q463=Parametres!$G$2,$Q463=Parametres!$G$3),J463,D463)</f>
        <v>-23</v>
      </c>
      <c r="P463" s="611">
        <f>+IF(OR($Q463=Parametres!$G$2,$Q463=Parametres!$G$3),K463,E463)</f>
        <v>-184</v>
      </c>
      <c r="Q463" s="610" t="str">
        <f t="shared" si="64"/>
        <v>10-Compte compteur</v>
      </c>
      <c r="R463" s="609" t="str">
        <f t="shared" si="64"/>
        <v>4281</v>
      </c>
      <c r="S463" s="610" t="str">
        <f t="shared" si="64"/>
        <v>_</v>
      </c>
      <c r="T463" s="612" t="str">
        <f>+VLOOKUP($L463,Data_Validation!$A:$D,1,0)</f>
        <v>4291@</v>
      </c>
      <c r="U463" s="612" t="str">
        <f>+VLOOKUP($L463,Data_Validation!$A:$D,3,0)</f>
        <v>Véhicules usagés</v>
      </c>
      <c r="V463" s="612" t="str">
        <f>+VLOOKUP($L463,Data_Validation!$A:$D,4,0)</f>
        <v>Ventes au Gros</v>
      </c>
      <c r="W463" s="612" t="str">
        <f>+VLOOKUP($L463,Data_Validation!$A:$E,5,0)</f>
        <v>NB</v>
      </c>
      <c r="X463" s="612">
        <f>+VLOOKUP($L463,Data_Validation!$A:$F,6,0)</f>
        <v>0</v>
      </c>
    </row>
    <row r="464" spans="1:24" ht="15" customHeight="1">
      <c r="A464" s="1188" t="s">
        <v>3615</v>
      </c>
      <c r="B464" s="1188" t="s">
        <v>969</v>
      </c>
      <c r="C464" s="1189"/>
      <c r="D464" s="1189"/>
      <c r="E464" s="1189"/>
      <c r="F464" s="1188" t="s">
        <v>7</v>
      </c>
      <c r="G464" s="1188" t="s">
        <v>968</v>
      </c>
      <c r="H464" s="1188" t="s">
        <v>3845</v>
      </c>
      <c r="I464" s="1190">
        <v>-2654</v>
      </c>
      <c r="J464" s="1190">
        <v>-392</v>
      </c>
      <c r="K464" s="1190">
        <v>-3046</v>
      </c>
      <c r="L464" s="609" t="str">
        <f t="shared" si="62"/>
        <v>4401@</v>
      </c>
      <c r="M464" s="610" t="str">
        <f t="shared" si="63"/>
        <v>MAIN-D'OEUVRE - CLIENT VW - MCI</v>
      </c>
      <c r="N464" s="611">
        <f>+IF(OR($Q464=Parametres!$G$2,$Q464=Parametres!$G$3),I464,C464)</f>
        <v>-2654</v>
      </c>
      <c r="O464" s="611">
        <f>+IF(OR($Q464=Parametres!$G$2,$Q464=Parametres!$G$3),J464,D464)</f>
        <v>-392</v>
      </c>
      <c r="P464" s="611">
        <f>+IF(OR($Q464=Parametres!$G$2,$Q464=Parametres!$G$3),K464,E464)</f>
        <v>-3046</v>
      </c>
      <c r="Q464" s="610" t="str">
        <f t="shared" si="64"/>
        <v>10-Compte compteur</v>
      </c>
      <c r="R464" s="609" t="str">
        <f t="shared" si="64"/>
        <v>4401</v>
      </c>
      <c r="S464" s="610" t="str">
        <f t="shared" si="64"/>
        <v>_</v>
      </c>
      <c r="T464" s="612" t="str">
        <f>+VLOOKUP($L464,Data_Validation!$A:$D,1,0)</f>
        <v>4401@</v>
      </c>
      <c r="U464" s="612" t="str">
        <f>+VLOOKUP($L464,Data_Validation!$A:$D,3,0)</f>
        <v>Service</v>
      </c>
      <c r="V464" s="612" t="str">
        <f>+VLOOKUP($L464,Data_Validation!$A:$D,4,0)</f>
        <v>M/O Client</v>
      </c>
      <c r="W464" s="612" t="str">
        <f>+VLOOKUP($L464,Data_Validation!$A:$E,5,0)</f>
        <v>NB</v>
      </c>
      <c r="X464" s="612">
        <f>+VLOOKUP($L464,Data_Validation!$A:$F,6,0)</f>
        <v>0</v>
      </c>
    </row>
    <row r="465" spans="1:24" ht="15" customHeight="1">
      <c r="A465" s="1188" t="s">
        <v>3616</v>
      </c>
      <c r="B465" s="1188" t="s">
        <v>974</v>
      </c>
      <c r="C465" s="1189"/>
      <c r="D465" s="1189"/>
      <c r="E465" s="1189"/>
      <c r="F465" s="1188" t="s">
        <v>7</v>
      </c>
      <c r="G465" s="1188" t="s">
        <v>973</v>
      </c>
      <c r="H465" s="1188" t="s">
        <v>3845</v>
      </c>
      <c r="I465" s="1190">
        <v>-1089</v>
      </c>
      <c r="J465" s="1190">
        <v>-221</v>
      </c>
      <c r="K465" s="1190">
        <v>-1310</v>
      </c>
      <c r="L465" s="609" t="str">
        <f t="shared" si="62"/>
        <v>4403@</v>
      </c>
      <c r="M465" s="610" t="str">
        <f t="shared" si="63"/>
        <v>MAIN-D'OEUVRE - GARANTIE VW - MCI</v>
      </c>
      <c r="N465" s="611">
        <f>+IF(OR($Q465=Parametres!$G$2,$Q465=Parametres!$G$3),I465,C465)</f>
        <v>-1089</v>
      </c>
      <c r="O465" s="611">
        <f>+IF(OR($Q465=Parametres!$G$2,$Q465=Parametres!$G$3),J465,D465)</f>
        <v>-221</v>
      </c>
      <c r="P465" s="611">
        <f>+IF(OR($Q465=Parametres!$G$2,$Q465=Parametres!$G$3),K465,E465)</f>
        <v>-1310</v>
      </c>
      <c r="Q465" s="610" t="str">
        <f t="shared" si="64"/>
        <v>10-Compte compteur</v>
      </c>
      <c r="R465" s="609" t="str">
        <f t="shared" si="64"/>
        <v>4403</v>
      </c>
      <c r="S465" s="610" t="str">
        <f t="shared" si="64"/>
        <v>_</v>
      </c>
      <c r="T465" s="612" t="str">
        <f>+VLOOKUP($L465,Data_Validation!$A:$D,1,0)</f>
        <v>4403@</v>
      </c>
      <c r="U465" s="612" t="str">
        <f>+VLOOKUP($L465,Data_Validation!$A:$D,3,0)</f>
        <v>Service</v>
      </c>
      <c r="V465" s="612" t="str">
        <f>+VLOOKUP($L465,Data_Validation!$A:$D,4,0)</f>
        <v>M/O Garantie</v>
      </c>
      <c r="W465" s="612" t="str">
        <f>+VLOOKUP($L465,Data_Validation!$A:$E,5,0)</f>
        <v>NB</v>
      </c>
      <c r="X465" s="612">
        <f>+VLOOKUP($L465,Data_Validation!$A:$F,6,0)</f>
        <v>0</v>
      </c>
    </row>
    <row r="466" spans="1:24" ht="15" customHeight="1">
      <c r="A466" s="1188" t="s">
        <v>3617</v>
      </c>
      <c r="B466" s="1188" t="s">
        <v>977</v>
      </c>
      <c r="C466" s="1189"/>
      <c r="D466" s="1189"/>
      <c r="E466" s="1189"/>
      <c r="F466" s="1188" t="s">
        <v>7</v>
      </c>
      <c r="G466" s="1188" t="s">
        <v>976</v>
      </c>
      <c r="H466" s="1188" t="s">
        <v>3845</v>
      </c>
      <c r="I466" s="1190">
        <v>-1676</v>
      </c>
      <c r="J466" s="1190">
        <v>-221</v>
      </c>
      <c r="K466" s="1190">
        <v>-1897</v>
      </c>
      <c r="L466" s="609" t="str">
        <f t="shared" si="62"/>
        <v>4405@</v>
      </c>
      <c r="M466" s="610" t="str">
        <f t="shared" si="63"/>
        <v>MAIN-D'OEUVRE - INTERNE VW - MCI</v>
      </c>
      <c r="N466" s="611">
        <f>+IF(OR($Q466=Parametres!$G$2,$Q466=Parametres!$G$3),I466,C466)</f>
        <v>-1676</v>
      </c>
      <c r="O466" s="611">
        <f>+IF(OR($Q466=Parametres!$G$2,$Q466=Parametres!$G$3),J466,D466)</f>
        <v>-221</v>
      </c>
      <c r="P466" s="611">
        <f>+IF(OR($Q466=Parametres!$G$2,$Q466=Parametres!$G$3),K466,E466)</f>
        <v>-1897</v>
      </c>
      <c r="Q466" s="610" t="str">
        <f t="shared" si="64"/>
        <v>10-Compte compteur</v>
      </c>
      <c r="R466" s="609" t="str">
        <f t="shared" si="64"/>
        <v>4405</v>
      </c>
      <c r="S466" s="610" t="str">
        <f t="shared" si="64"/>
        <v>_</v>
      </c>
      <c r="T466" s="612" t="str">
        <f>+VLOOKUP($L466,Data_Validation!$A:$D,1,0)</f>
        <v>4405@</v>
      </c>
      <c r="U466" s="612" t="str">
        <f>+VLOOKUP($L466,Data_Validation!$A:$D,3,0)</f>
        <v>Service</v>
      </c>
      <c r="V466" s="612" t="str">
        <f>+VLOOKUP($L466,Data_Validation!$A:$D,4,0)</f>
        <v>M/O Interne</v>
      </c>
      <c r="W466" s="612" t="str">
        <f>+VLOOKUP($L466,Data_Validation!$A:$E,5,0)</f>
        <v>NB</v>
      </c>
      <c r="X466" s="612">
        <f>+VLOOKUP($L466,Data_Validation!$A:$F,6,0)</f>
        <v>0</v>
      </c>
    </row>
    <row r="467" spans="1:24" ht="15" customHeight="1">
      <c r="A467" s="1188" t="s">
        <v>978</v>
      </c>
      <c r="B467" s="1188" t="s">
        <v>980</v>
      </c>
      <c r="C467" s="1189"/>
      <c r="D467" s="1189"/>
      <c r="E467" s="1189"/>
      <c r="F467" s="1188" t="s">
        <v>7</v>
      </c>
      <c r="G467" s="1188" t="s">
        <v>979</v>
      </c>
      <c r="H467" s="1188" t="s">
        <v>3845</v>
      </c>
      <c r="I467" s="1190">
        <v>-1900</v>
      </c>
      <c r="J467" s="1190">
        <v>-325</v>
      </c>
      <c r="K467" s="1190">
        <v>-2225</v>
      </c>
      <c r="L467" s="609" t="str">
        <f t="shared" ref="L467:L476" si="65">TEXT(B467,0)</f>
        <v>4451@</v>
      </c>
      <c r="M467" s="610" t="str">
        <f t="shared" ref="M467:M476" si="66">+A467</f>
        <v>CARBURANT/HUILE/GRAISSE</v>
      </c>
      <c r="N467" s="611">
        <f>+IF(OR($Q467=Parametres!$G$2,$Q467=Parametres!$G$3),I467,C467)</f>
        <v>-1900</v>
      </c>
      <c r="O467" s="611">
        <f>+IF(OR($Q467=Parametres!$G$2,$Q467=Parametres!$G$3),J467,D467)</f>
        <v>-325</v>
      </c>
      <c r="P467" s="611">
        <f>+IF(OR($Q467=Parametres!$G$2,$Q467=Parametres!$G$3),K467,E467)</f>
        <v>-2225</v>
      </c>
      <c r="Q467" s="610" t="str">
        <f t="shared" ref="Q467:Q476" si="67">+F467</f>
        <v>10-Compte compteur</v>
      </c>
      <c r="R467" s="609" t="str">
        <f t="shared" ref="R467:R476" si="68">+G467</f>
        <v>4782</v>
      </c>
      <c r="S467" s="610" t="str">
        <f t="shared" ref="S467:S476" si="69">+H467</f>
        <v>_</v>
      </c>
      <c r="T467" s="612" t="str">
        <f>+VLOOKUP($L467,Data_Validation!$A:$D,1,0)</f>
        <v>4451@</v>
      </c>
      <c r="U467" s="612" t="str">
        <f>+VLOOKUP($L467,Data_Validation!$A:$D,3,0)</f>
        <v>Pièces</v>
      </c>
      <c r="V467" s="612" t="str">
        <f>+VLOOKUP($L467,Data_Validation!$A:$D,4,0)</f>
        <v>Huiles et Graisse</v>
      </c>
      <c r="W467" s="612" t="str">
        <f>+VLOOKUP($L467,Data_Validation!$A:$E,5,0)</f>
        <v>NB</v>
      </c>
      <c r="X467" s="612">
        <f>+VLOOKUP($L467,Data_Validation!$A:$F,6,0)</f>
        <v>0</v>
      </c>
    </row>
    <row r="468" spans="1:24" ht="15" customHeight="1">
      <c r="A468" s="1188" t="s">
        <v>981</v>
      </c>
      <c r="B468" s="1188" t="s">
        <v>983</v>
      </c>
      <c r="C468" s="1189"/>
      <c r="D468" s="1189"/>
      <c r="E468" s="1189"/>
      <c r="F468" s="1188" t="s">
        <v>7</v>
      </c>
      <c r="G468" s="1188" t="s">
        <v>982</v>
      </c>
      <c r="H468" s="1188" t="s">
        <v>3845</v>
      </c>
      <c r="I468" s="1190">
        <v>-258</v>
      </c>
      <c r="J468" s="1190">
        <v>-14</v>
      </c>
      <c r="K468" s="1190">
        <v>-272</v>
      </c>
      <c r="L468" s="609" t="str">
        <f t="shared" si="65"/>
        <v>4491@</v>
      </c>
      <c r="M468" s="610" t="str">
        <f t="shared" si="66"/>
        <v>REPARATION SOUS-LOC. - GENERAL</v>
      </c>
      <c r="N468" s="611">
        <f>+IF(OR($Q468=Parametres!$G$2,$Q468=Parametres!$G$3),I468,C468)</f>
        <v>-258</v>
      </c>
      <c r="O468" s="611">
        <f>+IF(OR($Q468=Parametres!$G$2,$Q468=Parametres!$G$3),J468,D468)</f>
        <v>-14</v>
      </c>
      <c r="P468" s="611">
        <f>+IF(OR($Q468=Parametres!$G$2,$Q468=Parametres!$G$3),K468,E468)</f>
        <v>-272</v>
      </c>
      <c r="Q468" s="610" t="str">
        <f t="shared" si="67"/>
        <v>10-Compte compteur</v>
      </c>
      <c r="R468" s="609" t="str">
        <f t="shared" si="68"/>
        <v>4491</v>
      </c>
      <c r="S468" s="610" t="str">
        <f t="shared" si="69"/>
        <v>_</v>
      </c>
      <c r="T468" s="612" t="str">
        <f>+VLOOKUP($L468,Data_Validation!$A:$D,1,0)</f>
        <v>4491@</v>
      </c>
      <c r="U468" s="612" t="str">
        <f>+VLOOKUP($L468,Data_Validation!$A:$D,3,0)</f>
        <v>Service</v>
      </c>
      <c r="V468" s="612" t="str">
        <f>+VLOOKUP($L468,Data_Validation!$A:$D,4,0)</f>
        <v>Sous-traitement</v>
      </c>
      <c r="W468" s="612" t="str">
        <f>+VLOOKUP($L468,Data_Validation!$A:$E,5,0)</f>
        <v>NB</v>
      </c>
      <c r="X468" s="612">
        <f>+VLOOKUP($L468,Data_Validation!$A:$F,6,0)</f>
        <v>0</v>
      </c>
    </row>
    <row r="469" spans="1:24" ht="15" customHeight="1">
      <c r="A469" s="1188" t="s">
        <v>986</v>
      </c>
      <c r="B469" s="1188" t="s">
        <v>987</v>
      </c>
      <c r="C469" s="1189"/>
      <c r="D469" s="1189"/>
      <c r="E469" s="1189"/>
      <c r="F469" s="1188" t="s">
        <v>7</v>
      </c>
      <c r="G469" s="1188" t="s">
        <v>985</v>
      </c>
      <c r="H469" s="1188" t="s">
        <v>3845</v>
      </c>
      <c r="I469" s="1190">
        <v>-7</v>
      </c>
      <c r="J469" s="1190">
        <v>-2</v>
      </c>
      <c r="K469" s="1190">
        <v>-9</v>
      </c>
      <c r="L469" s="609" t="str">
        <f t="shared" si="65"/>
        <v>4493@</v>
      </c>
      <c r="M469" s="610" t="str">
        <f t="shared" si="66"/>
        <v># DE VTE - SOUS-TRAITANCE GARANTIE</v>
      </c>
      <c r="N469" s="611">
        <f>+IF(OR($Q469=Parametres!$G$2,$Q469=Parametres!$G$3),I469,C469)</f>
        <v>-7</v>
      </c>
      <c r="O469" s="611">
        <f>+IF(OR($Q469=Parametres!$G$2,$Q469=Parametres!$G$3),J469,D469)</f>
        <v>-2</v>
      </c>
      <c r="P469" s="611">
        <f>+IF(OR($Q469=Parametres!$G$2,$Q469=Parametres!$G$3),K469,E469)</f>
        <v>-9</v>
      </c>
      <c r="Q469" s="610" t="str">
        <f t="shared" si="67"/>
        <v>10-Compte compteur</v>
      </c>
      <c r="R469" s="609" t="str">
        <f t="shared" si="68"/>
        <v>4493</v>
      </c>
      <c r="S469" s="610" t="str">
        <f t="shared" si="69"/>
        <v>_</v>
      </c>
      <c r="T469" s="612" t="str">
        <f>+VLOOKUP($L469,Data_Validation!$A:$D,1,0)</f>
        <v>4493@</v>
      </c>
      <c r="U469" s="612" t="str">
        <f>+VLOOKUP($L469,Data_Validation!$A:$D,3,0)</f>
        <v>Service</v>
      </c>
      <c r="V469" s="612" t="str">
        <f>+VLOOKUP($L469,Data_Validation!$A:$D,4,0)</f>
        <v>Sous-traitement</v>
      </c>
      <c r="W469" s="612" t="str">
        <f>+VLOOKUP($L469,Data_Validation!$A:$E,5,0)</f>
        <v>NB</v>
      </c>
      <c r="X469" s="612">
        <f>+VLOOKUP($L469,Data_Validation!$A:$F,6,0)</f>
        <v>0</v>
      </c>
    </row>
    <row r="470" spans="1:24" ht="15" customHeight="1">
      <c r="A470" s="1188" t="s">
        <v>990</v>
      </c>
      <c r="B470" s="1188" t="s">
        <v>991</v>
      </c>
      <c r="C470" s="1189"/>
      <c r="D470" s="1189"/>
      <c r="E470" s="1189"/>
      <c r="F470" s="1188" t="s">
        <v>7</v>
      </c>
      <c r="G470" s="1188" t="s">
        <v>989</v>
      </c>
      <c r="H470" s="1188" t="s">
        <v>3845</v>
      </c>
      <c r="I470" s="1190">
        <v>-267</v>
      </c>
      <c r="J470" s="1190">
        <v>-42</v>
      </c>
      <c r="K470" s="1190">
        <v>-309</v>
      </c>
      <c r="L470" s="609" t="str">
        <f t="shared" si="65"/>
        <v>4495@</v>
      </c>
      <c r="M470" s="610" t="str">
        <f t="shared" si="66"/>
        <v># DE VTE - S-TRAITANCE MEC.INTERNE VW</v>
      </c>
      <c r="N470" s="611">
        <f>+IF(OR($Q470=Parametres!$G$2,$Q470=Parametres!$G$3),I470,C470)</f>
        <v>-267</v>
      </c>
      <c r="O470" s="611">
        <f>+IF(OR($Q470=Parametres!$G$2,$Q470=Parametres!$G$3),J470,D470)</f>
        <v>-42</v>
      </c>
      <c r="P470" s="611">
        <f>+IF(OR($Q470=Parametres!$G$2,$Q470=Parametres!$G$3),K470,E470)</f>
        <v>-309</v>
      </c>
      <c r="Q470" s="610" t="str">
        <f t="shared" si="67"/>
        <v>10-Compte compteur</v>
      </c>
      <c r="R470" s="609" t="str">
        <f t="shared" si="68"/>
        <v>4495</v>
      </c>
      <c r="S470" s="610" t="str">
        <f t="shared" si="69"/>
        <v>_</v>
      </c>
      <c r="T470" s="612" t="str">
        <f>+VLOOKUP($L470,Data_Validation!$A:$D,1,0)</f>
        <v>4495@</v>
      </c>
      <c r="U470" s="612" t="str">
        <f>+VLOOKUP($L470,Data_Validation!$A:$D,3,0)</f>
        <v>Service</v>
      </c>
      <c r="V470" s="612" t="str">
        <f>+VLOOKUP($L470,Data_Validation!$A:$D,4,0)</f>
        <v>Sous-traitement</v>
      </c>
      <c r="W470" s="612" t="str">
        <f>+VLOOKUP($L470,Data_Validation!$A:$E,5,0)</f>
        <v>NB</v>
      </c>
      <c r="X470" s="612">
        <f>+VLOOKUP($L470,Data_Validation!$A:$F,6,0)</f>
        <v>0</v>
      </c>
    </row>
    <row r="471" spans="1:24" ht="15" customHeight="1">
      <c r="A471" s="1188" t="s">
        <v>3374</v>
      </c>
      <c r="B471" s="1188" t="s">
        <v>3375</v>
      </c>
      <c r="C471" s="1189"/>
      <c r="D471" s="1189"/>
      <c r="E471" s="1189"/>
      <c r="F471" s="1188" t="s">
        <v>7</v>
      </c>
      <c r="G471" s="1188" t="s">
        <v>3371</v>
      </c>
      <c r="H471" s="1188" t="s">
        <v>3845</v>
      </c>
      <c r="I471" s="1190">
        <v>-108</v>
      </c>
      <c r="J471" s="1190">
        <v>0</v>
      </c>
      <c r="K471" s="1190">
        <v>-108</v>
      </c>
      <c r="L471" s="609" t="str">
        <f t="shared" si="65"/>
        <v>4505@</v>
      </c>
      <c r="M471" s="610" t="str">
        <f t="shared" si="66"/>
        <v># DE VTE - M.O. INTERNE CARROSSERIE</v>
      </c>
      <c r="N471" s="611">
        <f>+IF(OR($Q471=Parametres!$G$2,$Q471=Parametres!$G$3),I471,C471)</f>
        <v>-108</v>
      </c>
      <c r="O471" s="611">
        <f>+IF(OR($Q471=Parametres!$G$2,$Q471=Parametres!$G$3),J471,D471)</f>
        <v>0</v>
      </c>
      <c r="P471" s="611">
        <f>+IF(OR($Q471=Parametres!$G$2,$Q471=Parametres!$G$3),K471,E471)</f>
        <v>-108</v>
      </c>
      <c r="Q471" s="610" t="str">
        <f t="shared" si="67"/>
        <v>10-Compte compteur</v>
      </c>
      <c r="R471" s="609" t="str">
        <f t="shared" si="68"/>
        <v>4505</v>
      </c>
      <c r="S471" s="610" t="str">
        <f t="shared" si="69"/>
        <v>_</v>
      </c>
      <c r="T471" s="612" t="str">
        <f>+VLOOKUP($L471,Data_Validation!$A:$D,1,0)</f>
        <v>4505@</v>
      </c>
      <c r="U471" s="612" t="str">
        <f>+VLOOKUP($L471,Data_Validation!$A:$D,3,0)</f>
        <v>Service</v>
      </c>
      <c r="V471" s="612" t="str">
        <f>+VLOOKUP($L471,Data_Validation!$A:$D,4,0)</f>
        <v>M.O. Recond. MCPA</v>
      </c>
      <c r="W471" s="612" t="str">
        <f>+VLOOKUP($L471,Data_Validation!$A:$E,5,0)</f>
        <v>NB</v>
      </c>
      <c r="X471" s="612">
        <f>+VLOOKUP($L471,Data_Validation!$A:$F,6,0)</f>
        <v>0</v>
      </c>
    </row>
    <row r="472" spans="1:24" ht="15" customHeight="1">
      <c r="A472" s="1188" t="s">
        <v>997</v>
      </c>
      <c r="B472" s="1188" t="s">
        <v>998</v>
      </c>
      <c r="C472" s="1189"/>
      <c r="D472" s="1189"/>
      <c r="E472" s="1189"/>
      <c r="F472" s="1188" t="s">
        <v>7</v>
      </c>
      <c r="G472" s="1188" t="s">
        <v>996</v>
      </c>
      <c r="H472" s="1188" t="s">
        <v>3845</v>
      </c>
      <c r="I472" s="1190">
        <v>-59</v>
      </c>
      <c r="J472" s="1190">
        <v>-14</v>
      </c>
      <c r="K472" s="1190">
        <v>-73</v>
      </c>
      <c r="L472" s="609" t="str">
        <f t="shared" si="65"/>
        <v>4591@</v>
      </c>
      <c r="M472" s="610" t="str">
        <f t="shared" si="66"/>
        <v>REPARATION SOUS-LOC.-PEINT/DEB</v>
      </c>
      <c r="N472" s="611">
        <f>+IF(OR($Q472=Parametres!$G$2,$Q472=Parametres!$G$3),I472,C472)</f>
        <v>-59</v>
      </c>
      <c r="O472" s="611">
        <f>+IF(OR($Q472=Parametres!$G$2,$Q472=Parametres!$G$3),J472,D472)</f>
        <v>-14</v>
      </c>
      <c r="P472" s="611">
        <f>+IF(OR($Q472=Parametres!$G$2,$Q472=Parametres!$G$3),K472,E472)</f>
        <v>-73</v>
      </c>
      <c r="Q472" s="610" t="str">
        <f t="shared" si="67"/>
        <v>10-Compte compteur</v>
      </c>
      <c r="R472" s="609" t="str">
        <f t="shared" si="68"/>
        <v>4591</v>
      </c>
      <c r="S472" s="610" t="str">
        <f t="shared" si="69"/>
        <v>_</v>
      </c>
      <c r="T472" s="612" t="str">
        <f>+VLOOKUP($L472,Data_Validation!$A:$D,1,0)</f>
        <v>4591@</v>
      </c>
      <c r="U472" s="612" t="str">
        <f>+VLOOKUP($L472,Data_Validation!$A:$D,3,0)</f>
        <v>Carrosserie</v>
      </c>
      <c r="V472" s="612" t="str">
        <f>+VLOOKUP($L472,Data_Validation!$A:$D,4,0)</f>
        <v>M/O Sous-traitement</v>
      </c>
      <c r="W472" s="612" t="str">
        <f>+VLOOKUP($L472,Data_Validation!$A:$E,5,0)</f>
        <v>NB</v>
      </c>
      <c r="X472" s="612">
        <f>+VLOOKUP($L472,Data_Validation!$A:$F,6,0)</f>
        <v>0</v>
      </c>
    </row>
    <row r="473" spans="1:24" ht="15" customHeight="1">
      <c r="A473" s="1188" t="s">
        <v>1001</v>
      </c>
      <c r="B473" s="1188" t="s">
        <v>1002</v>
      </c>
      <c r="C473" s="1189"/>
      <c r="D473" s="1189"/>
      <c r="E473" s="1189"/>
      <c r="F473" s="1188" t="s">
        <v>7</v>
      </c>
      <c r="G473" s="1188" t="s">
        <v>1000</v>
      </c>
      <c r="H473" s="1188" t="s">
        <v>3845</v>
      </c>
      <c r="I473" s="1190">
        <v>-148</v>
      </c>
      <c r="J473" s="1190">
        <v>-30</v>
      </c>
      <c r="K473" s="1190">
        <v>-178</v>
      </c>
      <c r="L473" s="609" t="str">
        <f t="shared" si="65"/>
        <v>4593@</v>
      </c>
      <c r="M473" s="610" t="str">
        <f t="shared" si="66"/>
        <v># DE VTE - S-TRAITANCE GAR.CARR.</v>
      </c>
      <c r="N473" s="611">
        <f>+IF(OR($Q473=Parametres!$G$2,$Q473=Parametres!$G$3),I473,C473)</f>
        <v>-148</v>
      </c>
      <c r="O473" s="611">
        <f>+IF(OR($Q473=Parametres!$G$2,$Q473=Parametres!$G$3),J473,D473)</f>
        <v>-30</v>
      </c>
      <c r="P473" s="611">
        <f>+IF(OR($Q473=Parametres!$G$2,$Q473=Parametres!$G$3),K473,E473)</f>
        <v>-178</v>
      </c>
      <c r="Q473" s="610" t="str">
        <f t="shared" si="67"/>
        <v>10-Compte compteur</v>
      </c>
      <c r="R473" s="609" t="str">
        <f t="shared" si="68"/>
        <v>4593</v>
      </c>
      <c r="S473" s="610" t="str">
        <f t="shared" si="69"/>
        <v>_</v>
      </c>
      <c r="T473" s="612" t="str">
        <f>+VLOOKUP($L473,Data_Validation!$A:$D,1,0)</f>
        <v>4593@</v>
      </c>
      <c r="U473" s="612" t="str">
        <f>+VLOOKUP($L473,Data_Validation!$A:$D,3,0)</f>
        <v>Carrosserie</v>
      </c>
      <c r="V473" s="612" t="str">
        <f>+VLOOKUP($L473,Data_Validation!$A:$D,4,0)</f>
        <v>M/O Sous-traitement</v>
      </c>
      <c r="W473" s="612" t="str">
        <f>+VLOOKUP($L473,Data_Validation!$A:$E,5,0)</f>
        <v>NB</v>
      </c>
      <c r="X473" s="612">
        <f>+VLOOKUP($L473,Data_Validation!$A:$F,6,0)</f>
        <v>0</v>
      </c>
    </row>
    <row r="474" spans="1:24" ht="15" customHeight="1">
      <c r="A474" s="1188" t="s">
        <v>1005</v>
      </c>
      <c r="B474" s="1188" t="s">
        <v>1006</v>
      </c>
      <c r="C474" s="1189"/>
      <c r="D474" s="1189"/>
      <c r="E474" s="1189"/>
      <c r="F474" s="1188" t="s">
        <v>7</v>
      </c>
      <c r="G474" s="1188" t="s">
        <v>1004</v>
      </c>
      <c r="H474" s="1188" t="s">
        <v>3845</v>
      </c>
      <c r="I474" s="1190">
        <v>-7</v>
      </c>
      <c r="J474" s="1190">
        <v>-4</v>
      </c>
      <c r="K474" s="1190">
        <v>-11</v>
      </c>
      <c r="L474" s="609" t="str">
        <f t="shared" si="65"/>
        <v>4595@</v>
      </c>
      <c r="M474" s="610" t="str">
        <f t="shared" si="66"/>
        <v># DE VTE - S-TRAIT.INTERNE CARR.</v>
      </c>
      <c r="N474" s="611">
        <f>+IF(OR($Q474=Parametres!$G$2,$Q474=Parametres!$G$3),I474,C474)</f>
        <v>-7</v>
      </c>
      <c r="O474" s="611">
        <f>+IF(OR($Q474=Parametres!$G$2,$Q474=Parametres!$G$3),J474,D474)</f>
        <v>-4</v>
      </c>
      <c r="P474" s="611">
        <f>+IF(OR($Q474=Parametres!$G$2,$Q474=Parametres!$G$3),K474,E474)</f>
        <v>-11</v>
      </c>
      <c r="Q474" s="610" t="str">
        <f t="shared" si="67"/>
        <v>10-Compte compteur</v>
      </c>
      <c r="R474" s="609" t="str">
        <f t="shared" si="68"/>
        <v>4595</v>
      </c>
      <c r="S474" s="610" t="str">
        <f t="shared" si="69"/>
        <v>_</v>
      </c>
      <c r="T474" s="612" t="str">
        <f>+VLOOKUP($L474,Data_Validation!$A:$D,1,0)</f>
        <v>4595@</v>
      </c>
      <c r="U474" s="612" t="str">
        <f>+VLOOKUP($L474,Data_Validation!$A:$D,3,0)</f>
        <v>Carrosserie</v>
      </c>
      <c r="V474" s="612" t="str">
        <f>+VLOOKUP($L474,Data_Validation!$A:$D,4,0)</f>
        <v>M/O Sous-traitement</v>
      </c>
      <c r="W474" s="612" t="str">
        <f>+VLOOKUP($L474,Data_Validation!$A:$E,5,0)</f>
        <v>NB</v>
      </c>
      <c r="X474" s="612">
        <f>+VLOOKUP($L474,Data_Validation!$A:$F,6,0)</f>
        <v>0</v>
      </c>
    </row>
    <row r="475" spans="1:24" ht="15" customHeight="1">
      <c r="A475" s="1188" t="s">
        <v>3618</v>
      </c>
      <c r="B475" s="1188" t="s">
        <v>1010</v>
      </c>
      <c r="C475" s="1189"/>
      <c r="D475" s="1189"/>
      <c r="E475" s="1189"/>
      <c r="F475" s="1188" t="s">
        <v>7</v>
      </c>
      <c r="G475" s="1188" t="s">
        <v>1008</v>
      </c>
      <c r="H475" s="1188" t="s">
        <v>3845</v>
      </c>
      <c r="I475" s="1190">
        <v>-2542</v>
      </c>
      <c r="J475" s="1190">
        <v>-352</v>
      </c>
      <c r="K475" s="1190">
        <v>-2894</v>
      </c>
      <c r="L475" s="609" t="str">
        <f t="shared" si="65"/>
        <v>4701@</v>
      </c>
      <c r="M475" s="610" t="str">
        <f t="shared" si="66"/>
        <v>VW P&amp;A - BR - CLIENT - MCI</v>
      </c>
      <c r="N475" s="611">
        <f>+IF(OR($Q475=Parametres!$G$2,$Q475=Parametres!$G$3),I475,C475)</f>
        <v>-2542</v>
      </c>
      <c r="O475" s="611">
        <f>+IF(OR($Q475=Parametres!$G$2,$Q475=Parametres!$G$3),J475,D475)</f>
        <v>-352</v>
      </c>
      <c r="P475" s="611">
        <f>+IF(OR($Q475=Parametres!$G$2,$Q475=Parametres!$G$3),K475,E475)</f>
        <v>-2894</v>
      </c>
      <c r="Q475" s="610" t="str">
        <f t="shared" si="67"/>
        <v>10-Compte compteur</v>
      </c>
      <c r="R475" s="609" t="str">
        <f t="shared" si="68"/>
        <v>4701</v>
      </c>
      <c r="S475" s="610" t="str">
        <f t="shared" si="69"/>
        <v>_</v>
      </c>
      <c r="T475" s="612" t="str">
        <f>+VLOOKUP($L475,Data_Validation!$A:$D,1,0)</f>
        <v>4701@</v>
      </c>
      <c r="U475" s="612" t="str">
        <f>+VLOOKUP($L475,Data_Validation!$A:$D,3,0)</f>
        <v>Pièces</v>
      </c>
      <c r="V475" s="612" t="str">
        <f>+VLOOKUP($L475,Data_Validation!$A:$D,4,0)</f>
        <v>Pièces Ro Clients</v>
      </c>
      <c r="W475" s="612" t="str">
        <f>+VLOOKUP($L475,Data_Validation!$A:$E,5,0)</f>
        <v>NB</v>
      </c>
      <c r="X475" s="612">
        <f>+VLOOKUP($L475,Data_Validation!$A:$F,6,0)</f>
        <v>0</v>
      </c>
    </row>
    <row r="476" spans="1:24" ht="15" customHeight="1">
      <c r="A476" s="1188" t="s">
        <v>3619</v>
      </c>
      <c r="B476" s="1188" t="s">
        <v>1016</v>
      </c>
      <c r="C476" s="1189"/>
      <c r="D476" s="1189"/>
      <c r="E476" s="1189"/>
      <c r="F476" s="1188" t="s">
        <v>7</v>
      </c>
      <c r="G476" s="1188" t="s">
        <v>1014</v>
      </c>
      <c r="H476" s="1188" t="s">
        <v>3845</v>
      </c>
      <c r="I476" s="1190">
        <v>-808</v>
      </c>
      <c r="J476" s="1190">
        <v>-194</v>
      </c>
      <c r="K476" s="1190">
        <v>-1002</v>
      </c>
      <c r="L476" s="609" t="str">
        <f t="shared" si="65"/>
        <v>4703@</v>
      </c>
      <c r="M476" s="610" t="str">
        <f t="shared" si="66"/>
        <v>VW P&amp;A - BR - GARANTIE - MCI</v>
      </c>
      <c r="N476" s="611">
        <f>+IF(OR($Q476=Parametres!$G$2,$Q476=Parametres!$G$3),I476,C476)</f>
        <v>-808</v>
      </c>
      <c r="O476" s="611">
        <f>+IF(OR($Q476=Parametres!$G$2,$Q476=Parametres!$G$3),J476,D476)</f>
        <v>-194</v>
      </c>
      <c r="P476" s="611">
        <f>+IF(OR($Q476=Parametres!$G$2,$Q476=Parametres!$G$3),K476,E476)</f>
        <v>-1002</v>
      </c>
      <c r="Q476" s="610" t="str">
        <f t="shared" si="67"/>
        <v>10-Compte compteur</v>
      </c>
      <c r="R476" s="609" t="str">
        <f t="shared" si="68"/>
        <v>4703</v>
      </c>
      <c r="S476" s="610" t="str">
        <f t="shared" si="69"/>
        <v>_</v>
      </c>
      <c r="T476" s="612" t="str">
        <f>+VLOOKUP($L476,Data_Validation!$A:$D,1,0)</f>
        <v>4703@</v>
      </c>
      <c r="U476" s="612" t="str">
        <f>+VLOOKUP($L476,Data_Validation!$A:$D,3,0)</f>
        <v>Pièces</v>
      </c>
      <c r="V476" s="612" t="str">
        <f>+VLOOKUP($L476,Data_Validation!$A:$D,4,0)</f>
        <v>P/A Garantie</v>
      </c>
      <c r="W476" s="612" t="str">
        <f>+VLOOKUP($L476,Data_Validation!$A:$E,5,0)</f>
        <v>NB</v>
      </c>
      <c r="X476" s="612">
        <f>+VLOOKUP($L476,Data_Validation!$A:$F,6,0)</f>
        <v>0</v>
      </c>
    </row>
    <row r="477" spans="1:24" ht="15" customHeight="1">
      <c r="A477" s="1188" t="s">
        <v>3620</v>
      </c>
      <c r="B477" s="1188" t="s">
        <v>1020</v>
      </c>
      <c r="C477" s="1189"/>
      <c r="D477" s="1189"/>
      <c r="E477" s="1189"/>
      <c r="F477" s="1188" t="s">
        <v>7</v>
      </c>
      <c r="G477" s="1188" t="s">
        <v>1018</v>
      </c>
      <c r="H477" s="1188" t="s">
        <v>3845</v>
      </c>
      <c r="I477" s="1190">
        <v>-1732</v>
      </c>
      <c r="J477" s="1190">
        <v>-175</v>
      </c>
      <c r="K477" s="1190">
        <v>-1907</v>
      </c>
      <c r="L477" s="609" t="str">
        <f>TEXT(B477,0)</f>
        <v>4705@</v>
      </c>
      <c r="M477" s="610" t="str">
        <f>+A477</f>
        <v>VW P&amp;A - BR - INTERNE - MCI</v>
      </c>
      <c r="N477" s="611">
        <f>+IF(OR($Q477=Parametres!$G$2,$Q477=Parametres!$G$3),I477,C477)</f>
        <v>-1732</v>
      </c>
      <c r="O477" s="611">
        <f>+IF(OR($Q477=Parametres!$G$2,$Q477=Parametres!$G$3),J477,D477)</f>
        <v>-175</v>
      </c>
      <c r="P477" s="611">
        <f>+IF(OR($Q477=Parametres!$G$2,$Q477=Parametres!$G$3),K477,E477)</f>
        <v>-1907</v>
      </c>
      <c r="Q477" s="610" t="str">
        <f t="shared" ref="Q477:S481" si="70">+F477</f>
        <v>10-Compte compteur</v>
      </c>
      <c r="R477" s="609" t="str">
        <f t="shared" si="70"/>
        <v>4705</v>
      </c>
      <c r="S477" s="610" t="str">
        <f t="shared" si="70"/>
        <v>_</v>
      </c>
      <c r="T477" s="612" t="str">
        <f>+VLOOKUP($L477,Data_Validation!$A:$D,1,0)</f>
        <v>4705@</v>
      </c>
      <c r="U477" s="612" t="str">
        <f>+VLOOKUP($L477,Data_Validation!$A:$D,3,0)</f>
        <v>Pièces</v>
      </c>
      <c r="V477" s="612" t="str">
        <f>+VLOOKUP($L477,Data_Validation!$A:$D,4,0)</f>
        <v>Ventes Internes</v>
      </c>
      <c r="W477" s="612" t="str">
        <f>+VLOOKUP($L477,Data_Validation!$A:$E,5,0)</f>
        <v>NB</v>
      </c>
      <c r="X477" s="612">
        <f>+VLOOKUP($L477,Data_Validation!$A:$F,6,0)</f>
        <v>0</v>
      </c>
    </row>
    <row r="478" spans="1:24" ht="15" customHeight="1">
      <c r="A478" s="1188" t="s">
        <v>1024</v>
      </c>
      <c r="B478" s="1188" t="s">
        <v>1025</v>
      </c>
      <c r="C478" s="1189"/>
      <c r="D478" s="1189"/>
      <c r="E478" s="1189"/>
      <c r="F478" s="1188" t="s">
        <v>7</v>
      </c>
      <c r="G478" s="1188" t="s">
        <v>1023</v>
      </c>
      <c r="H478" s="1188" t="s">
        <v>3845</v>
      </c>
      <c r="I478" s="1190">
        <v>-1438</v>
      </c>
      <c r="J478" s="1190">
        <v>-191</v>
      </c>
      <c r="K478" s="1190">
        <v>-1629</v>
      </c>
      <c r="L478" s="609" t="str">
        <f>TEXT(B478,0)</f>
        <v>4711@</v>
      </c>
      <c r="M478" s="610" t="str">
        <f>+A478</f>
        <v># DE VTE - P&amp;A B.T. CLIENT AUDI</v>
      </c>
      <c r="N478" s="611">
        <f>+IF(OR($Q478=Parametres!$G$2,$Q478=Parametres!$G$3),I478,C478)</f>
        <v>-1438</v>
      </c>
      <c r="O478" s="611">
        <f>+IF(OR($Q478=Parametres!$G$2,$Q478=Parametres!$G$3),J478,D478)</f>
        <v>-191</v>
      </c>
      <c r="P478" s="611">
        <f>+IF(OR($Q478=Parametres!$G$2,$Q478=Parametres!$G$3),K478,E478)</f>
        <v>-1629</v>
      </c>
      <c r="Q478" s="610" t="str">
        <f t="shared" si="70"/>
        <v>10-Compte compteur</v>
      </c>
      <c r="R478" s="609" t="str">
        <f t="shared" si="70"/>
        <v>84711</v>
      </c>
      <c r="S478" s="610" t="str">
        <f t="shared" si="70"/>
        <v>_</v>
      </c>
      <c r="T478" s="612" t="str">
        <f>+VLOOKUP($L478,Data_Validation!$A:$D,1,0)</f>
        <v>4711@</v>
      </c>
      <c r="U478" s="612" t="str">
        <f>+VLOOKUP($L478,Data_Validation!$A:$D,3,0)</f>
        <v>Pièces</v>
      </c>
      <c r="V478" s="612" t="str">
        <f>+VLOOKUP($L478,Data_Validation!$A:$D,4,0)</f>
        <v>Pièces Ro Clients</v>
      </c>
      <c r="W478" s="612" t="str">
        <f>+VLOOKUP($L478,Data_Validation!$A:$E,5,0)</f>
        <v>NB</v>
      </c>
      <c r="X478" s="612">
        <f>+VLOOKUP($L478,Data_Validation!$A:$F,6,0)</f>
        <v>0</v>
      </c>
    </row>
    <row r="479" spans="1:24" ht="15" customHeight="1">
      <c r="A479" s="1188" t="s">
        <v>1032</v>
      </c>
      <c r="B479" s="1188" t="s">
        <v>1033</v>
      </c>
      <c r="C479" s="1189"/>
      <c r="D479" s="1189"/>
      <c r="E479" s="1189"/>
      <c r="F479" s="1188" t="s">
        <v>7</v>
      </c>
      <c r="G479" s="1188" t="s">
        <v>1031</v>
      </c>
      <c r="H479" s="1188" t="s">
        <v>3845</v>
      </c>
      <c r="I479" s="1190">
        <v>-23</v>
      </c>
      <c r="J479" s="1190">
        <v>-8</v>
      </c>
      <c r="K479" s="1190">
        <v>-31</v>
      </c>
      <c r="L479" s="609" t="str">
        <f>TEXT(B479,0)</f>
        <v>4731@</v>
      </c>
      <c r="M479" s="610" t="str">
        <f>+A479</f>
        <v>PIECES-BON REPAR. PEINT/DEBOS</v>
      </c>
      <c r="N479" s="611">
        <f>+IF(OR($Q479=Parametres!$G$2,$Q479=Parametres!$G$3),I479,C479)</f>
        <v>-23</v>
      </c>
      <c r="O479" s="611">
        <f>+IF(OR($Q479=Parametres!$G$2,$Q479=Parametres!$G$3),J479,D479)</f>
        <v>-8</v>
      </c>
      <c r="P479" s="611">
        <f>+IF(OR($Q479=Parametres!$G$2,$Q479=Parametres!$G$3),K479,E479)</f>
        <v>-31</v>
      </c>
      <c r="Q479" s="610" t="str">
        <f t="shared" si="70"/>
        <v>10-Compte compteur</v>
      </c>
      <c r="R479" s="609" t="str">
        <f t="shared" si="70"/>
        <v>4731</v>
      </c>
      <c r="S479" s="610" t="str">
        <f t="shared" si="70"/>
        <v>_</v>
      </c>
      <c r="T479" s="612" t="str">
        <f>+VLOOKUP($L479,Data_Validation!$A:$D,1,0)</f>
        <v>4731@</v>
      </c>
      <c r="U479" s="612" t="str">
        <f>+VLOOKUP($L479,Data_Validation!$A:$D,3,0)</f>
        <v>Pièces</v>
      </c>
      <c r="V479" s="612" t="str">
        <f>+VLOOKUP($L479,Data_Validation!$A:$D,4,0)</f>
        <v>Pièces Ro Carrosserie</v>
      </c>
      <c r="W479" s="612" t="str">
        <f>+VLOOKUP($L479,Data_Validation!$A:$E,5,0)</f>
        <v>NB</v>
      </c>
      <c r="X479" s="612">
        <f>+VLOOKUP($L479,Data_Validation!$A:$F,6,0)</f>
        <v>0</v>
      </c>
    </row>
    <row r="480" spans="1:24" ht="15" customHeight="1">
      <c r="A480" s="1188" t="s">
        <v>1036</v>
      </c>
      <c r="B480" s="1188" t="s">
        <v>1037</v>
      </c>
      <c r="C480" s="1189"/>
      <c r="D480" s="1189"/>
      <c r="E480" s="1189"/>
      <c r="F480" s="1188" t="s">
        <v>7</v>
      </c>
      <c r="G480" s="1188" t="s">
        <v>1035</v>
      </c>
      <c r="H480" s="1188" t="s">
        <v>3845</v>
      </c>
      <c r="I480" s="1190">
        <v>-138</v>
      </c>
      <c r="J480" s="1190">
        <v>-30</v>
      </c>
      <c r="K480" s="1190">
        <v>-168</v>
      </c>
      <c r="L480" s="609" t="str">
        <f>TEXT(B480,0)</f>
        <v>4733@</v>
      </c>
      <c r="M480" s="610" t="str">
        <f>+A480</f>
        <v># DE VTE - P&amp;A B.T. GARANTIE CARR.</v>
      </c>
      <c r="N480" s="611">
        <f>+IF(OR($Q480=Parametres!$G$2,$Q480=Parametres!$G$3),I480,C480)</f>
        <v>-138</v>
      </c>
      <c r="O480" s="611">
        <f>+IF(OR($Q480=Parametres!$G$2,$Q480=Parametres!$G$3),J480,D480)</f>
        <v>-30</v>
      </c>
      <c r="P480" s="611">
        <f>+IF(OR($Q480=Parametres!$G$2,$Q480=Parametres!$G$3),K480,E480)</f>
        <v>-168</v>
      </c>
      <c r="Q480" s="610" t="str">
        <f t="shared" si="70"/>
        <v>10-Compte compteur</v>
      </c>
      <c r="R480" s="609" t="str">
        <f t="shared" si="70"/>
        <v>4733</v>
      </c>
      <c r="S480" s="610" t="str">
        <f t="shared" si="70"/>
        <v>_</v>
      </c>
      <c r="T480" s="612" t="str">
        <f>+VLOOKUP($L480,Data_Validation!$A:$D,1,0)</f>
        <v>4733@</v>
      </c>
      <c r="U480" s="612" t="str">
        <f>+VLOOKUP($L480,Data_Validation!$A:$D,3,0)</f>
        <v>Pièces</v>
      </c>
      <c r="V480" s="612" t="str">
        <f>+VLOOKUP($L480,Data_Validation!$A:$D,4,0)</f>
        <v>Pièces Ro Carrosserie</v>
      </c>
      <c r="W480" s="612" t="str">
        <f>+VLOOKUP($L480,Data_Validation!$A:$E,5,0)</f>
        <v>NB</v>
      </c>
      <c r="X480" s="612">
        <f>+VLOOKUP($L480,Data_Validation!$A:$F,6,0)</f>
        <v>0</v>
      </c>
    </row>
    <row r="481" spans="1:24" ht="15" customHeight="1">
      <c r="A481" s="1188" t="s">
        <v>1040</v>
      </c>
      <c r="B481" s="1188" t="s">
        <v>1041</v>
      </c>
      <c r="C481" s="1189"/>
      <c r="D481" s="1189"/>
      <c r="E481" s="1189"/>
      <c r="F481" s="1188" t="s">
        <v>7</v>
      </c>
      <c r="G481" s="1188" t="s">
        <v>1039</v>
      </c>
      <c r="H481" s="1188" t="s">
        <v>3845</v>
      </c>
      <c r="I481" s="1190">
        <v>-17</v>
      </c>
      <c r="J481" s="1190">
        <v>-5</v>
      </c>
      <c r="K481" s="1190">
        <v>-22</v>
      </c>
      <c r="L481" s="609" t="str">
        <f>TEXT(B481,0)</f>
        <v>4735@</v>
      </c>
      <c r="M481" s="610" t="str">
        <f>+A481</f>
        <v># DE VTE - P&amp;A B.T. INTERNE CARROS.</v>
      </c>
      <c r="N481" s="611">
        <f>+IF(OR($Q481=Parametres!$G$2,$Q481=Parametres!$G$3),I481,C481)</f>
        <v>-17</v>
      </c>
      <c r="O481" s="611">
        <f>+IF(OR($Q481=Parametres!$G$2,$Q481=Parametres!$G$3),J481,D481)</f>
        <v>-5</v>
      </c>
      <c r="P481" s="611">
        <f>+IF(OR($Q481=Parametres!$G$2,$Q481=Parametres!$G$3),K481,E481)</f>
        <v>-22</v>
      </c>
      <c r="Q481" s="610" t="str">
        <f t="shared" si="70"/>
        <v>10-Compte compteur</v>
      </c>
      <c r="R481" s="609" t="str">
        <f t="shared" si="70"/>
        <v>4735</v>
      </c>
      <c r="S481" s="610" t="str">
        <f t="shared" si="70"/>
        <v>_</v>
      </c>
      <c r="T481" s="612" t="str">
        <f>+VLOOKUP($L481,Data_Validation!$A:$D,1,0)</f>
        <v>4735@</v>
      </c>
      <c r="U481" s="612" t="str">
        <f>+VLOOKUP($L481,Data_Validation!$A:$D,3,0)</f>
        <v>Pièces</v>
      </c>
      <c r="V481" s="612" t="str">
        <f>+VLOOKUP($L481,Data_Validation!$A:$D,4,0)</f>
        <v>Pièces Ro Carrosserie</v>
      </c>
      <c r="W481" s="612" t="str">
        <f>+VLOOKUP($L481,Data_Validation!$A:$E,5,0)</f>
        <v>NB</v>
      </c>
      <c r="X481" s="612">
        <f>+VLOOKUP($L481,Data_Validation!$A:$F,6,0)</f>
        <v>0</v>
      </c>
    </row>
    <row r="482" spans="1:24" ht="15" customHeight="1">
      <c r="A482" s="1188" t="s">
        <v>1044</v>
      </c>
      <c r="B482" s="1188" t="s">
        <v>1045</v>
      </c>
      <c r="C482" s="1189"/>
      <c r="D482" s="1189"/>
      <c r="E482" s="1189"/>
      <c r="F482" s="1188" t="s">
        <v>7</v>
      </c>
      <c r="G482" s="1188" t="s">
        <v>1043</v>
      </c>
      <c r="H482" s="1188" t="s">
        <v>3845</v>
      </c>
      <c r="I482" s="1190">
        <v>-724</v>
      </c>
      <c r="J482" s="1190">
        <v>-120</v>
      </c>
      <c r="K482" s="1190">
        <v>-844</v>
      </c>
    </row>
    <row r="483" spans="1:24" ht="15" customHeight="1">
      <c r="A483" s="1188" t="s">
        <v>1048</v>
      </c>
      <c r="B483" s="1188" t="s">
        <v>1049</v>
      </c>
      <c r="C483" s="1189"/>
      <c r="D483" s="1189"/>
      <c r="E483" s="1189"/>
      <c r="F483" s="1188" t="s">
        <v>7</v>
      </c>
      <c r="G483" s="1188" t="s">
        <v>1047</v>
      </c>
      <c r="H483" s="1188" t="s">
        <v>3845</v>
      </c>
      <c r="I483" s="1190">
        <v>-2514</v>
      </c>
      <c r="J483" s="1190">
        <v>-419</v>
      </c>
      <c r="K483" s="1190">
        <v>-2933</v>
      </c>
    </row>
    <row r="484" spans="1:24" ht="15" customHeight="1">
      <c r="A484" s="1188" t="s">
        <v>1050</v>
      </c>
      <c r="B484" s="1188" t="s">
        <v>1052</v>
      </c>
      <c r="C484" s="1189"/>
      <c r="D484" s="1189"/>
      <c r="E484" s="1189"/>
      <c r="F484" s="1188" t="s">
        <v>7</v>
      </c>
      <c r="G484" s="1188" t="s">
        <v>1051</v>
      </c>
      <c r="H484" s="1188" t="s">
        <v>3845</v>
      </c>
      <c r="I484" s="1190">
        <v>-317</v>
      </c>
      <c r="J484" s="1190">
        <v>-27</v>
      </c>
      <c r="K484" s="1190">
        <v>-344</v>
      </c>
    </row>
    <row r="485" spans="1:24" ht="15" customHeight="1">
      <c r="A485" s="1188" t="s">
        <v>1239</v>
      </c>
      <c r="B485" s="1188" t="s">
        <v>1241</v>
      </c>
      <c r="C485" s="1189"/>
      <c r="D485" s="1189"/>
      <c r="E485" s="1189"/>
      <c r="F485" s="1188" t="s">
        <v>7</v>
      </c>
      <c r="G485" s="1188" t="s">
        <v>1240</v>
      </c>
      <c r="H485" s="1188" t="s">
        <v>3845</v>
      </c>
      <c r="I485" s="1190">
        <v>-41</v>
      </c>
      <c r="J485" s="1190">
        <v>-18</v>
      </c>
      <c r="K485" s="1190">
        <v>-59</v>
      </c>
    </row>
    <row r="486" spans="1:24" ht="15" customHeight="1">
      <c r="A486" s="1188" t="s">
        <v>3291</v>
      </c>
      <c r="B486" s="1188" t="s">
        <v>3292</v>
      </c>
      <c r="C486" s="1189"/>
      <c r="D486" s="1189"/>
      <c r="E486" s="1189"/>
      <c r="F486" s="1188" t="s">
        <v>7</v>
      </c>
      <c r="G486" s="1188" t="s">
        <v>1236</v>
      </c>
      <c r="H486" s="1188" t="s">
        <v>3845</v>
      </c>
      <c r="I486" s="1190">
        <v>-325</v>
      </c>
      <c r="J486" s="1190">
        <v>-67</v>
      </c>
      <c r="K486" s="1190">
        <v>-392</v>
      </c>
    </row>
    <row r="487" spans="1:24" ht="15" customHeight="1">
      <c r="A487" s="1188" t="s">
        <v>1252</v>
      </c>
      <c r="B487" s="1188" t="s">
        <v>1253</v>
      </c>
      <c r="C487" s="1189"/>
      <c r="D487" s="1189"/>
      <c r="E487" s="1189"/>
      <c r="F487" s="1188" t="s">
        <v>7</v>
      </c>
      <c r="G487" s="1188" t="s">
        <v>1240</v>
      </c>
      <c r="H487" s="1188" t="s">
        <v>3845</v>
      </c>
      <c r="I487" s="1190">
        <v>-114</v>
      </c>
      <c r="J487" s="1190">
        <v>-17</v>
      </c>
      <c r="K487" s="1190">
        <v>-131</v>
      </c>
    </row>
  </sheetData>
  <autoFilter ref="A1:X481" xr:uid="{00000000-0009-0000-0000-00000E000000}">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50"/>
  <sheetViews>
    <sheetView topLeftCell="A563" workbookViewId="0">
      <selection activeCell="D581" sqref="D581:G58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1262</v>
      </c>
      <c r="B1" s="630" t="s">
        <v>251</v>
      </c>
      <c r="C1" s="630" t="s">
        <v>1263</v>
      </c>
      <c r="D1" s="630" t="s">
        <v>663</v>
      </c>
      <c r="E1" s="631" t="s">
        <v>664</v>
      </c>
      <c r="F1" s="631" t="s">
        <v>1264</v>
      </c>
      <c r="G1" s="631" t="s">
        <v>1265</v>
      </c>
      <c r="H1" s="4"/>
      <c r="I1" s="632" t="s">
        <v>1263</v>
      </c>
      <c r="K1" s="632" t="s">
        <v>663</v>
      </c>
    </row>
    <row r="2" spans="1:13" ht="15" customHeight="1">
      <c r="A2" s="646" t="s">
        <v>1383</v>
      </c>
      <c r="B2" s="634" t="s">
        <v>665</v>
      </c>
      <c r="C2" s="635"/>
      <c r="D2" s="635"/>
      <c r="E2" s="636"/>
      <c r="F2" s="637"/>
      <c r="G2" s="638" t="s">
        <v>2</v>
      </c>
      <c r="H2" s="3"/>
      <c r="I2" s="639" t="s">
        <v>1266</v>
      </c>
      <c r="K2" s="639">
        <f>Print_Mois!C4</f>
        <v>0</v>
      </c>
    </row>
    <row r="3" spans="1:13" ht="15" customHeight="1">
      <c r="A3" s="646" t="s">
        <v>1386</v>
      </c>
      <c r="B3" s="634" t="s">
        <v>674</v>
      </c>
      <c r="C3" s="635"/>
      <c r="D3" s="635"/>
      <c r="E3" s="636"/>
      <c r="F3" s="637"/>
      <c r="G3" s="638" t="e">
        <v>#N/A</v>
      </c>
      <c r="H3" s="33"/>
      <c r="I3" s="639" t="str">
        <f>Print_Mois!K1</f>
        <v>Véhicules neufs</v>
      </c>
      <c r="K3" s="639" t="s">
        <v>83</v>
      </c>
    </row>
    <row r="4" spans="1:13" ht="15" customHeight="1">
      <c r="A4" s="646" t="s">
        <v>1389</v>
      </c>
      <c r="B4" s="634" t="s">
        <v>675</v>
      </c>
      <c r="C4" s="635"/>
      <c r="D4" s="635"/>
      <c r="E4" s="636"/>
      <c r="F4" s="637"/>
      <c r="G4" s="638" t="s">
        <v>761</v>
      </c>
      <c r="H4" s="33"/>
      <c r="I4" s="639" t="str">
        <f>Print_Mois!K89</f>
        <v>Véhicules usagés</v>
      </c>
      <c r="K4" s="639" t="str">
        <f>Print_Mois!C185</f>
        <v>Ajustement M/O</v>
      </c>
      <c r="M4" s="640" t="s">
        <v>1267</v>
      </c>
    </row>
    <row r="5" spans="1:13" ht="15" customHeight="1">
      <c r="A5" s="646" t="s">
        <v>762</v>
      </c>
      <c r="B5" s="634" t="s">
        <v>760</v>
      </c>
      <c r="C5" s="635" t="s">
        <v>1266</v>
      </c>
      <c r="D5" s="635" t="s">
        <v>25</v>
      </c>
      <c r="E5" s="636" t="s">
        <v>303</v>
      </c>
      <c r="F5" s="637"/>
      <c r="G5" s="638" t="s">
        <v>761</v>
      </c>
      <c r="H5" s="33"/>
      <c r="I5" s="639" t="str">
        <f>Print_Mois!AE403</f>
        <v>TOTAL DES REVENUS ET DÉPENSES</v>
      </c>
      <c r="K5" s="639" t="s">
        <v>70</v>
      </c>
      <c r="M5" s="138" t="s">
        <v>1268</v>
      </c>
    </row>
    <row r="6" spans="1:13" ht="15" customHeight="1">
      <c r="A6" s="646" t="s">
        <v>3300</v>
      </c>
      <c r="B6" s="634" t="s">
        <v>1283</v>
      </c>
      <c r="C6" s="635" t="s">
        <v>1266</v>
      </c>
      <c r="D6" s="635" t="s">
        <v>25</v>
      </c>
      <c r="E6" s="636" t="s">
        <v>303</v>
      </c>
      <c r="F6" s="637"/>
      <c r="G6" s="636" t="s">
        <v>761</v>
      </c>
      <c r="H6" s="33"/>
      <c r="I6" s="639" t="str">
        <f>Print_Mois!K169</f>
        <v>Service</v>
      </c>
      <c r="K6" s="639" t="s">
        <v>72</v>
      </c>
      <c r="M6" s="138" t="s">
        <v>1269</v>
      </c>
    </row>
    <row r="7" spans="1:13" ht="15" customHeight="1">
      <c r="A7" s="646" t="s">
        <v>3301</v>
      </c>
      <c r="B7" s="634" t="s">
        <v>763</v>
      </c>
      <c r="C7" s="635" t="s">
        <v>1266</v>
      </c>
      <c r="D7" s="635" t="s">
        <v>25</v>
      </c>
      <c r="E7" s="636" t="s">
        <v>303</v>
      </c>
      <c r="F7" s="637"/>
      <c r="G7" s="638" t="s">
        <v>761</v>
      </c>
      <c r="H7" s="33"/>
      <c r="I7" s="639" t="str">
        <f>Print_Mois!K237</f>
        <v>Carrosserie</v>
      </c>
      <c r="K7" s="639" t="str">
        <f>Print_Mois!V492</f>
        <v>Amortissement</v>
      </c>
      <c r="M7" s="138" t="s">
        <v>304</v>
      </c>
    </row>
    <row r="8" spans="1:13" ht="15" customHeight="1">
      <c r="A8" s="646" t="s">
        <v>3302</v>
      </c>
      <c r="B8" s="634" t="s">
        <v>1285</v>
      </c>
      <c r="C8" s="635" t="s">
        <v>1266</v>
      </c>
      <c r="D8" s="635" t="s">
        <v>25</v>
      </c>
      <c r="E8" s="636" t="s">
        <v>303</v>
      </c>
      <c r="F8" s="637"/>
      <c r="G8" s="636" t="e">
        <v>#N/A</v>
      </c>
      <c r="H8" s="33"/>
      <c r="I8" s="639" t="str">
        <f>Print_Mois!K292</f>
        <v>Pièces</v>
      </c>
      <c r="K8" s="639" t="s">
        <v>85</v>
      </c>
      <c r="M8" s="138" t="s">
        <v>161</v>
      </c>
    </row>
    <row r="9" spans="1:13" ht="15" customHeight="1">
      <c r="A9" s="646" t="s">
        <v>3864</v>
      </c>
      <c r="B9" s="634" t="s">
        <v>3863</v>
      </c>
      <c r="C9" s="635" t="s">
        <v>1266</v>
      </c>
      <c r="D9" s="635" t="s">
        <v>25</v>
      </c>
      <c r="E9" s="636" t="s">
        <v>303</v>
      </c>
      <c r="F9" s="637"/>
      <c r="G9" s="638" t="s">
        <v>761</v>
      </c>
      <c r="H9" s="33"/>
      <c r="I9" s="639"/>
      <c r="K9" s="639"/>
      <c r="M9" s="138"/>
    </row>
    <row r="10" spans="1:13" ht="15" customHeight="1">
      <c r="A10" s="646" t="s">
        <v>3303</v>
      </c>
      <c r="B10" s="634" t="s">
        <v>1286</v>
      </c>
      <c r="C10" s="635" t="s">
        <v>1266</v>
      </c>
      <c r="D10" s="635" t="s">
        <v>25</v>
      </c>
      <c r="E10" s="636" t="s">
        <v>303</v>
      </c>
      <c r="F10" s="637"/>
      <c r="G10" s="636" t="s">
        <v>761</v>
      </c>
      <c r="H10" s="33"/>
      <c r="I10" s="639" t="s">
        <v>1270</v>
      </c>
      <c r="K10" s="639" t="str">
        <f>Print_Mois!V458</f>
        <v>Assurances</v>
      </c>
      <c r="M10" s="138" t="s">
        <v>180</v>
      </c>
    </row>
    <row r="11" spans="1:13" ht="15" customHeight="1">
      <c r="A11" s="646" t="s">
        <v>3810</v>
      </c>
      <c r="B11" s="634" t="s">
        <v>3809</v>
      </c>
      <c r="C11" s="635" t="s">
        <v>1266</v>
      </c>
      <c r="D11" s="635" t="s">
        <v>25</v>
      </c>
      <c r="E11" s="636" t="s">
        <v>303</v>
      </c>
      <c r="F11" s="637"/>
      <c r="G11" s="636" t="s">
        <v>2</v>
      </c>
      <c r="H11" s="33"/>
      <c r="I11" s="639"/>
      <c r="K11" s="639"/>
      <c r="M11" s="138"/>
    </row>
    <row r="12" spans="1:13" ht="15" customHeight="1">
      <c r="A12" s="646" t="s">
        <v>3304</v>
      </c>
      <c r="B12" s="634" t="s">
        <v>764</v>
      </c>
      <c r="C12" s="635" t="s">
        <v>1266</v>
      </c>
      <c r="D12" s="635" t="s">
        <v>25</v>
      </c>
      <c r="E12" s="636" t="s">
        <v>303</v>
      </c>
      <c r="F12" s="637"/>
      <c r="G12" s="638" t="s">
        <v>2</v>
      </c>
      <c r="H12" s="33"/>
      <c r="I12" s="639"/>
      <c r="K12" s="639" t="s">
        <v>1271</v>
      </c>
      <c r="M12" s="138" t="s">
        <v>176</v>
      </c>
    </row>
    <row r="13" spans="1:13" ht="15" customHeight="1">
      <c r="A13" s="646" t="s">
        <v>1394</v>
      </c>
      <c r="B13" s="634" t="s">
        <v>1287</v>
      </c>
      <c r="C13" s="635" t="s">
        <v>1266</v>
      </c>
      <c r="D13" s="635" t="s">
        <v>25</v>
      </c>
      <c r="E13" s="636" t="s">
        <v>303</v>
      </c>
      <c r="F13" s="637"/>
      <c r="G13" s="636" t="s">
        <v>847</v>
      </c>
      <c r="H13" s="33"/>
      <c r="I13" s="639"/>
      <c r="K13" s="639" t="s">
        <v>1272</v>
      </c>
      <c r="M13" s="640" t="s">
        <v>1273</v>
      </c>
    </row>
    <row r="14" spans="1:13" ht="15" customHeight="1">
      <c r="A14" s="646" t="s">
        <v>1397</v>
      </c>
      <c r="B14" s="634" t="s">
        <v>765</v>
      </c>
      <c r="C14" s="635" t="s">
        <v>1266</v>
      </c>
      <c r="D14" s="635" t="s">
        <v>25</v>
      </c>
      <c r="E14" s="636" t="s">
        <v>303</v>
      </c>
      <c r="F14" s="637"/>
      <c r="G14" s="638" t="s">
        <v>847</v>
      </c>
      <c r="H14" s="33"/>
      <c r="K14" s="639" t="str">
        <f>Print_Mois!C6</f>
        <v>Autos détail</v>
      </c>
      <c r="M14" s="5" t="s">
        <v>1269</v>
      </c>
    </row>
    <row r="15" spans="1:13" ht="15" customHeight="1">
      <c r="A15" s="646" t="s">
        <v>3305</v>
      </c>
      <c r="B15" s="634" t="s">
        <v>1288</v>
      </c>
      <c r="C15" s="635" t="s">
        <v>1266</v>
      </c>
      <c r="D15" s="635" t="s">
        <v>25</v>
      </c>
      <c r="E15" s="636" t="s">
        <v>303</v>
      </c>
      <c r="F15" s="637"/>
      <c r="G15" s="636" t="e">
        <v>#N/A</v>
      </c>
      <c r="H15" s="33"/>
      <c r="K15" s="639" t="s">
        <v>173</v>
      </c>
    </row>
    <row r="16" spans="1:13" ht="15" customHeight="1">
      <c r="A16" s="646" t="s">
        <v>3306</v>
      </c>
      <c r="B16" s="634" t="s">
        <v>765</v>
      </c>
      <c r="C16" s="635" t="s">
        <v>1266</v>
      </c>
      <c r="D16" s="635" t="s">
        <v>25</v>
      </c>
      <c r="E16" s="636" t="s">
        <v>303</v>
      </c>
      <c r="F16" s="637"/>
      <c r="G16" s="638" t="e">
        <v>#N/A</v>
      </c>
      <c r="H16" s="33"/>
      <c r="K16" s="639" t="str">
        <f>Print_Mois!C313</f>
        <v>Autostock</v>
      </c>
      <c r="M16" s="5" t="s">
        <v>304</v>
      </c>
    </row>
    <row r="17" spans="1:13" ht="15" customHeight="1">
      <c r="A17" s="646" t="s">
        <v>3296</v>
      </c>
      <c r="B17" s="634" t="s">
        <v>676</v>
      </c>
      <c r="C17" s="635"/>
      <c r="D17" s="635"/>
      <c r="E17" s="636"/>
      <c r="F17" s="637"/>
      <c r="G17" s="638" t="e">
        <v>#N/A</v>
      </c>
      <c r="H17" s="33"/>
      <c r="K17" s="639" t="s">
        <v>43</v>
      </c>
    </row>
    <row r="18" spans="1:13" ht="15" customHeight="1">
      <c r="A18" s="646" t="s">
        <v>768</v>
      </c>
      <c r="B18" s="634" t="s">
        <v>767</v>
      </c>
      <c r="C18" s="635" t="s">
        <v>1266</v>
      </c>
      <c r="D18" s="635" t="s">
        <v>29</v>
      </c>
      <c r="E18" s="636" t="s">
        <v>303</v>
      </c>
      <c r="F18" s="637"/>
      <c r="G18" s="638" t="e">
        <v>#N/A</v>
      </c>
      <c r="H18" s="33"/>
      <c r="K18" s="639" t="s">
        <v>57</v>
      </c>
      <c r="M18" s="640" t="s">
        <v>1274</v>
      </c>
    </row>
    <row r="19" spans="1:13" ht="15" customHeight="1">
      <c r="A19" s="646" t="s">
        <v>770</v>
      </c>
      <c r="B19" s="634" t="s">
        <v>769</v>
      </c>
      <c r="C19" s="635" t="s">
        <v>1266</v>
      </c>
      <c r="D19" s="635" t="s">
        <v>30</v>
      </c>
      <c r="E19" s="636" t="s">
        <v>303</v>
      </c>
      <c r="F19" s="637"/>
      <c r="G19" s="638" t="s">
        <v>847</v>
      </c>
      <c r="H19" s="33"/>
      <c r="K19" s="639" t="s">
        <v>73</v>
      </c>
      <c r="M19" s="5" t="s">
        <v>1269</v>
      </c>
    </row>
    <row r="20" spans="1:13" ht="15" customHeight="1">
      <c r="A20" s="646" t="s">
        <v>1404</v>
      </c>
      <c r="B20" s="634" t="s">
        <v>771</v>
      </c>
      <c r="C20" s="635" t="s">
        <v>1266</v>
      </c>
      <c r="D20" s="635" t="s">
        <v>30</v>
      </c>
      <c r="E20" s="636" t="s">
        <v>303</v>
      </c>
      <c r="F20" s="637"/>
      <c r="G20" s="638" t="s">
        <v>847</v>
      </c>
      <c r="H20" s="33"/>
      <c r="K20" s="639" t="s">
        <v>31</v>
      </c>
      <c r="M20" s="5" t="s">
        <v>304</v>
      </c>
    </row>
    <row r="21" spans="1:13" ht="15" customHeight="1">
      <c r="A21" s="646" t="s">
        <v>773</v>
      </c>
      <c r="B21" s="634" t="s">
        <v>772</v>
      </c>
      <c r="C21" s="635" t="s">
        <v>1266</v>
      </c>
      <c r="D21" s="635" t="s">
        <v>34</v>
      </c>
      <c r="E21" s="636" t="s">
        <v>303</v>
      </c>
      <c r="F21" s="637"/>
      <c r="G21" s="638" t="s">
        <v>847</v>
      </c>
      <c r="H21" s="33"/>
      <c r="K21" s="639" t="s">
        <v>54</v>
      </c>
    </row>
    <row r="22" spans="1:13" ht="15" customHeight="1">
      <c r="A22" s="646" t="s">
        <v>1409</v>
      </c>
      <c r="B22" s="634" t="s">
        <v>774</v>
      </c>
      <c r="C22" s="635" t="s">
        <v>1266</v>
      </c>
      <c r="D22" s="635" t="s">
        <v>38</v>
      </c>
      <c r="E22" s="636" t="s">
        <v>303</v>
      </c>
      <c r="F22" s="637"/>
      <c r="G22" s="638" t="s">
        <v>847</v>
      </c>
      <c r="H22" s="33"/>
      <c r="K22" s="639" t="s">
        <v>82</v>
      </c>
    </row>
    <row r="23" spans="1:13" ht="15" customHeight="1">
      <c r="A23" s="646" t="s">
        <v>3307</v>
      </c>
      <c r="B23" s="634" t="s">
        <v>775</v>
      </c>
      <c r="C23" s="635" t="s">
        <v>1266</v>
      </c>
      <c r="D23" s="635" t="s">
        <v>40</v>
      </c>
      <c r="E23" s="636" t="s">
        <v>303</v>
      </c>
      <c r="F23" s="637"/>
      <c r="G23" s="638" t="s">
        <v>847</v>
      </c>
      <c r="H23" s="33"/>
      <c r="K23" s="639" t="s">
        <v>67</v>
      </c>
    </row>
    <row r="24" spans="1:13" ht="15" customHeight="1">
      <c r="A24" s="646" t="s">
        <v>3308</v>
      </c>
      <c r="B24" s="634" t="s">
        <v>776</v>
      </c>
      <c r="C24" s="635" t="s">
        <v>1266</v>
      </c>
      <c r="D24" s="635" t="s">
        <v>40</v>
      </c>
      <c r="E24" s="636" t="s">
        <v>303</v>
      </c>
      <c r="F24" s="637"/>
      <c r="G24" s="638" t="s">
        <v>847</v>
      </c>
      <c r="H24" s="33"/>
      <c r="K24" s="639" t="s">
        <v>68</v>
      </c>
    </row>
    <row r="25" spans="1:13" ht="15" customHeight="1">
      <c r="A25" s="646" t="s">
        <v>1412</v>
      </c>
      <c r="B25" s="634" t="s">
        <v>777</v>
      </c>
      <c r="C25" s="635" t="s">
        <v>1266</v>
      </c>
      <c r="D25" s="635" t="s">
        <v>32</v>
      </c>
      <c r="E25" s="636" t="s">
        <v>303</v>
      </c>
      <c r="F25" s="637"/>
      <c r="G25" s="638" t="s">
        <v>847</v>
      </c>
      <c r="H25" s="33"/>
      <c r="K25" s="639" t="str">
        <f>Print_Mois!V431</f>
        <v>Bénéfices marginaux</v>
      </c>
    </row>
    <row r="26" spans="1:13" ht="15" customHeight="1">
      <c r="A26" s="646" t="s">
        <v>780</v>
      </c>
      <c r="B26" s="634" t="s">
        <v>779</v>
      </c>
      <c r="C26" s="635" t="s">
        <v>1266</v>
      </c>
      <c r="D26" s="635" t="s">
        <v>36</v>
      </c>
      <c r="E26" s="636" t="s">
        <v>303</v>
      </c>
      <c r="F26" s="637"/>
      <c r="G26" s="638" t="s">
        <v>847</v>
      </c>
      <c r="H26" s="33"/>
      <c r="K26" s="639" t="s">
        <v>86</v>
      </c>
    </row>
    <row r="27" spans="1:13" ht="15" customHeight="1">
      <c r="A27" s="646" t="s">
        <v>1417</v>
      </c>
      <c r="B27" s="634" t="s">
        <v>781</v>
      </c>
      <c r="C27" s="635" t="s">
        <v>1266</v>
      </c>
      <c r="D27" s="635" t="s">
        <v>1289</v>
      </c>
      <c r="E27" s="636" t="s">
        <v>303</v>
      </c>
      <c r="F27" s="637"/>
      <c r="G27" s="638" t="s">
        <v>847</v>
      </c>
      <c r="H27" s="33"/>
      <c r="K27" s="639" t="s">
        <v>1266</v>
      </c>
    </row>
    <row r="28" spans="1:13" ht="15" customHeight="1">
      <c r="A28" s="646" t="s">
        <v>1420</v>
      </c>
      <c r="B28" s="634" t="s">
        <v>782</v>
      </c>
      <c r="C28" s="635" t="s">
        <v>1266</v>
      </c>
      <c r="D28" s="635" t="s">
        <v>32</v>
      </c>
      <c r="E28" s="636" t="s">
        <v>303</v>
      </c>
      <c r="F28" s="637"/>
      <c r="G28" s="638" t="s">
        <v>847</v>
      </c>
      <c r="H28" s="33"/>
      <c r="K28" s="639" t="s">
        <v>196</v>
      </c>
    </row>
    <row r="29" spans="1:13" ht="15" customHeight="1">
      <c r="A29" s="643" t="s">
        <v>3288</v>
      </c>
      <c r="B29" s="643" t="s">
        <v>1290</v>
      </c>
      <c r="C29" s="635" t="s">
        <v>1266</v>
      </c>
      <c r="D29" s="635" t="s">
        <v>42</v>
      </c>
      <c r="E29" s="636" t="s">
        <v>303</v>
      </c>
      <c r="F29" s="637"/>
      <c r="G29" s="636" t="s">
        <v>2</v>
      </c>
      <c r="H29" s="33"/>
      <c r="K29" s="639" t="s">
        <v>98</v>
      </c>
    </row>
    <row r="30" spans="1:13" ht="15" customHeight="1">
      <c r="A30" s="643" t="s">
        <v>3309</v>
      </c>
      <c r="B30" s="643" t="s">
        <v>1290</v>
      </c>
      <c r="C30" s="635" t="s">
        <v>1266</v>
      </c>
      <c r="D30" s="635" t="s">
        <v>42</v>
      </c>
      <c r="E30" s="636" t="s">
        <v>303</v>
      </c>
      <c r="F30" s="637"/>
      <c r="G30" s="636" t="s">
        <v>847</v>
      </c>
      <c r="H30" s="33"/>
      <c r="K30" s="639" t="s">
        <v>84</v>
      </c>
    </row>
    <row r="31" spans="1:13" ht="15" customHeight="1">
      <c r="A31" s="646" t="s">
        <v>1423</v>
      </c>
      <c r="B31" s="634" t="s">
        <v>1291</v>
      </c>
      <c r="C31" s="635" t="s">
        <v>1266</v>
      </c>
      <c r="D31" s="635" t="s">
        <v>1289</v>
      </c>
      <c r="E31" s="636" t="s">
        <v>303</v>
      </c>
      <c r="F31" s="637"/>
      <c r="G31" s="636" t="s">
        <v>847</v>
      </c>
      <c r="H31" s="33"/>
      <c r="K31" s="639" t="str">
        <f>Print_Mois!C94</f>
        <v>Certifié</v>
      </c>
    </row>
    <row r="32" spans="1:13" ht="15" customHeight="1">
      <c r="A32" s="646" t="s">
        <v>1374</v>
      </c>
      <c r="B32" s="634" t="s">
        <v>1292</v>
      </c>
      <c r="C32" s="635" t="s">
        <v>1266</v>
      </c>
      <c r="D32" s="635" t="s">
        <v>35</v>
      </c>
      <c r="E32" s="636" t="s">
        <v>303</v>
      </c>
      <c r="F32" s="637"/>
      <c r="G32" s="636" t="s">
        <v>847</v>
      </c>
      <c r="H32" s="33"/>
      <c r="K32" s="639" t="str">
        <f>Print_Mois!V459</f>
        <v>Chauffage, éclairage</v>
      </c>
    </row>
    <row r="33" spans="1:11" ht="15" customHeight="1">
      <c r="A33" s="646" t="s">
        <v>784</v>
      </c>
      <c r="B33" s="634" t="s">
        <v>783</v>
      </c>
      <c r="C33" s="635" t="s">
        <v>1266</v>
      </c>
      <c r="D33" s="635" t="s">
        <v>34</v>
      </c>
      <c r="E33" s="636" t="s">
        <v>303</v>
      </c>
      <c r="F33" s="637"/>
      <c r="G33" s="638" t="s">
        <v>847</v>
      </c>
      <c r="H33" s="33"/>
      <c r="K33" s="639" t="str">
        <f>Print_Mois!C32</f>
        <v>Comm. F&amp;I</v>
      </c>
    </row>
    <row r="34" spans="1:11" ht="15" customHeight="1">
      <c r="A34" s="646" t="s">
        <v>786</v>
      </c>
      <c r="B34" s="634" t="s">
        <v>785</v>
      </c>
      <c r="C34" s="635" t="s">
        <v>1266</v>
      </c>
      <c r="D34" s="635" t="s">
        <v>46</v>
      </c>
      <c r="E34" s="636" t="s">
        <v>303</v>
      </c>
      <c r="F34" s="637"/>
      <c r="G34" s="638" t="s">
        <v>847</v>
      </c>
      <c r="H34" s="33"/>
      <c r="K34" s="639" t="str">
        <f>Print_Mois!C31</f>
        <v>Comm. vendeurs</v>
      </c>
    </row>
    <row r="35" spans="1:11" ht="15" customHeight="1">
      <c r="A35" s="646" t="s">
        <v>788</v>
      </c>
      <c r="B35" s="634" t="s">
        <v>787</v>
      </c>
      <c r="C35" s="635" t="s">
        <v>1266</v>
      </c>
      <c r="D35" s="635"/>
      <c r="E35" s="642" t="s">
        <v>341</v>
      </c>
      <c r="F35" s="637"/>
      <c r="G35" s="638" t="s">
        <v>1099</v>
      </c>
      <c r="H35" s="33"/>
      <c r="K35" s="639" t="s">
        <v>33</v>
      </c>
    </row>
    <row r="36" spans="1:11" ht="15" customHeight="1">
      <c r="A36" s="646" t="s">
        <v>1432</v>
      </c>
      <c r="B36" s="634" t="s">
        <v>789</v>
      </c>
      <c r="C36" s="635" t="s">
        <v>1266</v>
      </c>
      <c r="D36" s="635" t="s">
        <v>46</v>
      </c>
      <c r="E36" s="636" t="s">
        <v>303</v>
      </c>
      <c r="F36" s="637"/>
      <c r="G36" s="638" t="s">
        <v>847</v>
      </c>
      <c r="H36" s="33"/>
      <c r="K36" s="639" t="s">
        <v>1275</v>
      </c>
    </row>
    <row r="37" spans="1:11" ht="15" customHeight="1">
      <c r="A37" s="646" t="s">
        <v>791</v>
      </c>
      <c r="B37" s="634" t="s">
        <v>790</v>
      </c>
      <c r="C37" s="635" t="s">
        <v>1266</v>
      </c>
      <c r="D37" s="635" t="s">
        <v>48</v>
      </c>
      <c r="E37" s="636" t="s">
        <v>303</v>
      </c>
      <c r="F37" s="637"/>
      <c r="G37" s="638" t="s">
        <v>847</v>
      </c>
      <c r="H37" s="33"/>
      <c r="K37" s="639" t="s">
        <v>1276</v>
      </c>
    </row>
    <row r="38" spans="1:11" ht="15" customHeight="1">
      <c r="A38" s="646" t="s">
        <v>793</v>
      </c>
      <c r="B38" s="634" t="s">
        <v>792</v>
      </c>
      <c r="C38" s="635" t="s">
        <v>1266</v>
      </c>
      <c r="D38" s="635" t="s">
        <v>48</v>
      </c>
      <c r="E38" s="636" t="s">
        <v>303</v>
      </c>
      <c r="F38" s="637"/>
      <c r="G38" s="638" t="s">
        <v>2</v>
      </c>
      <c r="H38" s="33"/>
      <c r="K38" s="639" t="str">
        <f>Print_Mois!V432</f>
        <v>Csst</v>
      </c>
    </row>
    <row r="39" spans="1:11" ht="15" customHeight="1">
      <c r="A39" s="646" t="s">
        <v>795</v>
      </c>
      <c r="B39" s="634" t="s">
        <v>794</v>
      </c>
      <c r="C39" s="635" t="s">
        <v>1266</v>
      </c>
      <c r="D39" s="635"/>
      <c r="E39" s="642" t="s">
        <v>341</v>
      </c>
      <c r="F39" s="637"/>
      <c r="G39" s="638" t="s">
        <v>1099</v>
      </c>
      <c r="H39" s="33"/>
      <c r="K39" s="639" t="s">
        <v>55</v>
      </c>
    </row>
    <row r="40" spans="1:11" ht="15" customHeight="1">
      <c r="A40" s="646" t="s">
        <v>1375</v>
      </c>
      <c r="B40" s="634" t="s">
        <v>1294</v>
      </c>
      <c r="C40" s="635" t="s">
        <v>1266</v>
      </c>
      <c r="D40" s="635" t="s">
        <v>48</v>
      </c>
      <c r="E40" s="636" t="s">
        <v>303</v>
      </c>
      <c r="F40" s="637"/>
      <c r="G40" s="636" t="s">
        <v>847</v>
      </c>
      <c r="H40" s="33"/>
      <c r="K40" s="639" t="str">
        <f>Print_Mois!V430</f>
        <v>Déduction à la source</v>
      </c>
    </row>
    <row r="41" spans="1:11" ht="15" customHeight="1">
      <c r="A41" s="919" t="s">
        <v>1351</v>
      </c>
      <c r="B41" s="634" t="s">
        <v>1352</v>
      </c>
      <c r="C41" s="635"/>
      <c r="D41" s="635"/>
      <c r="E41" s="636"/>
      <c r="F41" s="637"/>
      <c r="G41" s="636" t="s">
        <v>1099</v>
      </c>
      <c r="H41" s="33"/>
      <c r="K41" s="639" t="s">
        <v>39</v>
      </c>
    </row>
    <row r="42" spans="1:11" ht="15" customHeight="1">
      <c r="A42" s="646" t="s">
        <v>797</v>
      </c>
      <c r="B42" s="634" t="s">
        <v>796</v>
      </c>
      <c r="C42" s="635" t="s">
        <v>1266</v>
      </c>
      <c r="D42" s="635" t="s">
        <v>46</v>
      </c>
      <c r="E42" s="636" t="s">
        <v>303</v>
      </c>
      <c r="F42" s="637"/>
      <c r="G42" s="638" t="s">
        <v>847</v>
      </c>
      <c r="H42" s="33"/>
      <c r="K42" s="639" t="s">
        <v>71</v>
      </c>
    </row>
    <row r="43" spans="1:11" ht="15" customHeight="1">
      <c r="A43" s="646" t="s">
        <v>3310</v>
      </c>
      <c r="B43" s="634" t="s">
        <v>798</v>
      </c>
      <c r="C43" s="635" t="s">
        <v>1266</v>
      </c>
      <c r="D43" s="635" t="s">
        <v>46</v>
      </c>
      <c r="E43" s="636" t="s">
        <v>303</v>
      </c>
      <c r="F43" s="637"/>
      <c r="G43" s="638" t="s">
        <v>847</v>
      </c>
      <c r="H43" s="33"/>
      <c r="K43" s="639" t="str">
        <f>Print_Mois!V447</f>
        <v>Divers</v>
      </c>
    </row>
    <row r="44" spans="1:11" ht="15" customHeight="1">
      <c r="A44" s="646" t="s">
        <v>801</v>
      </c>
      <c r="B44" s="634" t="s">
        <v>800</v>
      </c>
      <c r="C44" s="635" t="s">
        <v>1266</v>
      </c>
      <c r="D44" s="635" t="s">
        <v>50</v>
      </c>
      <c r="E44" s="636" t="s">
        <v>303</v>
      </c>
      <c r="F44" s="637"/>
      <c r="G44" s="638" t="s">
        <v>2</v>
      </c>
      <c r="H44" s="33"/>
      <c r="K44" s="639" t="s">
        <v>87</v>
      </c>
    </row>
    <row r="45" spans="1:11" ht="15" customHeight="1">
      <c r="A45" s="646" t="s">
        <v>3311</v>
      </c>
      <c r="B45" s="634" t="s">
        <v>802</v>
      </c>
      <c r="C45" s="635" t="s">
        <v>1266</v>
      </c>
      <c r="D45" s="635" t="s">
        <v>50</v>
      </c>
      <c r="E45" s="636" t="s">
        <v>303</v>
      </c>
      <c r="F45" s="637"/>
      <c r="G45" s="638" t="s">
        <v>847</v>
      </c>
      <c r="H45" s="33"/>
      <c r="K45" s="639" t="s">
        <v>214</v>
      </c>
    </row>
    <row r="46" spans="1:11" ht="15" customHeight="1">
      <c r="A46" s="646" t="s">
        <v>1443</v>
      </c>
      <c r="B46" s="634" t="s">
        <v>803</v>
      </c>
      <c r="C46" s="635" t="s">
        <v>1266</v>
      </c>
      <c r="D46" s="635" t="s">
        <v>50</v>
      </c>
      <c r="E46" s="636" t="s">
        <v>303</v>
      </c>
      <c r="F46" s="637"/>
      <c r="G46" s="638" t="s">
        <v>847</v>
      </c>
      <c r="H46" s="33"/>
      <c r="K46" s="639" t="s">
        <v>47</v>
      </c>
    </row>
    <row r="47" spans="1:11" ht="15" customHeight="1">
      <c r="A47" s="646" t="s">
        <v>805</v>
      </c>
      <c r="B47" s="634" t="s">
        <v>804</v>
      </c>
      <c r="C47" s="635" t="s">
        <v>1266</v>
      </c>
      <c r="D47" s="635" t="s">
        <v>50</v>
      </c>
      <c r="E47" s="636" t="s">
        <v>303</v>
      </c>
      <c r="F47" s="637"/>
      <c r="G47" s="638" t="s">
        <v>847</v>
      </c>
      <c r="H47" s="33"/>
      <c r="K47" s="639" t="s">
        <v>49</v>
      </c>
    </row>
    <row r="48" spans="1:11" ht="15" customHeight="1">
      <c r="A48" s="646" t="s">
        <v>807</v>
      </c>
      <c r="B48" s="634" t="s">
        <v>806</v>
      </c>
      <c r="C48" s="635" t="s">
        <v>1266</v>
      </c>
      <c r="D48" s="635" t="s">
        <v>56</v>
      </c>
      <c r="E48" s="636" t="s">
        <v>303</v>
      </c>
      <c r="F48" s="637"/>
      <c r="G48" s="638" t="s">
        <v>2</v>
      </c>
      <c r="H48" s="33"/>
      <c r="K48" s="639" t="s">
        <v>25</v>
      </c>
    </row>
    <row r="49" spans="1:11" ht="15" customHeight="1">
      <c r="A49" s="646" t="s">
        <v>1450</v>
      </c>
      <c r="B49" s="634" t="s">
        <v>808</v>
      </c>
      <c r="C49" s="635" t="s">
        <v>1266</v>
      </c>
      <c r="D49" s="635" t="s">
        <v>58</v>
      </c>
      <c r="E49" s="636" t="s">
        <v>303</v>
      </c>
      <c r="F49" s="637"/>
      <c r="G49" s="638" t="s">
        <v>2</v>
      </c>
      <c r="H49" s="33"/>
      <c r="K49" s="639" t="s">
        <v>79</v>
      </c>
    </row>
    <row r="50" spans="1:11" ht="15" customHeight="1">
      <c r="A50" s="646" t="s">
        <v>1453</v>
      </c>
      <c r="B50" s="634" t="s">
        <v>809</v>
      </c>
      <c r="C50" s="635" t="s">
        <v>1266</v>
      </c>
      <c r="D50" s="635" t="s">
        <v>50</v>
      </c>
      <c r="E50" s="636" t="s">
        <v>303</v>
      </c>
      <c r="F50" s="637"/>
      <c r="G50" s="638" t="s">
        <v>847</v>
      </c>
      <c r="H50" s="33"/>
      <c r="K50" s="639" t="str">
        <f>Print_Mois!C35</f>
        <v>Entretien stock</v>
      </c>
    </row>
    <row r="51" spans="1:11" ht="15" customHeight="1">
      <c r="A51" s="646" t="s">
        <v>3312</v>
      </c>
      <c r="B51" s="634" t="s">
        <v>1295</v>
      </c>
      <c r="C51" s="635" t="s">
        <v>1266</v>
      </c>
      <c r="D51" s="635" t="s">
        <v>50</v>
      </c>
      <c r="E51" s="636" t="s">
        <v>303</v>
      </c>
      <c r="F51" s="637"/>
      <c r="G51" s="636" t="s">
        <v>2</v>
      </c>
      <c r="H51" s="33"/>
      <c r="K51" s="639" t="s">
        <v>76</v>
      </c>
    </row>
    <row r="52" spans="1:11" ht="15" customHeight="1">
      <c r="A52" s="646" t="s">
        <v>811</v>
      </c>
      <c r="B52" s="634" t="s">
        <v>810</v>
      </c>
      <c r="C52" s="635" t="s">
        <v>1266</v>
      </c>
      <c r="D52" s="635" t="s">
        <v>50</v>
      </c>
      <c r="E52" s="636" t="s">
        <v>303</v>
      </c>
      <c r="F52" s="637"/>
      <c r="G52" s="638" t="s">
        <v>2</v>
      </c>
      <c r="H52" s="33"/>
      <c r="K52" s="639"/>
    </row>
    <row r="53" spans="1:11" ht="15" customHeight="1">
      <c r="A53" s="646" t="s">
        <v>1458</v>
      </c>
      <c r="B53" s="634" t="s">
        <v>812</v>
      </c>
      <c r="C53" s="635" t="s">
        <v>1266</v>
      </c>
      <c r="D53" s="635" t="s">
        <v>60</v>
      </c>
      <c r="E53" s="636" t="s">
        <v>303</v>
      </c>
      <c r="F53" s="637"/>
      <c r="G53" s="638" t="s">
        <v>2</v>
      </c>
      <c r="H53" s="33"/>
      <c r="K53" s="639" t="s">
        <v>74</v>
      </c>
    </row>
    <row r="54" spans="1:11" ht="15" customHeight="1">
      <c r="A54" s="646" t="s">
        <v>1461</v>
      </c>
      <c r="B54" s="634" t="s">
        <v>814</v>
      </c>
      <c r="C54" s="635" t="s">
        <v>1266</v>
      </c>
      <c r="D54" s="635" t="s">
        <v>60</v>
      </c>
      <c r="E54" s="636" t="s">
        <v>303</v>
      </c>
      <c r="F54" s="637"/>
      <c r="G54" s="638" t="s">
        <v>2</v>
      </c>
      <c r="H54" s="33"/>
      <c r="K54" s="639" t="s">
        <v>77</v>
      </c>
    </row>
    <row r="55" spans="1:11" ht="15" customHeight="1">
      <c r="A55" s="634" t="s">
        <v>1464</v>
      </c>
      <c r="B55" s="644" t="s">
        <v>815</v>
      </c>
      <c r="C55" s="635" t="s">
        <v>1266</v>
      </c>
      <c r="D55" s="635" t="s">
        <v>60</v>
      </c>
      <c r="E55" s="636" t="s">
        <v>303</v>
      </c>
      <c r="F55" s="637"/>
      <c r="G55" s="638" t="s">
        <v>847</v>
      </c>
      <c r="H55" s="33"/>
      <c r="K55" s="639" t="str">
        <f>Print_Mois!C303</f>
        <v>Escomptes</v>
      </c>
    </row>
    <row r="56" spans="1:11" ht="15" customHeight="1">
      <c r="A56" s="634" t="s">
        <v>1467</v>
      </c>
      <c r="B56" s="644" t="s">
        <v>1296</v>
      </c>
      <c r="C56" s="635" t="s">
        <v>1266</v>
      </c>
      <c r="D56" s="635" t="s">
        <v>60</v>
      </c>
      <c r="E56" s="636" t="s">
        <v>303</v>
      </c>
      <c r="F56" s="637"/>
      <c r="G56" s="636" t="s">
        <v>847</v>
      </c>
      <c r="H56" s="33"/>
      <c r="K56" s="639" t="str">
        <f>Print_Mois!C15</f>
        <v>Ex-Démos et courtoisies</v>
      </c>
    </row>
    <row r="57" spans="1:11" ht="15" customHeight="1">
      <c r="A57" s="634" t="s">
        <v>1470</v>
      </c>
      <c r="B57" s="644" t="s">
        <v>816</v>
      </c>
      <c r="C57" s="635" t="s">
        <v>1266</v>
      </c>
      <c r="D57" s="635" t="s">
        <v>60</v>
      </c>
      <c r="E57" s="636" t="s">
        <v>303</v>
      </c>
      <c r="F57" s="637"/>
      <c r="G57" s="638" t="s">
        <v>847</v>
      </c>
      <c r="H57" s="33"/>
      <c r="K57" s="639" t="str">
        <f>Print_Mois!C17</f>
        <v>Flottes</v>
      </c>
    </row>
    <row r="58" spans="1:11" ht="15" customHeight="1">
      <c r="A58" s="646" t="s">
        <v>1473</v>
      </c>
      <c r="B58" s="634" t="s">
        <v>817</v>
      </c>
      <c r="C58" s="635" t="s">
        <v>1266</v>
      </c>
      <c r="D58" s="635" t="s">
        <v>60</v>
      </c>
      <c r="E58" s="636" t="s">
        <v>303</v>
      </c>
      <c r="F58" s="637"/>
      <c r="G58" s="638" t="e">
        <v>#N/A</v>
      </c>
      <c r="H58" s="33"/>
      <c r="K58" s="639" t="s">
        <v>1277</v>
      </c>
    </row>
    <row r="59" spans="1:11" ht="15" customHeight="1">
      <c r="A59" s="646" t="s">
        <v>1476</v>
      </c>
      <c r="B59" s="634" t="s">
        <v>1297</v>
      </c>
      <c r="C59" s="635" t="s">
        <v>1266</v>
      </c>
      <c r="D59" s="635" t="s">
        <v>60</v>
      </c>
      <c r="E59" s="636" t="s">
        <v>303</v>
      </c>
      <c r="F59" s="637"/>
      <c r="G59" s="636" t="e">
        <v>#N/A</v>
      </c>
      <c r="H59" s="33"/>
      <c r="K59" s="639" t="str">
        <f>Print_Mois!V448</f>
        <v>Formation</v>
      </c>
    </row>
    <row r="60" spans="1:11" ht="15" customHeight="1">
      <c r="A60" s="646" t="s">
        <v>3313</v>
      </c>
      <c r="B60" s="634" t="s">
        <v>1298</v>
      </c>
      <c r="C60" s="635" t="s">
        <v>1266</v>
      </c>
      <c r="D60" s="635" t="s">
        <v>60</v>
      </c>
      <c r="E60" s="636" t="s">
        <v>303</v>
      </c>
      <c r="F60" s="637"/>
      <c r="G60" s="636" t="s">
        <v>847</v>
      </c>
      <c r="H60" s="33"/>
      <c r="K60" s="639" t="str">
        <f>Print_Mois!V442</f>
        <v>Fournitures autres</v>
      </c>
    </row>
    <row r="61" spans="1:11" ht="15" customHeight="1">
      <c r="A61" s="646" t="s">
        <v>1479</v>
      </c>
      <c r="B61" s="634" t="s">
        <v>1299</v>
      </c>
      <c r="C61" s="635" t="s">
        <v>1266</v>
      </c>
      <c r="D61" s="635" t="s">
        <v>57</v>
      </c>
      <c r="E61" s="636" t="s">
        <v>303</v>
      </c>
      <c r="F61" s="637"/>
      <c r="G61" s="636" t="s">
        <v>847</v>
      </c>
      <c r="H61" s="33"/>
      <c r="K61" s="639" t="s">
        <v>489</v>
      </c>
    </row>
    <row r="62" spans="1:11" ht="15" customHeight="1">
      <c r="A62" s="646" t="s">
        <v>1482</v>
      </c>
      <c r="B62" s="634" t="s">
        <v>1300</v>
      </c>
      <c r="C62" s="635" t="s">
        <v>1266</v>
      </c>
      <c r="D62" s="635" t="s">
        <v>60</v>
      </c>
      <c r="E62" s="636" t="s">
        <v>303</v>
      </c>
      <c r="F62" s="637"/>
      <c r="G62" s="636" t="s">
        <v>2</v>
      </c>
      <c r="H62" s="33"/>
      <c r="K62" s="639" t="str">
        <f>Print_Mois!V481</f>
        <v>Frais administration</v>
      </c>
    </row>
    <row r="63" spans="1:11" ht="15" customHeight="1">
      <c r="A63" s="646" t="s">
        <v>1485</v>
      </c>
      <c r="B63" s="634" t="s">
        <v>818</v>
      </c>
      <c r="C63" s="635" t="s">
        <v>1266</v>
      </c>
      <c r="D63" s="635" t="s">
        <v>60</v>
      </c>
      <c r="E63" s="636" t="s">
        <v>303</v>
      </c>
      <c r="F63" s="637"/>
      <c r="G63" s="638" t="s">
        <v>847</v>
      </c>
      <c r="H63" s="33"/>
      <c r="K63" s="639" t="s">
        <v>142</v>
      </c>
    </row>
    <row r="64" spans="1:11" ht="15" customHeight="1">
      <c r="A64" s="646" t="s">
        <v>1488</v>
      </c>
      <c r="B64" s="634" t="s">
        <v>819</v>
      </c>
      <c r="C64" s="635" t="s">
        <v>1266</v>
      </c>
      <c r="D64" s="635" t="s">
        <v>60</v>
      </c>
      <c r="E64" s="636" t="s">
        <v>303</v>
      </c>
      <c r="F64" s="637"/>
      <c r="G64" s="638" t="s">
        <v>847</v>
      </c>
      <c r="H64" s="33"/>
      <c r="K64" s="639"/>
    </row>
    <row r="65" spans="1:11" ht="15" customHeight="1">
      <c r="A65" s="646" t="s">
        <v>1491</v>
      </c>
      <c r="B65" s="634" t="s">
        <v>1301</v>
      </c>
      <c r="C65" s="635" t="s">
        <v>1266</v>
      </c>
      <c r="D65" s="635" t="s">
        <v>60</v>
      </c>
      <c r="E65" s="636" t="s">
        <v>303</v>
      </c>
      <c r="F65" s="637"/>
      <c r="G65" s="636" t="s">
        <v>2</v>
      </c>
      <c r="H65" s="33"/>
      <c r="K65" s="639" t="str">
        <f>Print_Mois!V452</f>
        <v>[...]</v>
      </c>
    </row>
    <row r="66" spans="1:11" ht="15" customHeight="1">
      <c r="A66" s="646" t="s">
        <v>1494</v>
      </c>
      <c r="B66" s="634" t="s">
        <v>1302</v>
      </c>
      <c r="C66" s="635" t="s">
        <v>1266</v>
      </c>
      <c r="D66" s="635" t="s">
        <v>60</v>
      </c>
      <c r="E66" s="636" t="s">
        <v>303</v>
      </c>
      <c r="F66" s="637"/>
      <c r="G66" s="636" t="s">
        <v>2</v>
      </c>
      <c r="H66" s="33"/>
      <c r="K66" s="639" t="str">
        <f>Print_Mois!V439</f>
        <v>Frais de déplacement</v>
      </c>
    </row>
    <row r="67" spans="1:11" ht="15" customHeight="1">
      <c r="A67" s="646" t="s">
        <v>1497</v>
      </c>
      <c r="B67" s="634" t="s">
        <v>820</v>
      </c>
      <c r="C67" s="635" t="s">
        <v>1266</v>
      </c>
      <c r="D67" s="635" t="s">
        <v>60</v>
      </c>
      <c r="E67" s="636" t="s">
        <v>303</v>
      </c>
      <c r="F67" s="637"/>
      <c r="G67" s="638" t="s">
        <v>2</v>
      </c>
      <c r="H67" s="33"/>
      <c r="K67" s="639" t="str">
        <f>Print_Mois!C33</f>
        <v>Frais de livraison</v>
      </c>
    </row>
    <row r="68" spans="1:11" ht="15" customHeight="1">
      <c r="A68" s="646" t="s">
        <v>1500</v>
      </c>
      <c r="B68" s="634" t="s">
        <v>821</v>
      </c>
      <c r="C68" s="635" t="s">
        <v>1266</v>
      </c>
      <c r="D68" s="635" t="s">
        <v>57</v>
      </c>
      <c r="E68" s="636" t="s">
        <v>303</v>
      </c>
      <c r="F68" s="637"/>
      <c r="G68" s="638" t="e">
        <v>#N/A</v>
      </c>
      <c r="H68" s="33"/>
      <c r="K68" s="639" t="s">
        <v>1279</v>
      </c>
    </row>
    <row r="69" spans="1:11" ht="15" customHeight="1">
      <c r="A69" s="646" t="s">
        <v>1503</v>
      </c>
      <c r="B69" s="634" t="s">
        <v>822</v>
      </c>
      <c r="C69" s="635" t="s">
        <v>1266</v>
      </c>
      <c r="D69" s="635" t="s">
        <v>57</v>
      </c>
      <c r="E69" s="636" t="s">
        <v>303</v>
      </c>
      <c r="F69" s="637"/>
      <c r="G69" s="638" t="e">
        <v>#N/A</v>
      </c>
      <c r="H69" s="33"/>
      <c r="K69" s="639" t="s">
        <v>60</v>
      </c>
    </row>
    <row r="70" spans="1:11" ht="15" customHeight="1">
      <c r="A70" s="646" t="s">
        <v>1506</v>
      </c>
      <c r="B70" s="634" t="s">
        <v>823</v>
      </c>
      <c r="C70" s="635" t="s">
        <v>1266</v>
      </c>
      <c r="D70" s="635" t="s">
        <v>60</v>
      </c>
      <c r="E70" s="636" t="s">
        <v>303</v>
      </c>
      <c r="F70" s="637"/>
      <c r="G70" s="638" t="e">
        <v>#N/A</v>
      </c>
      <c r="H70" s="33"/>
      <c r="K70" s="639" t="str">
        <f>Print_Mois!V446</f>
        <v>Frais postaux</v>
      </c>
    </row>
    <row r="71" spans="1:11" ht="15" customHeight="1">
      <c r="A71" s="646" t="s">
        <v>3314</v>
      </c>
      <c r="B71" s="634" t="s">
        <v>824</v>
      </c>
      <c r="C71" s="635" t="s">
        <v>1266</v>
      </c>
      <c r="D71" s="635" t="s">
        <v>60</v>
      </c>
      <c r="E71" s="636" t="s">
        <v>303</v>
      </c>
      <c r="F71" s="637"/>
      <c r="G71" s="638" t="s">
        <v>2</v>
      </c>
      <c r="H71" s="33"/>
      <c r="K71" s="639" t="s">
        <v>1281</v>
      </c>
    </row>
    <row r="72" spans="1:11" ht="15" customHeight="1">
      <c r="A72" s="646" t="s">
        <v>1509</v>
      </c>
      <c r="B72" s="634" t="s">
        <v>825</v>
      </c>
      <c r="C72" s="635" t="s">
        <v>1266</v>
      </c>
      <c r="D72" s="635" t="s">
        <v>60</v>
      </c>
      <c r="E72" s="636" t="s">
        <v>303</v>
      </c>
      <c r="F72" s="637"/>
      <c r="G72" s="638" t="s">
        <v>902</v>
      </c>
      <c r="H72" s="33"/>
      <c r="K72" s="639" t="str">
        <f>Print_Mois!V437</f>
        <v>Frais véhicules de cie</v>
      </c>
    </row>
    <row r="73" spans="1:11" ht="15" customHeight="1">
      <c r="A73" s="646" t="s">
        <v>1512</v>
      </c>
      <c r="B73" s="634" t="s">
        <v>1303</v>
      </c>
      <c r="C73" s="635" t="s">
        <v>1266</v>
      </c>
      <c r="D73" s="635" t="s">
        <v>60</v>
      </c>
      <c r="E73" s="636" t="s">
        <v>303</v>
      </c>
      <c r="F73" s="637"/>
      <c r="G73" s="636" t="s">
        <v>902</v>
      </c>
      <c r="H73" s="33"/>
      <c r="K73" s="639" t="s">
        <v>1282</v>
      </c>
    </row>
    <row r="74" spans="1:11" ht="15" customHeight="1">
      <c r="A74" s="646" t="s">
        <v>1515</v>
      </c>
      <c r="B74" s="634" t="s">
        <v>826</v>
      </c>
      <c r="C74" s="635" t="s">
        <v>1266</v>
      </c>
      <c r="D74" s="635" t="s">
        <v>60</v>
      </c>
      <c r="E74" s="636" t="s">
        <v>303</v>
      </c>
      <c r="F74" s="637"/>
      <c r="G74" s="638" t="s">
        <v>902</v>
      </c>
      <c r="H74" s="33"/>
      <c r="K74" s="639" t="str">
        <f>Print_Mois!V471</f>
        <v>Holdbacks</v>
      </c>
    </row>
    <row r="75" spans="1:11" ht="15" customHeight="1">
      <c r="A75" s="646" t="s">
        <v>3315</v>
      </c>
      <c r="B75" s="634" t="s">
        <v>827</v>
      </c>
      <c r="C75" s="635" t="s">
        <v>1266</v>
      </c>
      <c r="D75" s="635" t="s">
        <v>60</v>
      </c>
      <c r="E75" s="636" t="s">
        <v>303</v>
      </c>
      <c r="F75" s="637"/>
      <c r="G75" s="638" t="s">
        <v>2</v>
      </c>
      <c r="H75" s="33"/>
      <c r="K75" s="639" t="str">
        <f>Print_Mois!V460</f>
        <v>Honoraires</v>
      </c>
    </row>
    <row r="76" spans="1:11" ht="15" customHeight="1">
      <c r="A76" s="646" t="s">
        <v>1518</v>
      </c>
      <c r="B76" s="634" t="s">
        <v>828</v>
      </c>
      <c r="C76" s="635" t="s">
        <v>1266</v>
      </c>
      <c r="D76" s="635" t="s">
        <v>60</v>
      </c>
      <c r="E76" s="636" t="s">
        <v>303</v>
      </c>
      <c r="F76" s="637"/>
      <c r="G76" s="638" t="s">
        <v>2</v>
      </c>
      <c r="H76" s="33"/>
      <c r="K76" s="639" t="str">
        <f>Print_Mois!C309</f>
        <v>Huiles et Graisse</v>
      </c>
    </row>
    <row r="77" spans="1:11" ht="15" customHeight="1">
      <c r="A77" s="646" t="s">
        <v>1521</v>
      </c>
      <c r="B77" s="634" t="s">
        <v>1304</v>
      </c>
      <c r="C77" s="635" t="s">
        <v>1266</v>
      </c>
      <c r="D77" s="635" t="s">
        <v>60</v>
      </c>
      <c r="E77" s="636" t="s">
        <v>303</v>
      </c>
      <c r="F77" s="637"/>
      <c r="G77" s="636" t="s">
        <v>2</v>
      </c>
      <c r="H77" s="33"/>
      <c r="K77" s="639" t="s">
        <v>69</v>
      </c>
    </row>
    <row r="78" spans="1:11" ht="15" customHeight="1">
      <c r="A78" s="646" t="s">
        <v>1524</v>
      </c>
      <c r="B78" s="634" t="s">
        <v>1305</v>
      </c>
      <c r="C78" s="635" t="s">
        <v>1266</v>
      </c>
      <c r="D78" s="635" t="s">
        <v>60</v>
      </c>
      <c r="E78" s="636" t="s">
        <v>303</v>
      </c>
      <c r="F78" s="637"/>
      <c r="G78" s="636" t="s">
        <v>2</v>
      </c>
      <c r="H78" s="33"/>
      <c r="K78" s="639" t="s">
        <v>37</v>
      </c>
    </row>
    <row r="79" spans="1:11" ht="15" customHeight="1">
      <c r="A79" s="646" t="s">
        <v>1527</v>
      </c>
      <c r="B79" s="634" t="s">
        <v>1306</v>
      </c>
      <c r="C79" s="635" t="s">
        <v>1266</v>
      </c>
      <c r="D79" s="635" t="s">
        <v>60</v>
      </c>
      <c r="E79" s="636" t="s">
        <v>303</v>
      </c>
      <c r="F79" s="637"/>
      <c r="G79" s="636" t="s">
        <v>2</v>
      </c>
      <c r="H79" s="33"/>
      <c r="K79" s="639" t="s">
        <v>65</v>
      </c>
    </row>
    <row r="80" spans="1:11" ht="15" customHeight="1">
      <c r="A80" s="646" t="s">
        <v>1530</v>
      </c>
      <c r="B80" s="634" t="s">
        <v>829</v>
      </c>
      <c r="C80" s="635" t="s">
        <v>1266</v>
      </c>
      <c r="D80" s="635" t="s">
        <v>70</v>
      </c>
      <c r="E80" s="636" t="s">
        <v>303</v>
      </c>
      <c r="F80" s="637"/>
      <c r="G80" s="638" t="s">
        <v>2</v>
      </c>
      <c r="H80" s="33"/>
      <c r="K80" s="639" t="str">
        <f>Print_Mois!V438</f>
        <v>Informatique</v>
      </c>
    </row>
    <row r="81" spans="1:11" ht="15" customHeight="1">
      <c r="A81" s="646" t="s">
        <v>1533</v>
      </c>
      <c r="B81" s="634" t="s">
        <v>831</v>
      </c>
      <c r="C81" s="635" t="s">
        <v>1266</v>
      </c>
      <c r="D81" s="635" t="s">
        <v>70</v>
      </c>
      <c r="E81" s="636" t="s">
        <v>303</v>
      </c>
      <c r="F81" s="637"/>
      <c r="G81" s="638" t="s">
        <v>2</v>
      </c>
      <c r="H81" s="33"/>
      <c r="K81" s="639" t="s">
        <v>177</v>
      </c>
    </row>
    <row r="82" spans="1:11" ht="15" customHeight="1">
      <c r="A82" s="646" t="s">
        <v>3316</v>
      </c>
      <c r="B82" s="634" t="s">
        <v>829</v>
      </c>
      <c r="C82" s="635" t="s">
        <v>1266</v>
      </c>
      <c r="D82" s="635" t="s">
        <v>70</v>
      </c>
      <c r="E82" s="636" t="s">
        <v>303</v>
      </c>
      <c r="F82" s="637"/>
      <c r="G82" s="638" t="s">
        <v>902</v>
      </c>
      <c r="H82" s="33"/>
      <c r="K82" s="639" t="s">
        <v>117</v>
      </c>
    </row>
    <row r="83" spans="1:11" ht="15" customHeight="1">
      <c r="A83" s="646" t="s">
        <v>3833</v>
      </c>
      <c r="B83" s="634" t="s">
        <v>3832</v>
      </c>
      <c r="C83" s="635" t="s">
        <v>1266</v>
      </c>
      <c r="D83" s="635" t="s">
        <v>70</v>
      </c>
      <c r="E83" s="636" t="s">
        <v>303</v>
      </c>
      <c r="F83" s="637"/>
      <c r="G83" s="638" t="s">
        <v>902</v>
      </c>
      <c r="H83" s="33"/>
      <c r="K83" s="639"/>
    </row>
    <row r="84" spans="1:11" ht="15" customHeight="1">
      <c r="A84" s="920" t="s">
        <v>3351</v>
      </c>
      <c r="B84" s="634" t="s">
        <v>3350</v>
      </c>
      <c r="C84" s="635" t="s">
        <v>1266</v>
      </c>
      <c r="D84" s="635" t="s">
        <v>70</v>
      </c>
      <c r="E84" s="636" t="s">
        <v>303</v>
      </c>
      <c r="F84" s="637"/>
      <c r="G84" s="638" t="s">
        <v>902</v>
      </c>
      <c r="H84" s="33"/>
      <c r="K84" s="639" t="str">
        <f>Print_Mois!V493</f>
        <v>Intérêts sur marge</v>
      </c>
    </row>
    <row r="85" spans="1:11" ht="15" customHeight="1">
      <c r="A85" s="920" t="s">
        <v>3835</v>
      </c>
      <c r="B85" s="634" t="s">
        <v>3834</v>
      </c>
      <c r="C85" s="635" t="s">
        <v>1266</v>
      </c>
      <c r="D85" s="635" t="s">
        <v>70</v>
      </c>
      <c r="E85" s="636" t="s">
        <v>303</v>
      </c>
      <c r="F85" s="637"/>
      <c r="G85" s="638" t="s">
        <v>902</v>
      </c>
      <c r="H85" s="33"/>
      <c r="K85" s="639"/>
    </row>
    <row r="86" spans="1:11" ht="15" customHeight="1">
      <c r="A86" s="646" t="s">
        <v>1536</v>
      </c>
      <c r="B86" s="634" t="s">
        <v>832</v>
      </c>
      <c r="C86" s="635" t="s">
        <v>1266</v>
      </c>
      <c r="D86" s="635" t="s">
        <v>74</v>
      </c>
      <c r="E86" s="636" t="s">
        <v>303</v>
      </c>
      <c r="F86" s="637"/>
      <c r="G86" s="638" t="s">
        <v>2</v>
      </c>
      <c r="H86" s="33"/>
      <c r="K86" s="639" t="str">
        <f>Print_Mois!V494</f>
        <v>Intérêts sur prêt</v>
      </c>
    </row>
    <row r="87" spans="1:11" ht="15" customHeight="1">
      <c r="A87" s="646" t="s">
        <v>1539</v>
      </c>
      <c r="B87" s="634" t="s">
        <v>833</v>
      </c>
      <c r="C87" s="635" t="s">
        <v>1266</v>
      </c>
      <c r="D87" s="635" t="s">
        <v>74</v>
      </c>
      <c r="E87" s="636" t="s">
        <v>303</v>
      </c>
      <c r="F87" s="637"/>
      <c r="G87" s="638" t="s">
        <v>2</v>
      </c>
      <c r="H87" s="33"/>
      <c r="K87" s="639" t="s">
        <v>50</v>
      </c>
    </row>
    <row r="88" spans="1:11" ht="15" customHeight="1">
      <c r="A88" s="646" t="s">
        <v>1542</v>
      </c>
      <c r="B88" s="634" t="s">
        <v>834</v>
      </c>
      <c r="C88" s="635" t="s">
        <v>1266</v>
      </c>
      <c r="D88" s="635" t="s">
        <v>74</v>
      </c>
      <c r="E88" s="636" t="s">
        <v>303</v>
      </c>
      <c r="F88" s="637"/>
      <c r="G88" s="638" t="s">
        <v>2</v>
      </c>
      <c r="H88" s="33"/>
      <c r="K88" s="639" t="s">
        <v>46</v>
      </c>
    </row>
    <row r="89" spans="1:11" ht="15" customHeight="1">
      <c r="A89" s="646" t="s">
        <v>1545</v>
      </c>
      <c r="B89" s="634" t="s">
        <v>835</v>
      </c>
      <c r="C89" s="635" t="s">
        <v>1266</v>
      </c>
      <c r="D89" s="635" t="s">
        <v>74</v>
      </c>
      <c r="E89" s="636" t="s">
        <v>303</v>
      </c>
      <c r="F89" s="637"/>
      <c r="G89" s="638" t="e">
        <v>#N/A</v>
      </c>
      <c r="H89" s="33"/>
      <c r="K89" s="639" t="s">
        <v>48</v>
      </c>
    </row>
    <row r="90" spans="1:11" ht="15" customHeight="1">
      <c r="A90" s="646" t="s">
        <v>1548</v>
      </c>
      <c r="B90" s="634" t="s">
        <v>1307</v>
      </c>
      <c r="C90" s="635" t="s">
        <v>1266</v>
      </c>
      <c r="D90" s="635" t="s">
        <v>77</v>
      </c>
      <c r="E90" s="636" t="s">
        <v>303</v>
      </c>
      <c r="F90" s="637"/>
      <c r="G90" s="636" t="s">
        <v>2</v>
      </c>
      <c r="H90" s="33"/>
      <c r="K90" s="639" t="str">
        <f>Print_Mois!V462</f>
        <v>Location équipement</v>
      </c>
    </row>
    <row r="91" spans="1:11" ht="15" customHeight="1">
      <c r="A91" s="646" t="s">
        <v>1551</v>
      </c>
      <c r="B91" s="634" t="s">
        <v>1308</v>
      </c>
      <c r="C91" s="635" t="s">
        <v>1266</v>
      </c>
      <c r="D91" s="635" t="s">
        <v>77</v>
      </c>
      <c r="E91" s="636" t="s">
        <v>303</v>
      </c>
      <c r="F91" s="637"/>
      <c r="G91" s="636" t="s">
        <v>2</v>
      </c>
      <c r="H91" s="33"/>
      <c r="K91" s="639" t="str">
        <f>Print_Mois!V454</f>
        <v>Loyer</v>
      </c>
    </row>
    <row r="92" spans="1:11" ht="15" customHeight="1">
      <c r="A92" s="646" t="s">
        <v>1554</v>
      </c>
      <c r="B92" s="634" t="s">
        <v>836</v>
      </c>
      <c r="C92" s="635" t="s">
        <v>1266</v>
      </c>
      <c r="D92" s="635" t="s">
        <v>75</v>
      </c>
      <c r="E92" s="636" t="s">
        <v>303</v>
      </c>
      <c r="F92" s="637"/>
      <c r="G92" s="638" t="e">
        <v>#N/A</v>
      </c>
      <c r="H92" s="33"/>
      <c r="K92" s="639" t="str">
        <f>Print_Mois!C245</f>
        <v>M/O Carrosserie</v>
      </c>
    </row>
    <row r="93" spans="1:11" ht="15" customHeight="1">
      <c r="A93" s="646" t="s">
        <v>1557</v>
      </c>
      <c r="B93" s="634" t="s">
        <v>837</v>
      </c>
      <c r="C93" s="635" t="s">
        <v>1266</v>
      </c>
      <c r="D93" s="635" t="s">
        <v>75</v>
      </c>
      <c r="E93" s="636" t="s">
        <v>303</v>
      </c>
      <c r="F93" s="637"/>
      <c r="G93" s="638" t="e">
        <v>#N/A</v>
      </c>
      <c r="H93" s="33"/>
      <c r="K93" s="639" t="str">
        <f>Print_Mois!C173</f>
        <v>M/O Client</v>
      </c>
    </row>
    <row r="94" spans="1:11" ht="15" customHeight="1">
      <c r="A94" s="646" t="s">
        <v>1560</v>
      </c>
      <c r="B94" s="634" t="s">
        <v>838</v>
      </c>
      <c r="C94" s="635" t="s">
        <v>1266</v>
      </c>
      <c r="D94" s="635" t="s">
        <v>74</v>
      </c>
      <c r="E94" s="636" t="s">
        <v>303</v>
      </c>
      <c r="F94" s="637"/>
      <c r="G94" s="638" t="e">
        <v>#N/A</v>
      </c>
      <c r="H94" s="33"/>
      <c r="K94" s="639" t="str">
        <f>Print_Mois!C182</f>
        <v>M/O Esthétique</v>
      </c>
    </row>
    <row r="95" spans="1:11" ht="15" customHeight="1">
      <c r="A95" s="646" t="s">
        <v>1563</v>
      </c>
      <c r="B95" s="634" t="s">
        <v>839</v>
      </c>
      <c r="C95" s="635" t="s">
        <v>1266</v>
      </c>
      <c r="D95" s="635" t="s">
        <v>74</v>
      </c>
      <c r="E95" s="636" t="s">
        <v>303</v>
      </c>
      <c r="F95" s="637"/>
      <c r="G95" s="638" t="e">
        <v>#N/A</v>
      </c>
      <c r="H95" s="33"/>
      <c r="K95" s="639" t="str">
        <f>+Print_Mois!C248</f>
        <v>M/O Esthétique Carr.</v>
      </c>
    </row>
    <row r="96" spans="1:11" ht="15" customHeight="1">
      <c r="A96" s="646" t="s">
        <v>1566</v>
      </c>
      <c r="B96" s="634" t="s">
        <v>840</v>
      </c>
      <c r="C96" s="635" t="s">
        <v>1266</v>
      </c>
      <c r="D96" s="635" t="s">
        <v>76</v>
      </c>
      <c r="E96" s="636" t="s">
        <v>303</v>
      </c>
      <c r="F96" s="637"/>
      <c r="G96" s="638" t="e">
        <v>#N/A</v>
      </c>
      <c r="H96" s="33"/>
      <c r="K96" s="639" t="str">
        <f>Print_Mois!C176</f>
        <v>M/O Garantie</v>
      </c>
    </row>
    <row r="97" spans="1:11" ht="15" customHeight="1">
      <c r="A97" s="646" t="s">
        <v>1569</v>
      </c>
      <c r="B97" s="634" t="s">
        <v>841</v>
      </c>
      <c r="C97" s="635" t="s">
        <v>1266</v>
      </c>
      <c r="D97" s="635" t="s">
        <v>76</v>
      </c>
      <c r="E97" s="636" t="s">
        <v>303</v>
      </c>
      <c r="F97" s="637"/>
      <c r="G97" s="638" t="e">
        <v>#N/A</v>
      </c>
      <c r="H97" s="33"/>
      <c r="K97" s="639" t="str">
        <f>Print_Mois!C179</f>
        <v>M/O Interne</v>
      </c>
    </row>
    <row r="98" spans="1:11" ht="15" customHeight="1">
      <c r="A98" s="646" t="s">
        <v>1572</v>
      </c>
      <c r="B98" s="634" t="s">
        <v>842</v>
      </c>
      <c r="C98" s="635" t="s">
        <v>1266</v>
      </c>
      <c r="D98" s="635" t="s">
        <v>79</v>
      </c>
      <c r="E98" s="636" t="s">
        <v>303</v>
      </c>
      <c r="F98" s="637"/>
      <c r="G98" s="638" t="e">
        <v>#N/A</v>
      </c>
      <c r="H98" s="33"/>
      <c r="K98" s="639" t="s">
        <v>26</v>
      </c>
    </row>
    <row r="99" spans="1:11" ht="15" customHeight="1">
      <c r="A99" s="646" t="s">
        <v>1575</v>
      </c>
      <c r="B99" s="634" t="s">
        <v>843</v>
      </c>
      <c r="C99" s="635" t="s">
        <v>1266</v>
      </c>
      <c r="D99" s="635" t="s">
        <v>82</v>
      </c>
      <c r="E99" s="636" t="s">
        <v>303</v>
      </c>
      <c r="F99" s="637"/>
      <c r="G99" s="638" t="s">
        <v>908</v>
      </c>
      <c r="H99" s="33"/>
      <c r="K99" s="639" t="s">
        <v>1284</v>
      </c>
    </row>
    <row r="100" spans="1:11" ht="15" customHeight="1">
      <c r="A100" s="646" t="s">
        <v>3870</v>
      </c>
      <c r="B100" s="634" t="s">
        <v>3869</v>
      </c>
      <c r="C100" s="635" t="s">
        <v>1266</v>
      </c>
      <c r="D100" s="635" t="s">
        <v>82</v>
      </c>
      <c r="E100" s="636" t="s">
        <v>303</v>
      </c>
      <c r="F100" s="637"/>
      <c r="G100" s="638" t="s">
        <v>908</v>
      </c>
      <c r="H100" s="33"/>
      <c r="K100" s="639"/>
    </row>
    <row r="101" spans="1:11" ht="15" customHeight="1">
      <c r="A101" s="646" t="s">
        <v>844</v>
      </c>
      <c r="B101" s="634" t="s">
        <v>3264</v>
      </c>
      <c r="C101" s="635" t="s">
        <v>1266</v>
      </c>
      <c r="D101" s="635" t="s">
        <v>82</v>
      </c>
      <c r="E101" s="636" t="s">
        <v>303</v>
      </c>
      <c r="F101" s="637"/>
      <c r="G101" s="638" t="s">
        <v>908</v>
      </c>
      <c r="H101" s="33"/>
      <c r="K101" s="639" t="s">
        <v>75</v>
      </c>
    </row>
    <row r="102" spans="1:11" ht="15" customHeight="1">
      <c r="A102" s="646" t="s">
        <v>3317</v>
      </c>
      <c r="B102" s="634" t="s">
        <v>3265</v>
      </c>
      <c r="C102" s="635" t="s">
        <v>1266</v>
      </c>
      <c r="D102" s="635" t="s">
        <v>82</v>
      </c>
      <c r="E102" s="636" t="s">
        <v>303</v>
      </c>
      <c r="F102" s="637"/>
      <c r="G102" s="638" t="s">
        <v>7</v>
      </c>
      <c r="H102" s="33"/>
      <c r="K102" s="639" t="str">
        <f>Print_Mois!C95</f>
        <v>Non Certifié</v>
      </c>
    </row>
    <row r="103" spans="1:11" ht="15" customHeight="1">
      <c r="A103" s="646" t="s">
        <v>1580</v>
      </c>
      <c r="B103" s="634" t="s">
        <v>845</v>
      </c>
      <c r="C103" s="635" t="s">
        <v>1266</v>
      </c>
      <c r="D103" s="635" t="s">
        <v>42</v>
      </c>
      <c r="E103" s="636" t="s">
        <v>303</v>
      </c>
      <c r="F103" s="637"/>
      <c r="G103" s="638" t="e">
        <v>#N/A</v>
      </c>
      <c r="H103" s="33"/>
      <c r="K103" s="639"/>
    </row>
    <row r="104" spans="1:11" ht="15" customHeight="1">
      <c r="A104" s="646" t="s">
        <v>3861</v>
      </c>
      <c r="B104" s="634" t="s">
        <v>3860</v>
      </c>
      <c r="C104" s="635" t="s">
        <v>1266</v>
      </c>
      <c r="D104" s="635" t="s">
        <v>83</v>
      </c>
      <c r="E104" s="636" t="s">
        <v>303</v>
      </c>
      <c r="F104" s="637"/>
      <c r="G104" s="638" t="e">
        <v>#N/A</v>
      </c>
      <c r="H104" s="33"/>
      <c r="K104" s="639"/>
    </row>
    <row r="105" spans="1:11" ht="15" customHeight="1">
      <c r="A105" s="646" t="s">
        <v>1583</v>
      </c>
      <c r="B105" s="634" t="s">
        <v>666</v>
      </c>
      <c r="C105" s="635"/>
      <c r="D105" s="635"/>
      <c r="E105" s="636"/>
      <c r="F105" s="637"/>
      <c r="G105" s="638" t="e">
        <v>#N/A</v>
      </c>
      <c r="H105" s="33"/>
      <c r="K105" s="639" t="str">
        <f>Print_Mois!C298</f>
        <v>P/A Garantie</v>
      </c>
    </row>
    <row r="106" spans="1:11" ht="15" customHeight="1">
      <c r="A106" s="646" t="s">
        <v>848</v>
      </c>
      <c r="B106" s="634" t="s">
        <v>846</v>
      </c>
      <c r="C106" s="635" t="s">
        <v>1266</v>
      </c>
      <c r="D106" s="635" t="s">
        <v>47</v>
      </c>
      <c r="E106" s="636" t="s">
        <v>303</v>
      </c>
      <c r="F106" s="637"/>
      <c r="G106" s="638" t="e">
        <v>#N/A</v>
      </c>
      <c r="H106" s="33"/>
      <c r="K106" s="639" t="str">
        <f>Print_Mois!V444</f>
        <v>Papeterie</v>
      </c>
    </row>
    <row r="107" spans="1:11" ht="15" customHeight="1">
      <c r="A107" s="646" t="s">
        <v>850</v>
      </c>
      <c r="B107" s="634" t="s">
        <v>849</v>
      </c>
      <c r="C107" s="635" t="s">
        <v>1266</v>
      </c>
      <c r="D107" s="635" t="s">
        <v>49</v>
      </c>
      <c r="E107" s="636" t="s">
        <v>303</v>
      </c>
      <c r="F107" s="637"/>
      <c r="G107" s="638" t="e">
        <v>#N/A</v>
      </c>
      <c r="H107" s="33"/>
      <c r="K107" s="639" t="str">
        <f>Print_Mois!C297</f>
        <v>Pièces Ro Carrosserie</v>
      </c>
    </row>
    <row r="108" spans="1:11" ht="15" customHeight="1">
      <c r="A108" s="646" t="s">
        <v>3318</v>
      </c>
      <c r="B108" s="634" t="s">
        <v>3258</v>
      </c>
      <c r="C108" s="635" t="s">
        <v>1266</v>
      </c>
      <c r="D108" s="635" t="s">
        <v>57</v>
      </c>
      <c r="E108" s="636" t="s">
        <v>303</v>
      </c>
      <c r="F108" s="637"/>
      <c r="G108" s="638" t="e">
        <v>#N/A</v>
      </c>
      <c r="H108" s="33"/>
      <c r="K108" s="639" t="str">
        <f>Print_Mois!C296</f>
        <v>Pièces Ro Clients</v>
      </c>
    </row>
    <row r="109" spans="1:11" ht="15" customHeight="1">
      <c r="A109" s="646" t="s">
        <v>3319</v>
      </c>
      <c r="B109" s="634" t="s">
        <v>3259</v>
      </c>
      <c r="C109" s="635" t="s">
        <v>1266</v>
      </c>
      <c r="D109" s="635" t="s">
        <v>57</v>
      </c>
      <c r="E109" s="636" t="s">
        <v>303</v>
      </c>
      <c r="F109" s="637"/>
      <c r="G109" s="638" t="e">
        <v>#N/A</v>
      </c>
      <c r="H109" s="33"/>
      <c r="K109" s="639" t="s">
        <v>28</v>
      </c>
    </row>
    <row r="110" spans="1:11" ht="15" customHeight="1">
      <c r="A110" s="646" t="s">
        <v>852</v>
      </c>
      <c r="B110" s="634" t="s">
        <v>851</v>
      </c>
      <c r="C110" s="635" t="s">
        <v>1266</v>
      </c>
      <c r="D110" s="635" t="s">
        <v>28</v>
      </c>
      <c r="E110" s="636" t="s">
        <v>303</v>
      </c>
      <c r="F110" s="637"/>
      <c r="G110" s="638" t="e">
        <v>#N/A</v>
      </c>
      <c r="H110" s="33"/>
      <c r="K110" s="639" t="str">
        <f>Print_Mois!V472</f>
        <v>Programme neuf 1</v>
      </c>
    </row>
    <row r="111" spans="1:11" ht="15" customHeight="1">
      <c r="A111" s="634" t="s">
        <v>854</v>
      </c>
      <c r="B111" s="634" t="s">
        <v>853</v>
      </c>
      <c r="C111" s="635" t="s">
        <v>1266</v>
      </c>
      <c r="D111" s="635" t="s">
        <v>35</v>
      </c>
      <c r="E111" s="636" t="s">
        <v>303</v>
      </c>
      <c r="F111" s="636"/>
      <c r="G111" s="638" t="s">
        <v>908</v>
      </c>
      <c r="H111" s="33"/>
      <c r="K111" s="639" t="s">
        <v>41</v>
      </c>
    </row>
    <row r="112" spans="1:11" ht="15" customHeight="1">
      <c r="A112" s="634" t="s">
        <v>856</v>
      </c>
      <c r="B112" s="634" t="s">
        <v>855</v>
      </c>
      <c r="C112" s="635" t="s">
        <v>1266</v>
      </c>
      <c r="D112" s="635" t="s">
        <v>35</v>
      </c>
      <c r="E112" s="636" t="s">
        <v>303</v>
      </c>
      <c r="F112" s="636"/>
      <c r="G112" s="638" t="s">
        <v>7</v>
      </c>
      <c r="H112" s="33"/>
      <c r="K112" s="639"/>
    </row>
    <row r="113" spans="1:11" ht="15" customHeight="1">
      <c r="A113" s="634" t="s">
        <v>1597</v>
      </c>
      <c r="B113" s="634" t="s">
        <v>857</v>
      </c>
      <c r="C113" s="635" t="s">
        <v>1266</v>
      </c>
      <c r="D113" s="635" t="s">
        <v>35</v>
      </c>
      <c r="E113" s="636" t="s">
        <v>303</v>
      </c>
      <c r="F113" s="636"/>
      <c r="G113" s="638" t="e">
        <v>#N/A</v>
      </c>
      <c r="H113" s="33"/>
      <c r="K113" s="639" t="str">
        <f>Print_Mois!V473</f>
        <v>Programme neuf 2</v>
      </c>
    </row>
    <row r="114" spans="1:11" ht="15" customHeight="1">
      <c r="A114" s="634" t="s">
        <v>859</v>
      </c>
      <c r="B114" s="634" t="s">
        <v>858</v>
      </c>
      <c r="C114" s="635" t="s">
        <v>1266</v>
      </c>
      <c r="D114" s="635" t="s">
        <v>35</v>
      </c>
      <c r="E114" s="636" t="s">
        <v>303</v>
      </c>
      <c r="F114" s="636"/>
      <c r="G114" s="638" t="s">
        <v>908</v>
      </c>
      <c r="H114" s="33"/>
      <c r="K114" s="639" t="str">
        <f>Print_Mois!V474</f>
        <v>Programme neuf 3</v>
      </c>
    </row>
    <row r="115" spans="1:11" ht="15" customHeight="1">
      <c r="A115" s="634" t="s">
        <v>1602</v>
      </c>
      <c r="B115" s="634" t="s">
        <v>860</v>
      </c>
      <c r="C115" s="635" t="s">
        <v>1266</v>
      </c>
      <c r="D115" s="635" t="s">
        <v>35</v>
      </c>
      <c r="E115" s="636" t="s">
        <v>303</v>
      </c>
      <c r="F115" s="636"/>
      <c r="G115" s="638" t="s">
        <v>7</v>
      </c>
      <c r="H115" s="33"/>
      <c r="K115" s="639" t="s">
        <v>116</v>
      </c>
    </row>
    <row r="116" spans="1:11" ht="15" customHeight="1">
      <c r="A116" s="634" t="s">
        <v>1605</v>
      </c>
      <c r="B116" s="634" t="s">
        <v>861</v>
      </c>
      <c r="C116" s="635" t="s">
        <v>1266</v>
      </c>
      <c r="D116" s="635" t="s">
        <v>35</v>
      </c>
      <c r="E116" s="636" t="s">
        <v>303</v>
      </c>
      <c r="F116" s="636"/>
      <c r="G116" s="638" t="e">
        <v>#N/A</v>
      </c>
      <c r="H116" s="33"/>
      <c r="K116" s="639" t="s">
        <v>129</v>
      </c>
    </row>
    <row r="117" spans="1:11" ht="15" customHeight="1">
      <c r="A117" s="634" t="s">
        <v>1608</v>
      </c>
      <c r="B117" s="634" t="s">
        <v>862</v>
      </c>
      <c r="C117" s="635" t="s">
        <v>1266</v>
      </c>
      <c r="D117" s="635" t="s">
        <v>43</v>
      </c>
      <c r="E117" s="636" t="s">
        <v>303</v>
      </c>
      <c r="F117" s="636"/>
      <c r="G117" s="638" t="e">
        <v>#N/A</v>
      </c>
      <c r="H117" s="33"/>
      <c r="K117" s="639">
        <f>Print_Mois!C19</f>
        <v>0</v>
      </c>
    </row>
    <row r="118" spans="1:11" ht="15" customHeight="1">
      <c r="A118" s="634" t="s">
        <v>863</v>
      </c>
      <c r="B118" s="634" t="s">
        <v>864</v>
      </c>
      <c r="C118" s="635" t="s">
        <v>1266</v>
      </c>
      <c r="D118" s="635" t="s">
        <v>43</v>
      </c>
      <c r="E118" s="636" t="s">
        <v>303</v>
      </c>
      <c r="F118" s="636"/>
      <c r="G118" s="638" t="e">
        <v>#N/A</v>
      </c>
      <c r="H118" s="33"/>
      <c r="K118" s="639" t="s">
        <v>42</v>
      </c>
    </row>
    <row r="119" spans="1:11" ht="15" customHeight="1">
      <c r="A119" s="646" t="s">
        <v>1613</v>
      </c>
      <c r="B119" s="634" t="s">
        <v>865</v>
      </c>
      <c r="C119" s="635" t="s">
        <v>1266</v>
      </c>
      <c r="D119" s="635" t="s">
        <v>43</v>
      </c>
      <c r="E119" s="636" t="s">
        <v>303</v>
      </c>
      <c r="F119" s="637"/>
      <c r="G119" s="638" t="e">
        <v>#N/A</v>
      </c>
      <c r="H119" s="33"/>
      <c r="K119" s="639" t="s">
        <v>38</v>
      </c>
    </row>
    <row r="120" spans="1:11" ht="15" customHeight="1">
      <c r="A120" s="646" t="s">
        <v>1616</v>
      </c>
      <c r="B120" s="634" t="s">
        <v>866</v>
      </c>
      <c r="C120" s="635" t="s">
        <v>1266</v>
      </c>
      <c r="D120" s="635" t="s">
        <v>43</v>
      </c>
      <c r="E120" s="636" t="s">
        <v>303</v>
      </c>
      <c r="F120" s="637"/>
      <c r="G120" s="638" t="s">
        <v>908</v>
      </c>
      <c r="H120" s="33"/>
      <c r="K120" s="639" t="s">
        <v>29</v>
      </c>
    </row>
    <row r="121" spans="1:11" ht="15" customHeight="1">
      <c r="A121" s="646" t="s">
        <v>1619</v>
      </c>
      <c r="B121" s="634" t="s">
        <v>677</v>
      </c>
      <c r="C121" s="635"/>
      <c r="D121" s="635"/>
      <c r="E121" s="636"/>
      <c r="F121" s="637"/>
      <c r="G121" s="638" t="s">
        <v>761</v>
      </c>
      <c r="H121" s="33"/>
      <c r="K121" s="639" t="s">
        <v>29</v>
      </c>
    </row>
    <row r="122" spans="1:11" ht="15" customHeight="1">
      <c r="A122" s="646" t="s">
        <v>868</v>
      </c>
      <c r="B122" s="634" t="s">
        <v>867</v>
      </c>
      <c r="C122" s="635" t="s">
        <v>1266</v>
      </c>
      <c r="D122" s="635" t="s">
        <v>33</v>
      </c>
      <c r="E122" s="636" t="s">
        <v>303</v>
      </c>
      <c r="F122" s="637"/>
      <c r="G122" s="638" t="s">
        <v>7</v>
      </c>
      <c r="H122" s="33"/>
      <c r="K122" s="639" t="s">
        <v>36</v>
      </c>
    </row>
    <row r="123" spans="1:11" ht="15" customHeight="1">
      <c r="A123" s="646" t="s">
        <v>1624</v>
      </c>
      <c r="B123" s="634" t="s">
        <v>869</v>
      </c>
      <c r="C123" s="635" t="s">
        <v>1266</v>
      </c>
      <c r="D123" s="635" t="s">
        <v>43</v>
      </c>
      <c r="E123" s="636" t="s">
        <v>303</v>
      </c>
      <c r="F123" s="637"/>
      <c r="G123" s="638" t="s">
        <v>908</v>
      </c>
      <c r="H123" s="33"/>
      <c r="K123" s="639" t="s">
        <v>34</v>
      </c>
    </row>
    <row r="124" spans="1:11" ht="15" customHeight="1">
      <c r="A124" s="646" t="s">
        <v>873</v>
      </c>
      <c r="B124" s="634" t="s">
        <v>870</v>
      </c>
      <c r="C124" s="635" t="s">
        <v>1266</v>
      </c>
      <c r="D124" s="635" t="s">
        <v>57</v>
      </c>
      <c r="E124" s="636" t="s">
        <v>303</v>
      </c>
      <c r="F124" s="637"/>
      <c r="G124" s="638" t="s">
        <v>7</v>
      </c>
      <c r="H124" s="33"/>
      <c r="K124" s="639" t="s">
        <v>30</v>
      </c>
    </row>
    <row r="125" spans="1:11" ht="15" customHeight="1">
      <c r="A125" s="646" t="s">
        <v>3320</v>
      </c>
      <c r="B125" s="634" t="s">
        <v>1310</v>
      </c>
      <c r="C125" s="635" t="s">
        <v>1266</v>
      </c>
      <c r="D125" s="635" t="s">
        <v>57</v>
      </c>
      <c r="E125" s="636" t="s">
        <v>303</v>
      </c>
      <c r="F125" s="637"/>
      <c r="G125" s="638" t="e">
        <v>#N/A</v>
      </c>
      <c r="H125" s="33"/>
      <c r="K125" s="639" t="s">
        <v>189</v>
      </c>
    </row>
    <row r="126" spans="1:11" ht="15" customHeight="1">
      <c r="A126" s="646" t="s">
        <v>1629</v>
      </c>
      <c r="B126" s="634" t="s">
        <v>872</v>
      </c>
      <c r="C126" s="635" t="s">
        <v>1266</v>
      </c>
      <c r="D126" s="635" t="s">
        <v>57</v>
      </c>
      <c r="E126" s="636" t="s">
        <v>303</v>
      </c>
      <c r="F126" s="637"/>
      <c r="G126" s="638" t="e">
        <v>#N/A</v>
      </c>
      <c r="H126" s="33"/>
      <c r="K126" s="639" t="s">
        <v>40</v>
      </c>
    </row>
    <row r="127" spans="1:11" ht="15" customHeight="1">
      <c r="A127" s="646" t="s">
        <v>3321</v>
      </c>
      <c r="B127" s="634" t="s">
        <v>1311</v>
      </c>
      <c r="C127" s="635" t="s">
        <v>1266</v>
      </c>
      <c r="D127" s="635" t="s">
        <v>41</v>
      </c>
      <c r="E127" s="636" t="s">
        <v>303</v>
      </c>
      <c r="F127" s="637"/>
      <c r="G127" s="638" t="e">
        <v>#N/A</v>
      </c>
      <c r="H127" s="33"/>
      <c r="K127" s="639" t="str">
        <f>Print_Mois!V461</f>
        <v>Réparation équipement</v>
      </c>
    </row>
    <row r="128" spans="1:11" ht="15" customHeight="1">
      <c r="A128" s="646" t="s">
        <v>1632</v>
      </c>
      <c r="B128" s="634" t="s">
        <v>875</v>
      </c>
      <c r="C128" s="635" t="s">
        <v>1266</v>
      </c>
      <c r="D128" s="635" t="s">
        <v>57</v>
      </c>
      <c r="E128" s="636" t="s">
        <v>303</v>
      </c>
      <c r="F128" s="637"/>
      <c r="G128" s="638" t="s">
        <v>908</v>
      </c>
      <c r="H128" s="33"/>
      <c r="K128" s="639" t="s">
        <v>1293</v>
      </c>
    </row>
    <row r="129" spans="1:29" ht="15" customHeight="1">
      <c r="A129" s="646" t="s">
        <v>1635</v>
      </c>
      <c r="B129" s="634" t="s">
        <v>678</v>
      </c>
      <c r="C129" s="635"/>
      <c r="D129" s="635"/>
      <c r="E129" s="636" t="s">
        <v>303</v>
      </c>
      <c r="F129" s="637"/>
      <c r="G129" s="638" t="e">
        <v>#N/A</v>
      </c>
      <c r="H129" s="33"/>
      <c r="K129" s="639" t="str">
        <f>Print_Mois!C23</f>
        <v>Rev. Autres</v>
      </c>
    </row>
    <row r="130" spans="1:29" ht="15" customHeight="1">
      <c r="A130" s="646" t="s">
        <v>3281</v>
      </c>
      <c r="B130" s="634" t="s">
        <v>3282</v>
      </c>
      <c r="C130" s="635" t="s">
        <v>1266</v>
      </c>
      <c r="D130" s="635" t="s">
        <v>55</v>
      </c>
      <c r="E130" s="636" t="s">
        <v>303</v>
      </c>
      <c r="F130" s="637"/>
      <c r="G130" s="638" t="s">
        <v>7</v>
      </c>
      <c r="H130" s="33"/>
      <c r="K130" s="639" t="str">
        <f>Print_Mois!C24</f>
        <v>Total F&amp;I</v>
      </c>
    </row>
    <row r="131" spans="1:29" ht="15" customHeight="1">
      <c r="A131" s="646" t="s">
        <v>877</v>
      </c>
      <c r="B131" s="634" t="s">
        <v>876</v>
      </c>
      <c r="C131" s="635" t="s">
        <v>1266</v>
      </c>
      <c r="D131" s="635" t="s">
        <v>55</v>
      </c>
      <c r="E131" s="636" t="s">
        <v>303</v>
      </c>
      <c r="F131" s="637"/>
      <c r="G131" s="638" t="s">
        <v>908</v>
      </c>
      <c r="H131" s="33"/>
      <c r="K131" s="639" t="str">
        <f>Print_Mois!C21</f>
        <v>Rev. Finances</v>
      </c>
    </row>
    <row r="132" spans="1:29" ht="15" customHeight="1">
      <c r="A132" s="646" t="s">
        <v>1640</v>
      </c>
      <c r="B132" s="634" t="s">
        <v>878</v>
      </c>
      <c r="C132" s="635" t="s">
        <v>1266</v>
      </c>
      <c r="D132" s="635" t="s">
        <v>55</v>
      </c>
      <c r="E132" s="636" t="s">
        <v>303</v>
      </c>
      <c r="F132" s="637"/>
      <c r="G132" s="638" t="s">
        <v>7</v>
      </c>
      <c r="H132" s="33"/>
      <c r="K132" s="639" t="str">
        <f>Print_Mois!C22</f>
        <v>Rev. Protections</v>
      </c>
    </row>
    <row r="133" spans="1:29" ht="15" customHeight="1">
      <c r="A133" s="646" t="s">
        <v>1643</v>
      </c>
      <c r="B133" s="634" t="s">
        <v>679</v>
      </c>
      <c r="C133" s="635"/>
      <c r="D133" s="635"/>
      <c r="E133" s="636"/>
      <c r="F133" s="637"/>
      <c r="G133" s="638" t="s">
        <v>761</v>
      </c>
      <c r="H133" s="33"/>
      <c r="K133" s="639" t="str">
        <f>Print_Mois!V470</f>
        <v>Revenus autres</v>
      </c>
    </row>
    <row r="134" spans="1:29" ht="15" customHeight="1">
      <c r="A134" s="646" t="s">
        <v>1646</v>
      </c>
      <c r="B134" s="634" t="s">
        <v>879</v>
      </c>
      <c r="C134" s="635" t="s">
        <v>1266</v>
      </c>
      <c r="D134" s="635" t="s">
        <v>55</v>
      </c>
      <c r="E134" s="636" t="s">
        <v>303</v>
      </c>
      <c r="F134" s="637"/>
      <c r="G134" s="638" t="e">
        <v>#N/A</v>
      </c>
      <c r="H134" s="33"/>
      <c r="K134" s="639" t="s">
        <v>53</v>
      </c>
    </row>
    <row r="135" spans="1:29" ht="15" customHeight="1">
      <c r="A135" s="646" t="s">
        <v>1649</v>
      </c>
      <c r="B135" s="634" t="s">
        <v>880</v>
      </c>
      <c r="C135" s="635" t="s">
        <v>1266</v>
      </c>
      <c r="D135" s="635" t="s">
        <v>55</v>
      </c>
      <c r="E135" s="636" t="s">
        <v>303</v>
      </c>
      <c r="F135" s="637"/>
      <c r="G135" s="638" t="e">
        <v>#N/A</v>
      </c>
      <c r="H135" s="33"/>
      <c r="K135" s="639" t="str">
        <f>Print_Mois!V424</f>
        <v>Salaires autres</v>
      </c>
    </row>
    <row r="136" spans="1:29" ht="15" customHeight="1">
      <c r="A136" s="646" t="s">
        <v>1652</v>
      </c>
      <c r="B136" s="634" t="s">
        <v>881</v>
      </c>
      <c r="C136" s="635" t="s">
        <v>1266</v>
      </c>
      <c r="D136" s="635" t="s">
        <v>55</v>
      </c>
      <c r="E136" s="636" t="s">
        <v>303</v>
      </c>
      <c r="F136" s="637"/>
      <c r="G136" s="638" t="s">
        <v>908</v>
      </c>
      <c r="H136" s="33"/>
      <c r="K136" s="639" t="str">
        <f>Print_Mois!V422</f>
        <v>Salaires cadres</v>
      </c>
    </row>
    <row r="137" spans="1:29" ht="15" customHeight="1">
      <c r="A137" s="646" t="s">
        <v>1655</v>
      </c>
      <c r="B137" s="634" t="s">
        <v>680</v>
      </c>
      <c r="C137" s="635"/>
      <c r="D137" s="635"/>
      <c r="E137" s="636"/>
      <c r="F137" s="637"/>
      <c r="G137" s="638" t="s">
        <v>761</v>
      </c>
      <c r="H137" s="33"/>
      <c r="K137" s="639" t="str">
        <f>Print_Mois!C43</f>
        <v>Salaires commis</v>
      </c>
    </row>
    <row r="138" spans="1:29" ht="15" customHeight="1">
      <c r="A138" s="646" t="s">
        <v>1658</v>
      </c>
      <c r="B138" s="634" t="s">
        <v>681</v>
      </c>
      <c r="C138" s="635"/>
      <c r="D138" s="635"/>
      <c r="E138" s="636"/>
      <c r="F138" s="637"/>
      <c r="G138" s="638" t="s">
        <v>761</v>
      </c>
      <c r="H138" s="33"/>
      <c r="K138" s="639" t="str">
        <f>Print_Mois!V423</f>
        <v>Salaires commis</v>
      </c>
    </row>
    <row r="139" spans="1:29" ht="15" customHeight="1">
      <c r="A139" s="646" t="s">
        <v>883</v>
      </c>
      <c r="B139" s="634" t="s">
        <v>882</v>
      </c>
      <c r="C139" s="635" t="s">
        <v>1266</v>
      </c>
      <c r="D139" s="635" t="s">
        <v>39</v>
      </c>
      <c r="E139" s="636" t="s">
        <v>303</v>
      </c>
      <c r="F139" s="637"/>
      <c r="G139" s="638" t="s">
        <v>7</v>
      </c>
      <c r="H139" s="33"/>
      <c r="K139" s="639" t="str">
        <f>Print_Mois!V429</f>
        <v>Salaires en absences</v>
      </c>
    </row>
    <row r="140" spans="1:29" ht="15" customHeight="1">
      <c r="A140" s="646" t="s">
        <v>1663</v>
      </c>
      <c r="B140" s="634" t="s">
        <v>682</v>
      </c>
      <c r="C140" s="635"/>
      <c r="D140" s="635"/>
      <c r="E140" s="636"/>
      <c r="F140" s="637"/>
      <c r="G140" s="638" t="s">
        <v>761</v>
      </c>
      <c r="H140" s="33"/>
      <c r="K140" s="639" t="str">
        <f>Print_Mois!V421</f>
        <v>Salaires propriétaire</v>
      </c>
    </row>
    <row r="141" spans="1:29" ht="15" customHeight="1">
      <c r="A141" s="646" t="s">
        <v>1666</v>
      </c>
      <c r="B141" s="634" t="s">
        <v>683</v>
      </c>
      <c r="C141" s="635"/>
      <c r="D141" s="635"/>
      <c r="E141" s="636"/>
      <c r="F141" s="637"/>
      <c r="G141" s="638" t="s">
        <v>761</v>
      </c>
      <c r="H141" s="33"/>
      <c r="K141" s="639" t="str">
        <f>Print_Mois!V425</f>
        <v>Salaires spécialistes</v>
      </c>
    </row>
    <row r="142" spans="1:29" ht="15" customHeight="1">
      <c r="A142" s="646" t="s">
        <v>1669</v>
      </c>
      <c r="B142" s="634" t="s">
        <v>684</v>
      </c>
      <c r="C142" s="635"/>
      <c r="D142" s="635"/>
      <c r="E142" s="636"/>
      <c r="F142" s="637"/>
      <c r="G142" s="638" t="s">
        <v>761</v>
      </c>
      <c r="H142" s="33"/>
      <c r="K142" s="639" t="str">
        <f>Print_Mois!C34</f>
        <v>Service gratuit 1</v>
      </c>
    </row>
    <row r="143" spans="1:29" ht="15" customHeight="1">
      <c r="A143" s="646" t="s">
        <v>1672</v>
      </c>
      <c r="B143" s="634" t="s">
        <v>685</v>
      </c>
      <c r="C143" s="635"/>
      <c r="D143" s="635"/>
      <c r="E143" s="636"/>
      <c r="F143" s="637"/>
      <c r="G143" s="638" t="s">
        <v>761</v>
      </c>
      <c r="H143" s="33"/>
      <c r="K143" s="639" t="str">
        <f>Print_Mois!V436</f>
        <v>Service gratuit 2</v>
      </c>
    </row>
    <row r="144" spans="1:29" ht="15" customHeight="1">
      <c r="A144" s="646" t="s">
        <v>885</v>
      </c>
      <c r="B144" s="634" t="s">
        <v>884</v>
      </c>
      <c r="C144" s="635" t="s">
        <v>1266</v>
      </c>
      <c r="D144" s="635" t="s">
        <v>53</v>
      </c>
      <c r="E144" s="636" t="s">
        <v>303</v>
      </c>
      <c r="F144" s="637"/>
      <c r="G144" s="638" t="s">
        <v>908</v>
      </c>
      <c r="H144" s="33"/>
      <c r="I144" s="3"/>
      <c r="J144" s="3"/>
      <c r="K144" s="639" t="str">
        <f>Print_Mois!V440</f>
        <v>Services extérieurs</v>
      </c>
      <c r="L144" s="3"/>
      <c r="M144" s="3"/>
      <c r="P144" s="3"/>
      <c r="Q144" s="3"/>
      <c r="R144" s="3"/>
      <c r="S144" s="3"/>
      <c r="T144" s="3"/>
      <c r="U144" s="3"/>
      <c r="V144" s="3"/>
      <c r="W144" s="3"/>
      <c r="X144" s="3"/>
      <c r="Y144" s="3"/>
      <c r="Z144" s="3"/>
      <c r="AA144" s="3"/>
      <c r="AB144" s="3"/>
      <c r="AC144" s="3"/>
    </row>
    <row r="145" spans="1:11" ht="15" customHeight="1">
      <c r="A145" s="646" t="s">
        <v>3322</v>
      </c>
      <c r="B145" s="634" t="s">
        <v>886</v>
      </c>
      <c r="C145" s="635" t="s">
        <v>1266</v>
      </c>
      <c r="D145" s="635" t="s">
        <v>53</v>
      </c>
      <c r="E145" s="636" t="s">
        <v>303</v>
      </c>
      <c r="F145" s="637"/>
      <c r="G145" s="638" t="s">
        <v>7</v>
      </c>
      <c r="H145" s="33"/>
      <c r="K145" s="639" t="s">
        <v>58</v>
      </c>
    </row>
    <row r="146" spans="1:11" ht="15" customHeight="1">
      <c r="A146" s="646" t="s">
        <v>889</v>
      </c>
      <c r="B146" s="634" t="s">
        <v>888</v>
      </c>
      <c r="C146" s="635" t="s">
        <v>1266</v>
      </c>
      <c r="D146" s="635" t="s">
        <v>53</v>
      </c>
      <c r="E146" s="636" t="s">
        <v>303</v>
      </c>
      <c r="F146" s="637"/>
      <c r="G146" s="638" t="s">
        <v>908</v>
      </c>
      <c r="H146" s="33"/>
      <c r="K146" s="639" t="str">
        <f>Print_Mois!C189</f>
        <v>Sous-traitement</v>
      </c>
    </row>
    <row r="147" spans="1:11" ht="15" customHeight="1">
      <c r="A147" s="646" t="s">
        <v>1679</v>
      </c>
      <c r="B147" s="634" t="s">
        <v>890</v>
      </c>
      <c r="C147" s="635" t="s">
        <v>1266</v>
      </c>
      <c r="D147" s="635" t="s">
        <v>53</v>
      </c>
      <c r="E147" s="636" t="s">
        <v>303</v>
      </c>
      <c r="F147" s="637"/>
      <c r="G147" s="638" t="s">
        <v>7</v>
      </c>
      <c r="H147" s="33"/>
      <c r="K147" s="639" t="s">
        <v>129</v>
      </c>
    </row>
    <row r="148" spans="1:11" ht="15" customHeight="1">
      <c r="A148" s="646" t="s">
        <v>1682</v>
      </c>
      <c r="B148" s="634" t="s">
        <v>1312</v>
      </c>
      <c r="C148" s="635" t="s">
        <v>1266</v>
      </c>
      <c r="D148" s="635" t="s">
        <v>53</v>
      </c>
      <c r="E148" s="636" t="s">
        <v>303</v>
      </c>
      <c r="F148" s="637"/>
      <c r="G148" s="636" t="e">
        <v>#N/A</v>
      </c>
      <c r="H148" s="33"/>
      <c r="K148" s="639" t="s">
        <v>99</v>
      </c>
    </row>
    <row r="149" spans="1:11" ht="15" customHeight="1">
      <c r="A149" s="646" t="s">
        <v>1685</v>
      </c>
      <c r="B149" s="634" t="s">
        <v>891</v>
      </c>
      <c r="C149" s="635" t="s">
        <v>1266</v>
      </c>
      <c r="D149" s="635" t="s">
        <v>53</v>
      </c>
      <c r="E149" s="636" t="s">
        <v>303</v>
      </c>
      <c r="F149" s="637"/>
      <c r="G149" s="638" t="s">
        <v>908</v>
      </c>
      <c r="H149" s="33"/>
      <c r="K149" s="639" t="s">
        <v>206</v>
      </c>
    </row>
    <row r="150" spans="1:11" ht="15" customHeight="1">
      <c r="A150" s="646" t="s">
        <v>1688</v>
      </c>
      <c r="B150" s="634" t="s">
        <v>892</v>
      </c>
      <c r="C150" s="635" t="s">
        <v>1266</v>
      </c>
      <c r="D150" s="635" t="s">
        <v>53</v>
      </c>
      <c r="E150" s="636" t="s">
        <v>303</v>
      </c>
      <c r="F150" s="637"/>
      <c r="G150" s="638" t="s">
        <v>7</v>
      </c>
      <c r="H150" s="33"/>
      <c r="K150" s="639" t="s">
        <v>207</v>
      </c>
    </row>
    <row r="151" spans="1:11" ht="15" customHeight="1">
      <c r="A151" s="646" t="s">
        <v>687</v>
      </c>
      <c r="B151" s="634" t="s">
        <v>686</v>
      </c>
      <c r="C151" s="635"/>
      <c r="D151" s="635"/>
      <c r="E151" s="636"/>
      <c r="F151" s="637"/>
      <c r="G151" s="638" t="s">
        <v>761</v>
      </c>
      <c r="H151" s="33"/>
      <c r="K151" s="639" t="str">
        <f>Print_Mois!V457</f>
        <v>Taxe sur le capital</v>
      </c>
    </row>
    <row r="152" spans="1:11" ht="15" customHeight="1">
      <c r="A152" s="646" t="s">
        <v>894</v>
      </c>
      <c r="B152" s="634" t="s">
        <v>893</v>
      </c>
      <c r="C152" s="635" t="s">
        <v>1266</v>
      </c>
      <c r="D152" s="635" t="s">
        <v>57</v>
      </c>
      <c r="E152" s="636" t="s">
        <v>303</v>
      </c>
      <c r="F152" s="637"/>
      <c r="G152" s="638" t="s">
        <v>2</v>
      </c>
      <c r="H152" s="33"/>
      <c r="K152" s="639" t="s">
        <v>35</v>
      </c>
    </row>
    <row r="153" spans="1:11" ht="15" customHeight="1">
      <c r="A153" s="646" t="s">
        <v>3323</v>
      </c>
      <c r="B153" s="634" t="s">
        <v>895</v>
      </c>
      <c r="C153" s="635" t="s">
        <v>1266</v>
      </c>
      <c r="D153" s="635" t="s">
        <v>57</v>
      </c>
      <c r="E153" s="636" t="s">
        <v>303</v>
      </c>
      <c r="F153" s="637"/>
      <c r="G153" s="638" t="s">
        <v>908</v>
      </c>
      <c r="H153" s="33"/>
      <c r="K153" s="639" t="str">
        <f>Print_Mois!V445</f>
        <v>Téléphone</v>
      </c>
    </row>
    <row r="154" spans="1:11" ht="15" customHeight="1">
      <c r="A154" s="646" t="s">
        <v>689</v>
      </c>
      <c r="B154" s="634" t="s">
        <v>688</v>
      </c>
      <c r="C154" s="635"/>
      <c r="D154" s="635"/>
      <c r="E154" s="636"/>
      <c r="F154" s="637"/>
      <c r="G154" s="638" t="s">
        <v>761</v>
      </c>
      <c r="H154" s="33"/>
      <c r="K154" s="639" t="s">
        <v>56</v>
      </c>
    </row>
    <row r="155" spans="1:11" ht="15" customHeight="1">
      <c r="A155" s="646" t="s">
        <v>1695</v>
      </c>
      <c r="B155" s="634" t="s">
        <v>690</v>
      </c>
      <c r="C155" s="635"/>
      <c r="D155" s="635"/>
      <c r="E155" s="636"/>
      <c r="F155" s="637"/>
      <c r="G155" s="638" t="s">
        <v>761</v>
      </c>
      <c r="H155" s="33"/>
      <c r="K155" s="639" t="s">
        <v>136</v>
      </c>
    </row>
    <row r="156" spans="1:11" ht="15" customHeight="1">
      <c r="A156" s="646" t="s">
        <v>1698</v>
      </c>
      <c r="B156" s="634" t="s">
        <v>691</v>
      </c>
      <c r="C156" s="635"/>
      <c r="D156" s="635"/>
      <c r="E156" s="636"/>
      <c r="F156" s="637"/>
      <c r="G156" s="638" t="s">
        <v>761</v>
      </c>
      <c r="H156" s="33"/>
      <c r="K156" s="639" t="str">
        <f>Print_Mois!C101</f>
        <v>Ventes au Gros</v>
      </c>
    </row>
    <row r="157" spans="1:11" ht="15" customHeight="1">
      <c r="A157" s="646" t="s">
        <v>898</v>
      </c>
      <c r="B157" s="634" t="s">
        <v>897</v>
      </c>
      <c r="C157" s="635" t="s">
        <v>1266</v>
      </c>
      <c r="D157" s="635" t="s">
        <v>71</v>
      </c>
      <c r="E157" s="636" t="s">
        <v>303</v>
      </c>
      <c r="F157" s="637"/>
      <c r="G157" s="638" t="s">
        <v>7</v>
      </c>
      <c r="H157" s="33"/>
      <c r="K157" s="639"/>
    </row>
    <row r="158" spans="1:11" ht="15" customHeight="1">
      <c r="A158" s="646" t="s">
        <v>900</v>
      </c>
      <c r="B158" s="634" t="s">
        <v>899</v>
      </c>
      <c r="C158" s="635" t="s">
        <v>1266</v>
      </c>
      <c r="D158" s="635" t="s">
        <v>57</v>
      </c>
      <c r="E158" s="636" t="s">
        <v>303</v>
      </c>
      <c r="F158" s="637"/>
      <c r="G158" s="638" t="s">
        <v>2</v>
      </c>
      <c r="H158" s="33"/>
      <c r="K158" s="639" t="str">
        <f>Print_Mois!C301</f>
        <v>Ventes de Gros</v>
      </c>
    </row>
    <row r="159" spans="1:11" ht="15" customHeight="1">
      <c r="A159" s="646" t="s">
        <v>693</v>
      </c>
      <c r="B159" s="634" t="s">
        <v>667</v>
      </c>
      <c r="C159" s="635"/>
      <c r="D159" s="635"/>
      <c r="E159" s="636"/>
      <c r="F159" s="637"/>
      <c r="G159" s="638" t="e">
        <v>#N/A</v>
      </c>
      <c r="H159" s="33"/>
      <c r="K159" s="639" t="s">
        <v>186</v>
      </c>
    </row>
    <row r="160" spans="1:11" ht="15" customHeight="1">
      <c r="A160" s="646" t="s">
        <v>1708</v>
      </c>
      <c r="B160" s="634" t="s">
        <v>692</v>
      </c>
      <c r="C160" s="635"/>
      <c r="D160" s="635"/>
      <c r="E160" s="636"/>
      <c r="F160" s="637"/>
      <c r="G160" s="638" t="e">
        <v>#N/A</v>
      </c>
      <c r="H160" s="33"/>
      <c r="K160" s="639" t="str">
        <f>Print_Mois!C299</f>
        <v>Ventes Internes</v>
      </c>
    </row>
    <row r="161" spans="1:11" ht="15" customHeight="1">
      <c r="A161" s="646" t="s">
        <v>903</v>
      </c>
      <c r="B161" s="634" t="s">
        <v>901</v>
      </c>
      <c r="C161" s="635" t="s">
        <v>1266</v>
      </c>
      <c r="D161" s="635" t="s">
        <v>84</v>
      </c>
      <c r="E161" s="636" t="s">
        <v>303</v>
      </c>
      <c r="F161" s="637"/>
      <c r="G161" s="638" t="e">
        <v>#N/A</v>
      </c>
      <c r="H161" s="33"/>
      <c r="K161" s="639"/>
    </row>
    <row r="162" spans="1:11" ht="15" customHeight="1">
      <c r="A162" s="646" t="s">
        <v>1713</v>
      </c>
      <c r="B162" s="634" t="s">
        <v>904</v>
      </c>
      <c r="C162" s="635" t="s">
        <v>1266</v>
      </c>
      <c r="D162" s="635" t="s">
        <v>85</v>
      </c>
      <c r="E162" s="636" t="s">
        <v>303</v>
      </c>
      <c r="F162" s="637"/>
      <c r="G162" s="638" t="e">
        <v>#N/A</v>
      </c>
      <c r="H162" s="33"/>
      <c r="K162" s="639" t="str">
        <f>Print_Mois!C308</f>
        <v>Ventes Pneus</v>
      </c>
    </row>
    <row r="163" spans="1:11" ht="15" customHeight="1">
      <c r="A163" s="646" t="s">
        <v>1716</v>
      </c>
      <c r="B163" s="634" t="s">
        <v>905</v>
      </c>
      <c r="C163" s="635" t="s">
        <v>1266</v>
      </c>
      <c r="D163" s="635" t="s">
        <v>84</v>
      </c>
      <c r="E163" s="636"/>
      <c r="F163" s="637"/>
      <c r="G163" s="638" t="e">
        <v>#N/A</v>
      </c>
      <c r="H163" s="33"/>
    </row>
    <row r="164" spans="1:11" ht="15" customHeight="1">
      <c r="A164" s="646" t="s">
        <v>1719</v>
      </c>
      <c r="B164" s="634" t="s">
        <v>694</v>
      </c>
      <c r="C164" s="635"/>
      <c r="D164" s="635"/>
      <c r="E164" s="636"/>
      <c r="F164" s="637"/>
      <c r="G164" s="638" t="e">
        <v>#N/A</v>
      </c>
      <c r="H164" s="33"/>
    </row>
    <row r="165" spans="1:11" ht="15" customHeight="1">
      <c r="A165" s="646" t="s">
        <v>1722</v>
      </c>
      <c r="B165" s="634" t="s">
        <v>695</v>
      </c>
      <c r="C165" s="635"/>
      <c r="D165" s="635"/>
      <c r="E165" s="636"/>
      <c r="F165" s="637"/>
      <c r="G165" s="638" t="e">
        <v>#N/A</v>
      </c>
      <c r="H165" s="33"/>
    </row>
    <row r="166" spans="1:11" ht="15" customHeight="1">
      <c r="A166" s="646" t="s">
        <v>1725</v>
      </c>
      <c r="B166" s="634" t="s">
        <v>696</v>
      </c>
      <c r="C166" s="635"/>
      <c r="D166" s="635"/>
      <c r="E166" s="636"/>
      <c r="F166" s="637"/>
      <c r="G166" s="638" t="s">
        <v>761</v>
      </c>
      <c r="H166" s="33"/>
    </row>
    <row r="167" spans="1:11" ht="15" customHeight="1">
      <c r="A167" s="646" t="s">
        <v>1728</v>
      </c>
      <c r="B167" s="634" t="s">
        <v>697</v>
      </c>
      <c r="C167" s="635"/>
      <c r="D167" s="635"/>
      <c r="E167" s="636"/>
      <c r="F167" s="637"/>
      <c r="G167" s="638" t="e">
        <v>#N/A</v>
      </c>
      <c r="H167" s="33"/>
    </row>
    <row r="168" spans="1:11" ht="15" customHeight="1">
      <c r="A168" s="646" t="s">
        <v>1731</v>
      </c>
      <c r="B168" s="634" t="s">
        <v>698</v>
      </c>
      <c r="C168" s="635"/>
      <c r="D168" s="635"/>
      <c r="E168" s="636"/>
      <c r="F168" s="637"/>
      <c r="G168" s="638" t="s">
        <v>761</v>
      </c>
      <c r="H168" s="33"/>
    </row>
    <row r="169" spans="1:11" ht="15" customHeight="1">
      <c r="A169" s="646" t="s">
        <v>1734</v>
      </c>
      <c r="B169" s="634" t="s">
        <v>699</v>
      </c>
      <c r="C169" s="635"/>
      <c r="D169" s="635"/>
      <c r="E169" s="636"/>
      <c r="F169" s="637"/>
      <c r="G169" s="638" t="s">
        <v>7</v>
      </c>
      <c r="H169" s="3"/>
    </row>
    <row r="170" spans="1:11" ht="15" customHeight="1">
      <c r="A170" s="646" t="s">
        <v>1737</v>
      </c>
      <c r="B170" s="634" t="s">
        <v>700</v>
      </c>
      <c r="C170" s="635"/>
      <c r="D170" s="635"/>
      <c r="E170" s="636"/>
      <c r="F170" s="637"/>
      <c r="G170" s="638" t="s">
        <v>761</v>
      </c>
      <c r="H170" s="3"/>
    </row>
    <row r="171" spans="1:11" ht="15" customHeight="1">
      <c r="A171" s="646" t="s">
        <v>1740</v>
      </c>
      <c r="B171" s="634" t="s">
        <v>906</v>
      </c>
      <c r="C171" s="635" t="s">
        <v>1266</v>
      </c>
      <c r="D171" s="635" t="s">
        <v>86</v>
      </c>
      <c r="E171" s="636" t="s">
        <v>303</v>
      </c>
      <c r="F171" s="637"/>
      <c r="G171" s="638" t="e">
        <v>#N/A</v>
      </c>
      <c r="H171" s="3"/>
    </row>
    <row r="172" spans="1:11" ht="15" customHeight="1">
      <c r="A172" s="646" t="s">
        <v>1743</v>
      </c>
      <c r="B172" s="634" t="s">
        <v>701</v>
      </c>
      <c r="C172" s="635"/>
      <c r="D172" s="635"/>
      <c r="E172" s="636"/>
      <c r="F172" s="637"/>
      <c r="G172" s="638" t="s">
        <v>761</v>
      </c>
      <c r="H172" s="3"/>
    </row>
    <row r="173" spans="1:11" ht="15" customHeight="1">
      <c r="A173" s="634" t="s">
        <v>1746</v>
      </c>
      <c r="B173" s="634" t="s">
        <v>702</v>
      </c>
      <c r="C173" s="635"/>
      <c r="D173" s="635"/>
      <c r="E173" s="636"/>
      <c r="F173" s="637"/>
      <c r="G173" s="638" t="s">
        <v>761</v>
      </c>
      <c r="H173" s="3"/>
    </row>
    <row r="174" spans="1:11" ht="15" customHeight="1">
      <c r="A174" s="646" t="s">
        <v>1749</v>
      </c>
      <c r="B174" s="634" t="s">
        <v>703</v>
      </c>
      <c r="C174" s="635"/>
      <c r="D174" s="635"/>
      <c r="E174" s="636"/>
      <c r="F174" s="637"/>
      <c r="G174" s="638" t="s">
        <v>7</v>
      </c>
      <c r="H174" s="3"/>
    </row>
    <row r="175" spans="1:11" ht="15" customHeight="1">
      <c r="A175" s="646" t="s">
        <v>1752</v>
      </c>
      <c r="B175" s="634" t="s">
        <v>704</v>
      </c>
      <c r="C175" s="635"/>
      <c r="D175" s="635"/>
      <c r="E175" s="636"/>
      <c r="F175" s="637"/>
      <c r="G175" s="638" t="e">
        <v>#N/A</v>
      </c>
      <c r="H175" s="3"/>
    </row>
    <row r="176" spans="1:11" ht="15" customHeight="1">
      <c r="A176" s="646" t="s">
        <v>706</v>
      </c>
      <c r="B176" s="634" t="s">
        <v>668</v>
      </c>
      <c r="C176" s="635"/>
      <c r="D176" s="635"/>
      <c r="E176" s="636"/>
      <c r="F176" s="637"/>
      <c r="G176" s="638" t="s">
        <v>761</v>
      </c>
      <c r="H176" s="3"/>
    </row>
    <row r="177" spans="1:11" ht="15" customHeight="1">
      <c r="A177" s="646" t="s">
        <v>1757</v>
      </c>
      <c r="B177" s="634" t="s">
        <v>705</v>
      </c>
      <c r="C177" s="635"/>
      <c r="D177" s="635"/>
      <c r="E177" s="636"/>
      <c r="F177" s="637"/>
      <c r="G177" s="638" t="e">
        <v>#N/A</v>
      </c>
      <c r="H177" s="3"/>
    </row>
    <row r="178" spans="1:11" ht="15" customHeight="1">
      <c r="A178" s="646" t="s">
        <v>1760</v>
      </c>
      <c r="B178" s="634" t="s">
        <v>707</v>
      </c>
      <c r="C178" s="635"/>
      <c r="D178" s="635"/>
      <c r="E178" s="636"/>
      <c r="F178" s="637"/>
      <c r="G178" s="638" t="s">
        <v>761</v>
      </c>
      <c r="H178" s="3"/>
    </row>
    <row r="179" spans="1:11" ht="15" customHeight="1">
      <c r="A179" s="646" t="s">
        <v>1763</v>
      </c>
      <c r="B179" s="634" t="s">
        <v>708</v>
      </c>
      <c r="C179" s="635"/>
      <c r="D179" s="635"/>
      <c r="E179" s="636"/>
      <c r="F179" s="637"/>
      <c r="G179" s="638" t="s">
        <v>761</v>
      </c>
      <c r="H179" s="3"/>
    </row>
    <row r="180" spans="1:11" ht="15" customHeight="1">
      <c r="A180" s="646" t="s">
        <v>1766</v>
      </c>
      <c r="B180" s="634" t="s">
        <v>709</v>
      </c>
      <c r="C180" s="635"/>
      <c r="D180" s="635"/>
      <c r="E180" s="642"/>
      <c r="F180" s="642"/>
      <c r="G180" s="638" t="s">
        <v>761</v>
      </c>
      <c r="H180" s="3"/>
    </row>
    <row r="181" spans="1:11" ht="15" customHeight="1">
      <c r="A181" s="646" t="s">
        <v>1769</v>
      </c>
      <c r="B181" s="634" t="s">
        <v>710</v>
      </c>
      <c r="C181" s="635"/>
      <c r="D181" s="635"/>
      <c r="E181" s="636"/>
      <c r="F181" s="637"/>
      <c r="G181" s="638" t="s">
        <v>761</v>
      </c>
      <c r="H181" s="3"/>
    </row>
    <row r="182" spans="1:11" ht="15" customHeight="1">
      <c r="A182" s="646" t="s">
        <v>1772</v>
      </c>
      <c r="B182" s="634" t="s">
        <v>711</v>
      </c>
      <c r="C182" s="635"/>
      <c r="D182" s="635"/>
      <c r="E182" s="636"/>
      <c r="F182" s="637"/>
      <c r="G182" s="638" t="s">
        <v>761</v>
      </c>
      <c r="H182" s="3"/>
    </row>
    <row r="183" spans="1:11" ht="15" customHeight="1">
      <c r="A183" s="646" t="s">
        <v>1775</v>
      </c>
      <c r="B183" s="634" t="s">
        <v>712</v>
      </c>
      <c r="C183" s="635"/>
      <c r="D183" s="635"/>
      <c r="E183" s="636"/>
      <c r="F183" s="637"/>
      <c r="G183" s="638" t="s">
        <v>761</v>
      </c>
      <c r="H183" s="3"/>
      <c r="K183" s="3"/>
    </row>
    <row r="184" spans="1:11" ht="15" customHeight="1">
      <c r="A184" s="646" t="s">
        <v>1778</v>
      </c>
      <c r="B184" s="634" t="s">
        <v>713</v>
      </c>
      <c r="C184" s="635"/>
      <c r="D184" s="635"/>
      <c r="E184" s="642"/>
      <c r="F184" s="642"/>
      <c r="G184" s="638" t="s">
        <v>761</v>
      </c>
      <c r="H184" s="3"/>
    </row>
    <row r="185" spans="1:11" ht="15" customHeight="1">
      <c r="A185" s="646" t="s">
        <v>1781</v>
      </c>
      <c r="B185" s="634" t="s">
        <v>714</v>
      </c>
      <c r="C185" s="635"/>
      <c r="D185" s="635"/>
      <c r="E185" s="636"/>
      <c r="F185" s="637"/>
      <c r="G185" s="638" t="s">
        <v>761</v>
      </c>
      <c r="H185" s="3"/>
    </row>
    <row r="186" spans="1:11" ht="15" customHeight="1">
      <c r="A186" s="646" t="s">
        <v>1784</v>
      </c>
      <c r="B186" s="634" t="s">
        <v>715</v>
      </c>
      <c r="C186" s="635"/>
      <c r="D186" s="635"/>
      <c r="E186" s="642"/>
      <c r="F186" s="642"/>
      <c r="G186" s="638" t="s">
        <v>761</v>
      </c>
      <c r="H186" s="3"/>
    </row>
    <row r="187" spans="1:11" ht="15" customHeight="1">
      <c r="A187" s="646" t="s">
        <v>909</v>
      </c>
      <c r="B187" s="634" t="s">
        <v>907</v>
      </c>
      <c r="C187" s="635" t="s">
        <v>152</v>
      </c>
      <c r="D187" s="635" t="s">
        <v>104</v>
      </c>
      <c r="E187" s="636" t="s">
        <v>303</v>
      </c>
      <c r="F187" s="637" t="s">
        <v>1313</v>
      </c>
      <c r="G187" s="638" t="e">
        <v>#N/A</v>
      </c>
      <c r="H187" s="3"/>
    </row>
    <row r="188" spans="1:11" ht="15" customHeight="1">
      <c r="A188" s="646" t="s">
        <v>911</v>
      </c>
      <c r="B188" s="634" t="s">
        <v>910</v>
      </c>
      <c r="C188" s="635" t="s">
        <v>152</v>
      </c>
      <c r="D188" s="635" t="s">
        <v>104</v>
      </c>
      <c r="E188" s="642" t="s">
        <v>341</v>
      </c>
      <c r="F188" s="642"/>
      <c r="G188" s="638" t="s">
        <v>1099</v>
      </c>
      <c r="H188" s="3"/>
    </row>
    <row r="189" spans="1:11" ht="15" customHeight="1">
      <c r="A189" s="646" t="s">
        <v>1791</v>
      </c>
      <c r="B189" s="634" t="s">
        <v>1314</v>
      </c>
      <c r="C189" s="635" t="s">
        <v>92</v>
      </c>
      <c r="D189" s="635" t="s">
        <v>97</v>
      </c>
      <c r="E189" s="636" t="s">
        <v>303</v>
      </c>
      <c r="F189" s="637" t="s">
        <v>1313</v>
      </c>
      <c r="G189" s="636" t="e">
        <v>#N/A</v>
      </c>
      <c r="H189" s="3"/>
    </row>
    <row r="190" spans="1:11" ht="15" customHeight="1">
      <c r="A190" s="646" t="s">
        <v>1353</v>
      </c>
      <c r="B190" s="634" t="s">
        <v>1354</v>
      </c>
      <c r="C190" s="635" t="s">
        <v>92</v>
      </c>
      <c r="D190" s="635" t="s">
        <v>97</v>
      </c>
      <c r="E190" s="642" t="s">
        <v>341</v>
      </c>
      <c r="F190" s="642"/>
      <c r="G190" s="636" t="s">
        <v>1099</v>
      </c>
      <c r="H190" s="3"/>
    </row>
    <row r="191" spans="1:11" ht="15" customHeight="1">
      <c r="A191" s="646" t="s">
        <v>1376</v>
      </c>
      <c r="B191" s="634" t="s">
        <v>1315</v>
      </c>
      <c r="C191" s="635" t="s">
        <v>92</v>
      </c>
      <c r="D191" s="635" t="s">
        <v>97</v>
      </c>
      <c r="E191" s="636" t="s">
        <v>303</v>
      </c>
      <c r="F191" s="637" t="s">
        <v>1313</v>
      </c>
      <c r="G191" s="636" t="s">
        <v>908</v>
      </c>
      <c r="H191" s="3"/>
    </row>
    <row r="192" spans="1:11" ht="15" customHeight="1">
      <c r="A192" s="646" t="s">
        <v>1355</v>
      </c>
      <c r="B192" s="634" t="s">
        <v>1356</v>
      </c>
      <c r="C192" s="635" t="s">
        <v>92</v>
      </c>
      <c r="D192" s="635" t="s">
        <v>97</v>
      </c>
      <c r="E192" s="642" t="s">
        <v>341</v>
      </c>
      <c r="F192" s="642"/>
      <c r="G192" s="636" t="e">
        <v>#N/A</v>
      </c>
      <c r="H192" s="3"/>
    </row>
    <row r="193" spans="1:8" ht="15" customHeight="1">
      <c r="A193" s="646" t="s">
        <v>1377</v>
      </c>
      <c r="B193" s="634" t="s">
        <v>1316</v>
      </c>
      <c r="C193" s="635" t="s">
        <v>92</v>
      </c>
      <c r="D193" s="635" t="s">
        <v>97</v>
      </c>
      <c r="E193" s="636" t="s">
        <v>303</v>
      </c>
      <c r="F193" s="637" t="s">
        <v>1313</v>
      </c>
      <c r="G193" s="636" t="s">
        <v>7</v>
      </c>
      <c r="H193" s="3"/>
    </row>
    <row r="194" spans="1:8" ht="15" customHeight="1">
      <c r="A194" s="646" t="s">
        <v>1357</v>
      </c>
      <c r="B194" s="634" t="s">
        <v>1358</v>
      </c>
      <c r="C194" s="635" t="s">
        <v>92</v>
      </c>
      <c r="D194" s="635" t="s">
        <v>97</v>
      </c>
      <c r="E194" s="642" t="s">
        <v>341</v>
      </c>
      <c r="F194" s="642"/>
      <c r="G194" s="636" t="s">
        <v>1099</v>
      </c>
      <c r="H194" s="3"/>
    </row>
    <row r="195" spans="1:8" ht="15" customHeight="1">
      <c r="A195" s="646" t="s">
        <v>913</v>
      </c>
      <c r="B195" s="634" t="s">
        <v>912</v>
      </c>
      <c r="C195" s="635" t="s">
        <v>92</v>
      </c>
      <c r="D195" s="635" t="s">
        <v>97</v>
      </c>
      <c r="E195" s="636" t="s">
        <v>303</v>
      </c>
      <c r="F195" s="637" t="s">
        <v>1313</v>
      </c>
      <c r="G195" s="638" t="e">
        <v>#N/A</v>
      </c>
      <c r="H195" s="3"/>
    </row>
    <row r="196" spans="1:8" ht="15" customHeight="1">
      <c r="A196" s="646" t="s">
        <v>915</v>
      </c>
      <c r="B196" s="634" t="s">
        <v>914</v>
      </c>
      <c r="C196" s="635" t="s">
        <v>92</v>
      </c>
      <c r="D196" s="635" t="s">
        <v>97</v>
      </c>
      <c r="E196" s="642" t="s">
        <v>341</v>
      </c>
      <c r="F196" s="642"/>
      <c r="G196" s="638" t="s">
        <v>1099</v>
      </c>
      <c r="H196" s="3"/>
    </row>
    <row r="197" spans="1:8" ht="15" customHeight="1">
      <c r="A197" s="646" t="s">
        <v>923</v>
      </c>
      <c r="B197" s="634" t="s">
        <v>716</v>
      </c>
      <c r="C197" s="635"/>
      <c r="D197" s="635"/>
      <c r="E197" s="636"/>
      <c r="F197" s="637"/>
      <c r="G197" s="638" t="e">
        <v>#N/A</v>
      </c>
      <c r="H197" s="3"/>
    </row>
    <row r="198" spans="1:8" ht="15" customHeight="1">
      <c r="A198" s="646" t="s">
        <v>917</v>
      </c>
      <c r="B198" s="634" t="s">
        <v>1317</v>
      </c>
      <c r="C198" s="635" t="s">
        <v>92</v>
      </c>
      <c r="D198" s="635" t="s">
        <v>97</v>
      </c>
      <c r="E198" s="636" t="s">
        <v>303</v>
      </c>
      <c r="F198" s="637" t="s">
        <v>1313</v>
      </c>
      <c r="G198" s="638" t="s">
        <v>908</v>
      </c>
      <c r="H198" s="3"/>
    </row>
    <row r="199" spans="1:8" ht="15" customHeight="1">
      <c r="A199" s="646" t="s">
        <v>918</v>
      </c>
      <c r="B199" s="634" t="s">
        <v>1359</v>
      </c>
      <c r="C199" s="635" t="s">
        <v>92</v>
      </c>
      <c r="D199" s="635" t="s">
        <v>97</v>
      </c>
      <c r="E199" s="642" t="s">
        <v>341</v>
      </c>
      <c r="F199" s="642"/>
      <c r="G199" s="638" t="s">
        <v>1099</v>
      </c>
      <c r="H199" s="3"/>
    </row>
    <row r="200" spans="1:8" ht="15" customHeight="1">
      <c r="A200" s="646" t="s">
        <v>1814</v>
      </c>
      <c r="B200" s="634" t="s">
        <v>1318</v>
      </c>
      <c r="C200" s="635" t="s">
        <v>92</v>
      </c>
      <c r="D200" s="635" t="s">
        <v>97</v>
      </c>
      <c r="E200" s="636" t="s">
        <v>303</v>
      </c>
      <c r="F200" s="637" t="s">
        <v>1313</v>
      </c>
      <c r="G200" s="636" t="s">
        <v>7</v>
      </c>
      <c r="H200" s="3"/>
    </row>
    <row r="201" spans="1:8" ht="15" customHeight="1">
      <c r="A201" s="646" t="s">
        <v>1360</v>
      </c>
      <c r="B201" s="634" t="s">
        <v>1361</v>
      </c>
      <c r="C201" s="635" t="s">
        <v>92</v>
      </c>
      <c r="D201" s="635" t="s">
        <v>97</v>
      </c>
      <c r="E201" s="642" t="s">
        <v>341</v>
      </c>
      <c r="F201" s="642"/>
      <c r="G201" s="636" t="s">
        <v>1099</v>
      </c>
      <c r="H201" s="3"/>
    </row>
    <row r="202" spans="1:8" ht="15" customHeight="1">
      <c r="A202" s="646" t="s">
        <v>1380</v>
      </c>
      <c r="B202" s="634" t="s">
        <v>1319</v>
      </c>
      <c r="C202" s="635" t="s">
        <v>92</v>
      </c>
      <c r="D202" s="635" t="s">
        <v>97</v>
      </c>
      <c r="E202" s="636" t="s">
        <v>303</v>
      </c>
      <c r="F202" s="637" t="s">
        <v>1313</v>
      </c>
      <c r="G202" s="636" t="e">
        <v>#N/A</v>
      </c>
      <c r="H202" s="3"/>
    </row>
    <row r="203" spans="1:8" ht="15" customHeight="1">
      <c r="A203" s="646" t="s">
        <v>1362</v>
      </c>
      <c r="B203" s="634" t="s">
        <v>1363</v>
      </c>
      <c r="C203" s="635" t="s">
        <v>92</v>
      </c>
      <c r="D203" s="635" t="s">
        <v>97</v>
      </c>
      <c r="E203" s="642" t="s">
        <v>341</v>
      </c>
      <c r="F203" s="642"/>
      <c r="G203" s="636" t="s">
        <v>1099</v>
      </c>
      <c r="H203" s="3"/>
    </row>
    <row r="204" spans="1:8" ht="15" customHeight="1">
      <c r="A204" s="634" t="s">
        <v>3324</v>
      </c>
      <c r="B204" s="634" t="s">
        <v>1320</v>
      </c>
      <c r="C204" s="635" t="s">
        <v>92</v>
      </c>
      <c r="D204" s="635" t="s">
        <v>98</v>
      </c>
      <c r="E204" s="636" t="s">
        <v>303</v>
      </c>
      <c r="F204" s="637" t="s">
        <v>1313</v>
      </c>
      <c r="G204" s="638" t="e">
        <v>#N/A</v>
      </c>
      <c r="H204" s="3"/>
    </row>
    <row r="205" spans="1:8" ht="15" customHeight="1">
      <c r="A205" s="919" t="s">
        <v>922</v>
      </c>
      <c r="B205" s="634" t="s">
        <v>1364</v>
      </c>
      <c r="C205" s="635" t="s">
        <v>92</v>
      </c>
      <c r="D205" s="635" t="s">
        <v>98</v>
      </c>
      <c r="E205" s="642" t="s">
        <v>341</v>
      </c>
      <c r="F205" s="642"/>
      <c r="G205" s="638" t="s">
        <v>1099</v>
      </c>
      <c r="H205" s="3"/>
    </row>
    <row r="206" spans="1:8" ht="15" customHeight="1">
      <c r="A206" s="634" t="s">
        <v>925</v>
      </c>
      <c r="B206" s="634" t="s">
        <v>924</v>
      </c>
      <c r="C206" s="635" t="s">
        <v>92</v>
      </c>
      <c r="D206" s="635" t="s">
        <v>98</v>
      </c>
      <c r="E206" s="636" t="s">
        <v>303</v>
      </c>
      <c r="F206" s="637" t="s">
        <v>1313</v>
      </c>
      <c r="G206" s="638" t="e">
        <v>#N/A</v>
      </c>
      <c r="H206" s="3"/>
    </row>
    <row r="207" spans="1:8" ht="15" customHeight="1">
      <c r="A207" s="646" t="s">
        <v>927</v>
      </c>
      <c r="B207" s="634" t="s">
        <v>926</v>
      </c>
      <c r="C207" s="635" t="s">
        <v>92</v>
      </c>
      <c r="D207" s="635" t="s">
        <v>98</v>
      </c>
      <c r="E207" s="642" t="s">
        <v>341</v>
      </c>
      <c r="F207" s="642"/>
      <c r="G207" s="638" t="s">
        <v>1099</v>
      </c>
      <c r="H207" s="3"/>
    </row>
    <row r="208" spans="1:8" ht="15" customHeight="1">
      <c r="A208" s="646" t="s">
        <v>3297</v>
      </c>
      <c r="B208" s="634" t="s">
        <v>717</v>
      </c>
      <c r="C208" s="635"/>
      <c r="D208" s="635"/>
      <c r="E208" s="636"/>
      <c r="F208" s="637"/>
      <c r="G208" s="638" t="s">
        <v>761</v>
      </c>
      <c r="H208" s="3"/>
    </row>
    <row r="209" spans="1:8" ht="15" customHeight="1">
      <c r="A209" s="646" t="s">
        <v>3293</v>
      </c>
      <c r="B209" s="641" t="s">
        <v>928</v>
      </c>
      <c r="C209" s="635" t="s">
        <v>92</v>
      </c>
      <c r="D209" s="635" t="s">
        <v>98</v>
      </c>
      <c r="E209" s="636" t="s">
        <v>303</v>
      </c>
      <c r="F209" s="637" t="s">
        <v>249</v>
      </c>
      <c r="G209" s="638" t="s">
        <v>908</v>
      </c>
      <c r="H209" s="3"/>
    </row>
    <row r="210" spans="1:8" ht="15" customHeight="1">
      <c r="A210" s="919" t="s">
        <v>930</v>
      </c>
      <c r="B210" s="641" t="s">
        <v>929</v>
      </c>
      <c r="C210" s="635" t="s">
        <v>92</v>
      </c>
      <c r="D210" s="635" t="s">
        <v>98</v>
      </c>
      <c r="E210" s="642" t="s">
        <v>341</v>
      </c>
      <c r="F210" s="637"/>
      <c r="G210" s="638" t="s">
        <v>1099</v>
      </c>
      <c r="H210" s="3"/>
    </row>
    <row r="211" spans="1:8" ht="15" customHeight="1">
      <c r="A211" s="646" t="s">
        <v>932</v>
      </c>
      <c r="B211" s="634" t="s">
        <v>931</v>
      </c>
      <c r="C211" s="635" t="s">
        <v>92</v>
      </c>
      <c r="D211" s="635" t="s">
        <v>97</v>
      </c>
      <c r="E211" s="636" t="s">
        <v>303</v>
      </c>
      <c r="F211" s="637" t="s">
        <v>1313</v>
      </c>
      <c r="G211" s="638" t="s">
        <v>7</v>
      </c>
      <c r="H211" s="3"/>
    </row>
    <row r="212" spans="1:8" ht="15" customHeight="1">
      <c r="A212" s="646" t="s">
        <v>934</v>
      </c>
      <c r="B212" s="634" t="s">
        <v>933</v>
      </c>
      <c r="C212" s="635" t="s">
        <v>92</v>
      </c>
      <c r="D212" s="635" t="s">
        <v>97</v>
      </c>
      <c r="E212" s="642" t="s">
        <v>341</v>
      </c>
      <c r="F212" s="642"/>
      <c r="G212" s="638" t="s">
        <v>1099</v>
      </c>
      <c r="H212" s="3"/>
    </row>
    <row r="213" spans="1:8" ht="15" customHeight="1">
      <c r="A213" s="646" t="s">
        <v>936</v>
      </c>
      <c r="B213" s="634" t="s">
        <v>935</v>
      </c>
      <c r="C213" s="635" t="s">
        <v>92</v>
      </c>
      <c r="D213" s="635" t="s">
        <v>98</v>
      </c>
      <c r="E213" s="636" t="s">
        <v>303</v>
      </c>
      <c r="F213" s="637" t="s">
        <v>1313</v>
      </c>
      <c r="G213" s="638" t="s">
        <v>908</v>
      </c>
      <c r="H213" s="3"/>
    </row>
    <row r="214" spans="1:8" ht="15" customHeight="1">
      <c r="A214" s="634" t="s">
        <v>938</v>
      </c>
      <c r="B214" s="634" t="s">
        <v>937</v>
      </c>
      <c r="C214" s="635" t="s">
        <v>92</v>
      </c>
      <c r="D214" s="635" t="s">
        <v>98</v>
      </c>
      <c r="E214" s="642" t="s">
        <v>341</v>
      </c>
      <c r="F214" s="642"/>
      <c r="G214" s="638" t="s">
        <v>1099</v>
      </c>
      <c r="H214" s="3"/>
    </row>
    <row r="215" spans="1:8" ht="15" customHeight="1">
      <c r="A215" s="646" t="s">
        <v>1378</v>
      </c>
      <c r="B215" s="634" t="s">
        <v>1321</v>
      </c>
      <c r="C215" s="635" t="s">
        <v>92</v>
      </c>
      <c r="D215" s="635" t="s">
        <v>97</v>
      </c>
      <c r="E215" s="636" t="s">
        <v>303</v>
      </c>
      <c r="F215" s="637" t="s">
        <v>1313</v>
      </c>
      <c r="G215" s="636" t="e">
        <v>#N/A</v>
      </c>
      <c r="H215" s="3"/>
    </row>
    <row r="216" spans="1:8" ht="15" customHeight="1">
      <c r="A216" s="646" t="s">
        <v>1365</v>
      </c>
      <c r="B216" s="634" t="s">
        <v>1366</v>
      </c>
      <c r="C216" s="635" t="s">
        <v>92</v>
      </c>
      <c r="D216" s="635" t="s">
        <v>97</v>
      </c>
      <c r="E216" s="642" t="s">
        <v>341</v>
      </c>
      <c r="F216" s="642"/>
      <c r="G216" s="636" t="s">
        <v>1099</v>
      </c>
      <c r="H216" s="3"/>
    </row>
    <row r="217" spans="1:8" ht="15" customHeight="1">
      <c r="A217" s="646" t="s">
        <v>940</v>
      </c>
      <c r="B217" s="634" t="s">
        <v>939</v>
      </c>
      <c r="C217" s="635" t="s">
        <v>92</v>
      </c>
      <c r="D217" s="635" t="s">
        <v>103</v>
      </c>
      <c r="E217" s="636" t="s">
        <v>303</v>
      </c>
      <c r="F217" s="637" t="s">
        <v>1313</v>
      </c>
      <c r="G217" s="638" t="s">
        <v>908</v>
      </c>
      <c r="H217" s="3"/>
    </row>
    <row r="218" spans="1:8" ht="15" customHeight="1">
      <c r="A218" s="646" t="s">
        <v>942</v>
      </c>
      <c r="B218" s="634" t="s">
        <v>941</v>
      </c>
      <c r="C218" s="635" t="s">
        <v>92</v>
      </c>
      <c r="D218" s="635" t="s">
        <v>103</v>
      </c>
      <c r="E218" s="642" t="s">
        <v>341</v>
      </c>
      <c r="F218" s="642"/>
      <c r="G218" s="638" t="e">
        <v>#N/A</v>
      </c>
      <c r="H218" s="3"/>
    </row>
    <row r="219" spans="1:8" ht="15" customHeight="1">
      <c r="A219" s="646" t="s">
        <v>944</v>
      </c>
      <c r="B219" s="634" t="s">
        <v>943</v>
      </c>
      <c r="C219" s="635" t="s">
        <v>92</v>
      </c>
      <c r="D219" s="635" t="s">
        <v>102</v>
      </c>
      <c r="E219" s="636" t="s">
        <v>303</v>
      </c>
      <c r="F219" s="637" t="s">
        <v>1313</v>
      </c>
      <c r="G219" s="638" t="s">
        <v>7</v>
      </c>
      <c r="H219" s="3"/>
    </row>
    <row r="220" spans="1:8" ht="15" customHeight="1">
      <c r="A220" s="634" t="s">
        <v>946</v>
      </c>
      <c r="B220" s="634" t="s">
        <v>945</v>
      </c>
      <c r="C220" s="635" t="s">
        <v>92</v>
      </c>
      <c r="D220" s="635" t="s">
        <v>102</v>
      </c>
      <c r="E220" s="642" t="s">
        <v>341</v>
      </c>
      <c r="F220" s="642"/>
      <c r="G220" s="638" t="s">
        <v>2</v>
      </c>
      <c r="H220" s="3"/>
    </row>
    <row r="221" spans="1:8" ht="15" customHeight="1">
      <c r="A221" s="634" t="s">
        <v>3816</v>
      </c>
      <c r="B221" s="634" t="s">
        <v>3815</v>
      </c>
      <c r="C221" s="635" t="s">
        <v>92</v>
      </c>
      <c r="D221" s="635" t="s">
        <v>98</v>
      </c>
      <c r="E221" s="636" t="s">
        <v>303</v>
      </c>
      <c r="F221" s="637" t="s">
        <v>1313</v>
      </c>
      <c r="G221" s="638" t="e">
        <v>#N/A</v>
      </c>
      <c r="H221" s="3"/>
    </row>
    <row r="222" spans="1:8" ht="15" customHeight="1">
      <c r="A222" s="988" t="s">
        <v>3820</v>
      </c>
      <c r="B222" s="634" t="s">
        <v>3819</v>
      </c>
      <c r="C222" s="635" t="s">
        <v>92</v>
      </c>
      <c r="D222" s="635" t="s">
        <v>98</v>
      </c>
      <c r="E222" s="642" t="s">
        <v>341</v>
      </c>
      <c r="F222" s="642"/>
      <c r="G222" s="638" t="s">
        <v>1099</v>
      </c>
      <c r="H222" s="3"/>
    </row>
    <row r="223" spans="1:8" ht="15" customHeight="1">
      <c r="A223" s="646" t="s">
        <v>3325</v>
      </c>
      <c r="B223" s="634" t="s">
        <v>1322</v>
      </c>
      <c r="C223" s="635" t="s">
        <v>92</v>
      </c>
      <c r="D223" s="635" t="s">
        <v>97</v>
      </c>
      <c r="E223" s="636" t="s">
        <v>303</v>
      </c>
      <c r="F223" s="637" t="s">
        <v>1313</v>
      </c>
      <c r="G223" s="638" t="s">
        <v>908</v>
      </c>
      <c r="H223" s="3"/>
    </row>
    <row r="224" spans="1:8" ht="15" customHeight="1">
      <c r="A224" s="646" t="s">
        <v>950</v>
      </c>
      <c r="B224" s="634" t="s">
        <v>1367</v>
      </c>
      <c r="C224" s="635" t="s">
        <v>92</v>
      </c>
      <c r="D224" s="635" t="s">
        <v>97</v>
      </c>
      <c r="E224" s="642" t="s">
        <v>341</v>
      </c>
      <c r="F224" s="642"/>
      <c r="G224" s="638" t="s">
        <v>1099</v>
      </c>
      <c r="H224" s="3"/>
    </row>
    <row r="225" spans="1:9" ht="15" customHeight="1">
      <c r="A225" s="646" t="s">
        <v>3326</v>
      </c>
      <c r="B225" s="634" t="s">
        <v>1323</v>
      </c>
      <c r="C225" s="635" t="s">
        <v>152</v>
      </c>
      <c r="D225" s="635" t="s">
        <v>104</v>
      </c>
      <c r="E225" s="636" t="s">
        <v>303</v>
      </c>
      <c r="F225" s="637" t="s">
        <v>1313</v>
      </c>
      <c r="G225" s="636" t="s">
        <v>7</v>
      </c>
      <c r="H225" s="3"/>
    </row>
    <row r="226" spans="1:9" ht="15" customHeight="1">
      <c r="A226" s="646" t="s">
        <v>952</v>
      </c>
      <c r="B226" s="634" t="s">
        <v>951</v>
      </c>
      <c r="C226" s="635" t="s">
        <v>152</v>
      </c>
      <c r="D226" s="635" t="s">
        <v>153</v>
      </c>
      <c r="E226" s="636" t="s">
        <v>303</v>
      </c>
      <c r="F226" s="637" t="s">
        <v>1313</v>
      </c>
      <c r="G226" s="638" t="e">
        <v>#N/A</v>
      </c>
      <c r="H226" s="3"/>
    </row>
    <row r="227" spans="1:9" ht="15" customHeight="1">
      <c r="A227" s="646" t="s">
        <v>954</v>
      </c>
      <c r="B227" s="634" t="s">
        <v>953</v>
      </c>
      <c r="C227" s="635" t="s">
        <v>152</v>
      </c>
      <c r="D227" s="635" t="s">
        <v>153</v>
      </c>
      <c r="E227" s="642" t="s">
        <v>341</v>
      </c>
      <c r="F227" s="642"/>
      <c r="G227" s="638" t="s">
        <v>1099</v>
      </c>
      <c r="H227" s="3"/>
    </row>
    <row r="228" spans="1:9" ht="15" customHeight="1">
      <c r="A228" s="646" t="s">
        <v>1850</v>
      </c>
      <c r="B228" s="634" t="s">
        <v>718</v>
      </c>
      <c r="C228" s="635"/>
      <c r="D228" s="635"/>
      <c r="E228" s="636"/>
      <c r="F228" s="637"/>
      <c r="G228" s="638" t="s">
        <v>761</v>
      </c>
      <c r="H228" s="3"/>
    </row>
    <row r="229" spans="1:9" ht="15" customHeight="1">
      <c r="A229" s="646" t="s">
        <v>956</v>
      </c>
      <c r="B229" s="634" t="s">
        <v>955</v>
      </c>
      <c r="C229" s="635" t="s">
        <v>152</v>
      </c>
      <c r="D229" s="635" t="s">
        <v>154</v>
      </c>
      <c r="E229" s="636" t="s">
        <v>303</v>
      </c>
      <c r="F229" s="637" t="s">
        <v>1313</v>
      </c>
      <c r="G229" s="638" t="e">
        <v>#N/A</v>
      </c>
      <c r="H229" s="4"/>
    </row>
    <row r="230" spans="1:9" ht="15" customHeight="1">
      <c r="A230" s="646" t="s">
        <v>958</v>
      </c>
      <c r="B230" s="634" t="s">
        <v>957</v>
      </c>
      <c r="C230" s="635" t="s">
        <v>152</v>
      </c>
      <c r="D230" s="635" t="s">
        <v>154</v>
      </c>
      <c r="E230" s="642" t="s">
        <v>341</v>
      </c>
      <c r="F230" s="642"/>
      <c r="G230" s="638" t="s">
        <v>1099</v>
      </c>
      <c r="H230" s="3"/>
    </row>
    <row r="231" spans="1:9" ht="15" customHeight="1">
      <c r="A231" s="646" t="s">
        <v>1857</v>
      </c>
      <c r="B231" s="634" t="s">
        <v>719</v>
      </c>
      <c r="C231" s="635"/>
      <c r="D231" s="635"/>
      <c r="E231" s="636"/>
      <c r="F231" s="637"/>
      <c r="G231" s="638" t="e">
        <v>#N/A</v>
      </c>
      <c r="H231" s="3"/>
    </row>
    <row r="232" spans="1:9" ht="15" customHeight="1">
      <c r="A232" s="646" t="s">
        <v>1860</v>
      </c>
      <c r="B232" s="634" t="s">
        <v>720</v>
      </c>
      <c r="C232" s="635"/>
      <c r="D232" s="635"/>
      <c r="E232" s="636"/>
      <c r="F232" s="637"/>
      <c r="G232" s="638" t="s">
        <v>761</v>
      </c>
      <c r="H232" s="3"/>
    </row>
    <row r="233" spans="1:9" ht="15" customHeight="1">
      <c r="A233" s="646" t="s">
        <v>1863</v>
      </c>
      <c r="B233" s="634" t="s">
        <v>721</v>
      </c>
      <c r="C233" s="635"/>
      <c r="D233" s="635"/>
      <c r="E233" s="636"/>
      <c r="F233" s="637"/>
      <c r="G233" s="638" t="e">
        <v>#N/A</v>
      </c>
      <c r="H233" s="3"/>
    </row>
    <row r="234" spans="1:9" ht="15" customHeight="1">
      <c r="A234" s="646" t="s">
        <v>1866</v>
      </c>
      <c r="B234" s="634" t="s">
        <v>722</v>
      </c>
      <c r="C234" s="635"/>
      <c r="D234" s="635"/>
      <c r="E234" s="636"/>
      <c r="F234" s="637"/>
      <c r="G234" s="638" t="s">
        <v>761</v>
      </c>
      <c r="H234" s="3"/>
    </row>
    <row r="235" spans="1:9" ht="15" customHeight="1">
      <c r="A235" s="646" t="s">
        <v>1869</v>
      </c>
      <c r="B235" s="634" t="s">
        <v>723</v>
      </c>
      <c r="C235" s="635"/>
      <c r="D235" s="635"/>
      <c r="E235" s="636"/>
      <c r="F235" s="637"/>
      <c r="G235" s="638" t="s">
        <v>761</v>
      </c>
      <c r="H235" s="3"/>
    </row>
    <row r="236" spans="1:9" ht="15" customHeight="1">
      <c r="A236" s="646" t="s">
        <v>1872</v>
      </c>
      <c r="B236" s="634" t="s">
        <v>724</v>
      </c>
      <c r="C236" s="635"/>
      <c r="D236" s="635"/>
      <c r="E236" s="636"/>
      <c r="F236" s="637"/>
      <c r="G236" s="638" t="e">
        <v>#N/A</v>
      </c>
      <c r="H236" s="3"/>
    </row>
    <row r="237" spans="1:9" ht="15" customHeight="1">
      <c r="A237" s="646" t="s">
        <v>1875</v>
      </c>
      <c r="B237" s="634" t="s">
        <v>725</v>
      </c>
      <c r="C237" s="635"/>
      <c r="D237" s="635"/>
      <c r="E237" s="636"/>
      <c r="F237" s="637"/>
      <c r="G237" s="638" t="e">
        <v>#N/A</v>
      </c>
      <c r="H237" s="3"/>
    </row>
    <row r="238" spans="1:9" ht="15" customHeight="1">
      <c r="A238" s="646" t="s">
        <v>1878</v>
      </c>
      <c r="B238" s="634" t="s">
        <v>959</v>
      </c>
      <c r="C238" s="635" t="s">
        <v>152</v>
      </c>
      <c r="D238" s="635" t="s">
        <v>3803</v>
      </c>
      <c r="E238" s="636" t="s">
        <v>303</v>
      </c>
      <c r="F238" s="637" t="s">
        <v>1313</v>
      </c>
      <c r="G238" s="638" t="s">
        <v>908</v>
      </c>
      <c r="H238" s="3"/>
      <c r="I238" s="1008" t="s">
        <v>3803</v>
      </c>
    </row>
    <row r="239" spans="1:9" ht="15" customHeight="1">
      <c r="A239" s="646" t="s">
        <v>962</v>
      </c>
      <c r="B239" s="634" t="s">
        <v>961</v>
      </c>
      <c r="C239" s="635" t="s">
        <v>152</v>
      </c>
      <c r="D239" s="635" t="s">
        <v>3803</v>
      </c>
      <c r="E239" s="642" t="s">
        <v>341</v>
      </c>
      <c r="F239" s="642"/>
      <c r="G239" s="638" t="s">
        <v>1099</v>
      </c>
      <c r="H239" s="3"/>
    </row>
    <row r="240" spans="1:9" ht="15" customHeight="1">
      <c r="A240" s="646" t="s">
        <v>1884</v>
      </c>
      <c r="B240" s="634" t="s">
        <v>726</v>
      </c>
      <c r="C240" s="635"/>
      <c r="D240" s="635"/>
      <c r="E240" s="636"/>
      <c r="F240" s="637"/>
      <c r="G240" s="638" t="e">
        <v>#N/A</v>
      </c>
      <c r="H240" s="3"/>
    </row>
    <row r="241" spans="1:8" ht="15" customHeight="1">
      <c r="A241" s="646" t="s">
        <v>1887</v>
      </c>
      <c r="B241" s="634" t="s">
        <v>963</v>
      </c>
      <c r="C241" s="635" t="s">
        <v>152</v>
      </c>
      <c r="D241" s="635" t="s">
        <v>156</v>
      </c>
      <c r="E241" s="636" t="s">
        <v>303</v>
      </c>
      <c r="F241" s="637" t="s">
        <v>1313</v>
      </c>
      <c r="G241" s="638" t="s">
        <v>7</v>
      </c>
      <c r="H241" s="3"/>
    </row>
    <row r="242" spans="1:8" ht="15" customHeight="1">
      <c r="A242" s="646" t="s">
        <v>966</v>
      </c>
      <c r="B242" s="634" t="s">
        <v>965</v>
      </c>
      <c r="C242" s="635" t="s">
        <v>152</v>
      </c>
      <c r="D242" s="635" t="s">
        <v>156</v>
      </c>
      <c r="E242" s="642" t="s">
        <v>341</v>
      </c>
      <c r="F242" s="642"/>
      <c r="G242" s="638" t="s">
        <v>1099</v>
      </c>
      <c r="H242" s="3"/>
    </row>
    <row r="243" spans="1:8" ht="15" customHeight="1">
      <c r="A243" s="646" t="s">
        <v>1892</v>
      </c>
      <c r="B243" s="634" t="s">
        <v>727</v>
      </c>
      <c r="C243" s="635"/>
      <c r="D243" s="635"/>
      <c r="E243" s="636"/>
      <c r="F243" s="637"/>
      <c r="G243" s="638" t="e">
        <v>#N/A</v>
      </c>
      <c r="H243" s="3"/>
    </row>
    <row r="244" spans="1:8" ht="15" customHeight="1">
      <c r="A244" s="646" t="s">
        <v>1895</v>
      </c>
      <c r="B244" s="634" t="s">
        <v>728</v>
      </c>
      <c r="C244" s="635"/>
      <c r="D244" s="635"/>
      <c r="E244" s="636"/>
      <c r="F244" s="637"/>
      <c r="G244" s="638" t="s">
        <v>761</v>
      </c>
      <c r="H244" s="3"/>
    </row>
    <row r="245" spans="1:8" ht="15" customHeight="1">
      <c r="A245" s="646" t="s">
        <v>3298</v>
      </c>
      <c r="B245" s="634" t="s">
        <v>1278</v>
      </c>
      <c r="C245" s="635"/>
      <c r="D245" s="635"/>
      <c r="E245" s="636"/>
      <c r="F245" s="637"/>
      <c r="G245" s="638" t="e">
        <v>#N/A</v>
      </c>
      <c r="H245" s="3"/>
    </row>
    <row r="246" spans="1:8" ht="15" customHeight="1">
      <c r="A246" s="646" t="s">
        <v>968</v>
      </c>
      <c r="B246" s="634" t="s">
        <v>967</v>
      </c>
      <c r="C246" s="635" t="s">
        <v>161</v>
      </c>
      <c r="D246" s="635" t="s">
        <v>164</v>
      </c>
      <c r="E246" s="636" t="s">
        <v>303</v>
      </c>
      <c r="F246" s="637" t="s">
        <v>1313</v>
      </c>
      <c r="G246" s="638" t="s">
        <v>908</v>
      </c>
      <c r="H246" s="4"/>
    </row>
    <row r="247" spans="1:8" ht="15" customHeight="1">
      <c r="A247" s="646" t="s">
        <v>969</v>
      </c>
      <c r="B247" s="634" t="s">
        <v>967</v>
      </c>
      <c r="C247" s="635" t="s">
        <v>161</v>
      </c>
      <c r="D247" s="635" t="s">
        <v>164</v>
      </c>
      <c r="E247" s="642" t="s">
        <v>341</v>
      </c>
      <c r="F247" s="642"/>
      <c r="G247" s="638" t="s">
        <v>1099</v>
      </c>
      <c r="H247" s="3"/>
    </row>
    <row r="248" spans="1:8" ht="15" customHeight="1">
      <c r="A248" s="646" t="s">
        <v>971</v>
      </c>
      <c r="B248" s="634" t="s">
        <v>970</v>
      </c>
      <c r="C248" s="635" t="s">
        <v>161</v>
      </c>
      <c r="D248" s="635" t="s">
        <v>168</v>
      </c>
      <c r="E248" s="636" t="s">
        <v>303</v>
      </c>
      <c r="F248" s="637" t="s">
        <v>1313</v>
      </c>
      <c r="G248" s="638" t="s">
        <v>7</v>
      </c>
      <c r="H248" s="3"/>
    </row>
    <row r="249" spans="1:8" ht="15" customHeight="1">
      <c r="A249" s="646" t="s">
        <v>1368</v>
      </c>
      <c r="B249" s="634" t="s">
        <v>1369</v>
      </c>
      <c r="C249" s="635" t="s">
        <v>161</v>
      </c>
      <c r="D249" s="635" t="s">
        <v>168</v>
      </c>
      <c r="E249" s="642" t="s">
        <v>341</v>
      </c>
      <c r="F249" s="642"/>
      <c r="G249" s="636" t="e">
        <v>#N/A</v>
      </c>
      <c r="H249" s="3"/>
    </row>
    <row r="250" spans="1:8" ht="15" customHeight="1">
      <c r="A250" s="646" t="s">
        <v>973</v>
      </c>
      <c r="B250" s="634" t="s">
        <v>972</v>
      </c>
      <c r="C250" s="635" t="s">
        <v>161</v>
      </c>
      <c r="D250" s="635" t="s">
        <v>166</v>
      </c>
      <c r="E250" s="636" t="s">
        <v>303</v>
      </c>
      <c r="F250" s="637" t="s">
        <v>1313</v>
      </c>
      <c r="G250" s="638" t="s">
        <v>908</v>
      </c>
      <c r="H250" s="3"/>
    </row>
    <row r="251" spans="1:8" ht="15" customHeight="1">
      <c r="A251" s="646" t="s">
        <v>974</v>
      </c>
      <c r="B251" s="634" t="s">
        <v>972</v>
      </c>
      <c r="C251" s="635" t="s">
        <v>161</v>
      </c>
      <c r="D251" s="635" t="s">
        <v>166</v>
      </c>
      <c r="E251" s="642" t="s">
        <v>341</v>
      </c>
      <c r="F251" s="642"/>
      <c r="G251" s="638" t="e">
        <v>#N/A</v>
      </c>
      <c r="H251" s="3"/>
    </row>
    <row r="252" spans="1:8" ht="15" customHeight="1">
      <c r="A252" s="634" t="s">
        <v>976</v>
      </c>
      <c r="B252" s="634" t="s">
        <v>975</v>
      </c>
      <c r="C252" s="635" t="s">
        <v>161</v>
      </c>
      <c r="D252" s="635" t="s">
        <v>167</v>
      </c>
      <c r="E252" s="636" t="s">
        <v>303</v>
      </c>
      <c r="F252" s="637" t="s">
        <v>1313</v>
      </c>
      <c r="G252" s="638" t="s">
        <v>7</v>
      </c>
      <c r="H252" s="3"/>
    </row>
    <row r="253" spans="1:8" ht="15" customHeight="1">
      <c r="A253" s="646" t="s">
        <v>977</v>
      </c>
      <c r="B253" s="634" t="s">
        <v>975</v>
      </c>
      <c r="C253" s="635" t="s">
        <v>161</v>
      </c>
      <c r="D253" s="635" t="s">
        <v>167</v>
      </c>
      <c r="E253" s="642" t="s">
        <v>341</v>
      </c>
      <c r="F253" s="642"/>
      <c r="G253" s="638" t="e">
        <v>#N/A</v>
      </c>
      <c r="H253" s="3"/>
    </row>
    <row r="254" spans="1:8" ht="15" customHeight="1">
      <c r="A254" s="634" t="s">
        <v>1914</v>
      </c>
      <c r="B254" s="644" t="s">
        <v>1324</v>
      </c>
      <c r="C254" s="635" t="s">
        <v>161</v>
      </c>
      <c r="D254" s="635" t="s">
        <v>164</v>
      </c>
      <c r="E254" s="636" t="s">
        <v>303</v>
      </c>
      <c r="F254" s="637" t="s">
        <v>1313</v>
      </c>
      <c r="G254" s="636" t="s">
        <v>908</v>
      </c>
      <c r="H254" s="3"/>
    </row>
    <row r="255" spans="1:8" ht="15" customHeight="1">
      <c r="A255" s="646" t="s">
        <v>1370</v>
      </c>
      <c r="B255" s="634" t="s">
        <v>1371</v>
      </c>
      <c r="C255" s="635" t="s">
        <v>161</v>
      </c>
      <c r="D255" s="635" t="s">
        <v>164</v>
      </c>
      <c r="E255" s="642" t="s">
        <v>341</v>
      </c>
      <c r="F255" s="642"/>
      <c r="G255" s="636" t="e">
        <v>#N/A</v>
      </c>
      <c r="H255" s="3"/>
    </row>
    <row r="256" spans="1:8" ht="15" customHeight="1">
      <c r="A256" s="646" t="s">
        <v>3369</v>
      </c>
      <c r="B256" s="634" t="s">
        <v>3368</v>
      </c>
      <c r="C256" s="635" t="s">
        <v>161</v>
      </c>
      <c r="D256" s="635" t="s">
        <v>167</v>
      </c>
      <c r="E256" s="636" t="s">
        <v>303</v>
      </c>
      <c r="F256" s="637" t="s">
        <v>1313</v>
      </c>
      <c r="G256" s="636" t="e">
        <v>#N/A</v>
      </c>
      <c r="H256" s="3"/>
    </row>
    <row r="257" spans="1:8" ht="15" customHeight="1">
      <c r="A257" s="646" t="s">
        <v>1919</v>
      </c>
      <c r="B257" s="634" t="s">
        <v>978</v>
      </c>
      <c r="C257" s="635" t="s">
        <v>180</v>
      </c>
      <c r="D257" s="635" t="s">
        <v>192</v>
      </c>
      <c r="E257" s="636" t="s">
        <v>303</v>
      </c>
      <c r="F257" s="637" t="s">
        <v>1313</v>
      </c>
      <c r="G257" s="638" t="s">
        <v>7</v>
      </c>
      <c r="H257" s="3"/>
    </row>
    <row r="258" spans="1:8" ht="15" customHeight="1">
      <c r="A258" s="646" t="s">
        <v>980</v>
      </c>
      <c r="B258" s="634" t="s">
        <v>978</v>
      </c>
      <c r="C258" s="635" t="s">
        <v>180</v>
      </c>
      <c r="D258" s="635" t="s">
        <v>192</v>
      </c>
      <c r="E258" s="642" t="s">
        <v>341</v>
      </c>
      <c r="F258" s="642"/>
      <c r="G258" s="638" t="e">
        <v>#N/A</v>
      </c>
      <c r="H258" s="3"/>
    </row>
    <row r="259" spans="1:8" ht="15" customHeight="1">
      <c r="A259" s="646" t="s">
        <v>3848</v>
      </c>
      <c r="B259" s="634" t="s">
        <v>3847</v>
      </c>
      <c r="C259" s="635" t="s">
        <v>92</v>
      </c>
      <c r="D259" s="635" t="s">
        <v>98</v>
      </c>
      <c r="E259" s="636" t="s">
        <v>303</v>
      </c>
      <c r="F259" s="637" t="s">
        <v>1313</v>
      </c>
      <c r="G259" s="638" t="e">
        <v>#N/A</v>
      </c>
      <c r="H259" s="3"/>
    </row>
    <row r="260" spans="1:8" ht="15" customHeight="1">
      <c r="A260" s="988" t="s">
        <v>3850</v>
      </c>
      <c r="B260" s="634" t="s">
        <v>3847</v>
      </c>
      <c r="C260" s="635" t="s">
        <v>92</v>
      </c>
      <c r="D260" s="635" t="s">
        <v>98</v>
      </c>
      <c r="E260" s="642" t="s">
        <v>341</v>
      </c>
      <c r="F260" s="642"/>
      <c r="G260" s="638" t="s">
        <v>1099</v>
      </c>
      <c r="H260" s="3"/>
    </row>
    <row r="261" spans="1:8" ht="15" customHeight="1">
      <c r="A261" s="646" t="s">
        <v>3849</v>
      </c>
      <c r="B261" s="641" t="s">
        <v>3847</v>
      </c>
      <c r="C261" s="635" t="s">
        <v>92</v>
      </c>
      <c r="D261" s="635" t="s">
        <v>98</v>
      </c>
      <c r="E261" s="636" t="s">
        <v>303</v>
      </c>
      <c r="F261" s="636"/>
      <c r="G261" s="638" t="e">
        <v>#N/A</v>
      </c>
      <c r="H261" s="3"/>
    </row>
    <row r="262" spans="1:8" ht="15" customHeight="1">
      <c r="A262" s="646" t="s">
        <v>982</v>
      </c>
      <c r="B262" s="634" t="s">
        <v>981</v>
      </c>
      <c r="C262" s="635" t="s">
        <v>161</v>
      </c>
      <c r="D262" s="635" t="s">
        <v>172</v>
      </c>
      <c r="E262" s="636" t="s">
        <v>303</v>
      </c>
      <c r="F262" s="637" t="s">
        <v>1313</v>
      </c>
      <c r="G262" s="638" t="e">
        <v>#N/A</v>
      </c>
      <c r="H262" s="3"/>
    </row>
    <row r="263" spans="1:8" ht="15" customHeight="1">
      <c r="A263" s="646" t="s">
        <v>983</v>
      </c>
      <c r="B263" s="634" t="s">
        <v>981</v>
      </c>
      <c r="C263" s="635" t="s">
        <v>161</v>
      </c>
      <c r="D263" s="635" t="s">
        <v>172</v>
      </c>
      <c r="E263" s="642" t="s">
        <v>341</v>
      </c>
      <c r="F263" s="642"/>
      <c r="G263" s="638" t="s">
        <v>1230</v>
      </c>
      <c r="H263" s="3"/>
    </row>
    <row r="264" spans="1:8" ht="15" customHeight="1">
      <c r="A264" s="646" t="s">
        <v>985</v>
      </c>
      <c r="B264" s="634" t="s">
        <v>984</v>
      </c>
      <c r="C264" s="635" t="s">
        <v>161</v>
      </c>
      <c r="D264" s="635" t="s">
        <v>172</v>
      </c>
      <c r="E264" s="636" t="s">
        <v>303</v>
      </c>
      <c r="F264" s="637" t="s">
        <v>1313</v>
      </c>
      <c r="G264" s="638" t="s">
        <v>908</v>
      </c>
      <c r="H264" s="3"/>
    </row>
    <row r="265" spans="1:8" ht="15" customHeight="1">
      <c r="A265" s="646" t="s">
        <v>987</v>
      </c>
      <c r="B265" s="634" t="s">
        <v>986</v>
      </c>
      <c r="C265" s="635" t="s">
        <v>161</v>
      </c>
      <c r="D265" s="635" t="s">
        <v>172</v>
      </c>
      <c r="E265" s="642" t="s">
        <v>341</v>
      </c>
      <c r="F265" s="642"/>
      <c r="G265" s="638" t="s">
        <v>1230</v>
      </c>
      <c r="H265" s="3"/>
    </row>
    <row r="266" spans="1:8" ht="15" customHeight="1">
      <c r="A266" s="646" t="s">
        <v>989</v>
      </c>
      <c r="B266" s="634" t="s">
        <v>988</v>
      </c>
      <c r="C266" s="635" t="s">
        <v>161</v>
      </c>
      <c r="D266" s="635" t="s">
        <v>172</v>
      </c>
      <c r="E266" s="636" t="s">
        <v>303</v>
      </c>
      <c r="F266" s="637" t="s">
        <v>1313</v>
      </c>
      <c r="G266" s="638" t="s">
        <v>7</v>
      </c>
      <c r="H266" s="3"/>
    </row>
    <row r="267" spans="1:8" ht="15" customHeight="1">
      <c r="A267" s="646" t="s">
        <v>991</v>
      </c>
      <c r="B267" s="634" t="s">
        <v>990</v>
      </c>
      <c r="C267" s="635" t="s">
        <v>161</v>
      </c>
      <c r="D267" s="635" t="s">
        <v>172</v>
      </c>
      <c r="E267" s="642" t="s">
        <v>341</v>
      </c>
      <c r="F267" s="642"/>
      <c r="G267" s="638" t="e">
        <v>#N/A</v>
      </c>
      <c r="H267" s="3"/>
    </row>
    <row r="268" spans="1:8" ht="15" customHeight="1">
      <c r="A268" s="646" t="s">
        <v>3278</v>
      </c>
      <c r="B268" s="634" t="s">
        <v>992</v>
      </c>
      <c r="C268" s="635" t="s">
        <v>176</v>
      </c>
      <c r="D268" s="635" t="s">
        <v>177</v>
      </c>
      <c r="E268" s="636" t="s">
        <v>303</v>
      </c>
      <c r="F268" s="637" t="s">
        <v>1313</v>
      </c>
      <c r="G268" s="638" t="s">
        <v>908</v>
      </c>
      <c r="H268" s="3"/>
    </row>
    <row r="269" spans="1:8" ht="15" customHeight="1">
      <c r="A269" s="919" t="s">
        <v>994</v>
      </c>
      <c r="B269" s="634" t="s">
        <v>993</v>
      </c>
      <c r="C269" s="635" t="s">
        <v>176</v>
      </c>
      <c r="D269" s="635" t="s">
        <v>177</v>
      </c>
      <c r="E269" s="642" t="s">
        <v>341</v>
      </c>
      <c r="F269" s="642"/>
      <c r="G269" s="638" t="e">
        <v>#N/A</v>
      </c>
      <c r="H269" s="3"/>
    </row>
    <row r="270" spans="1:8" ht="15" customHeight="1">
      <c r="A270" s="646" t="s">
        <v>3371</v>
      </c>
      <c r="B270" s="634" t="s">
        <v>3370</v>
      </c>
      <c r="C270" s="635" t="s">
        <v>161</v>
      </c>
      <c r="D270" s="635" t="s">
        <v>173</v>
      </c>
      <c r="E270" s="636" t="s">
        <v>303</v>
      </c>
      <c r="F270" s="637" t="s">
        <v>1313</v>
      </c>
      <c r="G270" s="638" t="s">
        <v>7</v>
      </c>
      <c r="H270" s="3"/>
    </row>
    <row r="271" spans="1:8" ht="15" customHeight="1">
      <c r="A271" s="919" t="s">
        <v>3375</v>
      </c>
      <c r="B271" s="634" t="s">
        <v>3374</v>
      </c>
      <c r="C271" s="635" t="s">
        <v>161</v>
      </c>
      <c r="D271" s="635" t="s">
        <v>173</v>
      </c>
      <c r="E271" s="642" t="s">
        <v>341</v>
      </c>
      <c r="F271" s="642"/>
      <c r="G271" s="638" t="s">
        <v>7</v>
      </c>
      <c r="H271" s="3"/>
    </row>
    <row r="272" spans="1:8" ht="15" customHeight="1">
      <c r="A272" s="646" t="s">
        <v>996</v>
      </c>
      <c r="B272" s="634" t="s">
        <v>995</v>
      </c>
      <c r="C272" s="635" t="s">
        <v>176</v>
      </c>
      <c r="D272" s="635" t="s">
        <v>177</v>
      </c>
      <c r="E272" s="636" t="s">
        <v>303</v>
      </c>
      <c r="F272" s="637" t="s">
        <v>1313</v>
      </c>
      <c r="G272" s="638" t="s">
        <v>1230</v>
      </c>
      <c r="H272" s="3"/>
    </row>
    <row r="273" spans="1:8" ht="15" customHeight="1">
      <c r="A273" s="646" t="s">
        <v>998</v>
      </c>
      <c r="B273" s="634" t="s">
        <v>997</v>
      </c>
      <c r="C273" s="635" t="s">
        <v>176</v>
      </c>
      <c r="D273" s="635" t="s">
        <v>177</v>
      </c>
      <c r="E273" s="642" t="s">
        <v>341</v>
      </c>
      <c r="F273" s="642"/>
      <c r="G273" s="638" t="s">
        <v>7</v>
      </c>
      <c r="H273" s="3"/>
    </row>
    <row r="274" spans="1:8" ht="15" customHeight="1">
      <c r="A274" s="646" t="s">
        <v>1000</v>
      </c>
      <c r="B274" s="634" t="s">
        <v>999</v>
      </c>
      <c r="C274" s="635" t="s">
        <v>176</v>
      </c>
      <c r="D274" s="635" t="s">
        <v>177</v>
      </c>
      <c r="E274" s="636" t="s">
        <v>303</v>
      </c>
      <c r="F274" s="637" t="s">
        <v>1313</v>
      </c>
      <c r="G274" s="638" t="s">
        <v>1230</v>
      </c>
      <c r="H274" s="3"/>
    </row>
    <row r="275" spans="1:8" ht="15" customHeight="1">
      <c r="A275" s="646" t="s">
        <v>1002</v>
      </c>
      <c r="B275" s="634" t="s">
        <v>1001</v>
      </c>
      <c r="C275" s="635" t="s">
        <v>176</v>
      </c>
      <c r="D275" s="635" t="s">
        <v>177</v>
      </c>
      <c r="E275" s="642" t="s">
        <v>341</v>
      </c>
      <c r="F275" s="642"/>
      <c r="G275" s="638" t="s">
        <v>7</v>
      </c>
      <c r="H275" s="3"/>
    </row>
    <row r="276" spans="1:8" ht="15" customHeight="1">
      <c r="A276" s="646" t="s">
        <v>1004</v>
      </c>
      <c r="B276" s="634" t="s">
        <v>1003</v>
      </c>
      <c r="C276" s="635" t="s">
        <v>176</v>
      </c>
      <c r="D276" s="635" t="s">
        <v>177</v>
      </c>
      <c r="E276" s="636" t="s">
        <v>303</v>
      </c>
      <c r="F276" s="637" t="s">
        <v>1313</v>
      </c>
      <c r="G276" s="638" t="s">
        <v>1230</v>
      </c>
      <c r="H276" s="3"/>
    </row>
    <row r="277" spans="1:8" ht="15" customHeight="1">
      <c r="A277" s="634" t="s">
        <v>1006</v>
      </c>
      <c r="B277" s="634" t="s">
        <v>1005</v>
      </c>
      <c r="C277" s="635" t="s">
        <v>176</v>
      </c>
      <c r="D277" s="635" t="s">
        <v>177</v>
      </c>
      <c r="E277" s="642" t="s">
        <v>341</v>
      </c>
      <c r="F277" s="642"/>
      <c r="G277" s="638" t="s">
        <v>7</v>
      </c>
      <c r="H277" s="3"/>
    </row>
    <row r="278" spans="1:8" ht="15" customHeight="1">
      <c r="A278" s="646" t="s">
        <v>1008</v>
      </c>
      <c r="B278" s="634" t="s">
        <v>1007</v>
      </c>
      <c r="C278" s="635" t="s">
        <v>180</v>
      </c>
      <c r="D278" s="635" t="s">
        <v>182</v>
      </c>
      <c r="E278" s="636" t="s">
        <v>303</v>
      </c>
      <c r="F278" s="637" t="s">
        <v>1313</v>
      </c>
      <c r="G278" s="638" t="s">
        <v>908</v>
      </c>
      <c r="H278" s="3"/>
    </row>
    <row r="279" spans="1:8" ht="15" customHeight="1">
      <c r="A279" s="646" t="s">
        <v>1010</v>
      </c>
      <c r="B279" s="634" t="s">
        <v>1009</v>
      </c>
      <c r="C279" s="635" t="s">
        <v>180</v>
      </c>
      <c r="D279" s="635" t="s">
        <v>182</v>
      </c>
      <c r="E279" s="642" t="s">
        <v>341</v>
      </c>
      <c r="F279" s="642"/>
      <c r="G279" s="638" t="e">
        <v>#N/A</v>
      </c>
      <c r="H279" s="3"/>
    </row>
    <row r="280" spans="1:8" ht="15" customHeight="1">
      <c r="A280" s="646" t="s">
        <v>1012</v>
      </c>
      <c r="B280" s="634" t="s">
        <v>1011</v>
      </c>
      <c r="C280" s="635" t="s">
        <v>161</v>
      </c>
      <c r="D280" s="635" t="s">
        <v>164</v>
      </c>
      <c r="E280" s="636" t="s">
        <v>303</v>
      </c>
      <c r="F280" s="637" t="s">
        <v>1313</v>
      </c>
      <c r="G280" s="638" t="s">
        <v>7</v>
      </c>
      <c r="H280" s="3"/>
    </row>
    <row r="281" spans="1:8" ht="15" customHeight="1">
      <c r="A281" s="646" t="s">
        <v>1014</v>
      </c>
      <c r="B281" s="634" t="s">
        <v>1013</v>
      </c>
      <c r="C281" s="635" t="s">
        <v>180</v>
      </c>
      <c r="D281" s="635" t="s">
        <v>184</v>
      </c>
      <c r="E281" s="636" t="s">
        <v>303</v>
      </c>
      <c r="F281" s="637" t="s">
        <v>1313</v>
      </c>
      <c r="G281" s="638" t="s">
        <v>908</v>
      </c>
      <c r="H281" s="3"/>
    </row>
    <row r="282" spans="1:8" ht="15" customHeight="1">
      <c r="A282" s="646" t="s">
        <v>1016</v>
      </c>
      <c r="B282" s="634" t="s">
        <v>1015</v>
      </c>
      <c r="C282" s="635" t="s">
        <v>180</v>
      </c>
      <c r="D282" s="635" t="s">
        <v>184</v>
      </c>
      <c r="E282" s="642" t="s">
        <v>341</v>
      </c>
      <c r="F282" s="637"/>
      <c r="G282" s="638" t="s">
        <v>1230</v>
      </c>
      <c r="H282" s="3"/>
    </row>
    <row r="283" spans="1:8" ht="15" customHeight="1">
      <c r="A283" s="646" t="s">
        <v>3361</v>
      </c>
      <c r="B283" s="634" t="s">
        <v>1011</v>
      </c>
      <c r="C283" s="635" t="s">
        <v>161</v>
      </c>
      <c r="D283" s="635" t="s">
        <v>167</v>
      </c>
      <c r="E283" s="636" t="s">
        <v>303</v>
      </c>
      <c r="F283" s="637" t="s">
        <v>1313</v>
      </c>
      <c r="G283" s="638" t="s">
        <v>7</v>
      </c>
      <c r="H283" s="3"/>
    </row>
    <row r="284" spans="1:8" ht="15" customHeight="1">
      <c r="A284" s="646" t="s">
        <v>1018</v>
      </c>
      <c r="B284" s="634" t="s">
        <v>1017</v>
      </c>
      <c r="C284" s="635" t="s">
        <v>180</v>
      </c>
      <c r="D284" s="635" t="s">
        <v>185</v>
      </c>
      <c r="E284" s="636" t="s">
        <v>303</v>
      </c>
      <c r="F284" s="637" t="s">
        <v>1313</v>
      </c>
      <c r="G284" s="638" t="s">
        <v>908</v>
      </c>
      <c r="H284" s="3"/>
    </row>
    <row r="285" spans="1:8" ht="15" customHeight="1">
      <c r="A285" s="646" t="s">
        <v>1020</v>
      </c>
      <c r="B285" s="634" t="s">
        <v>1019</v>
      </c>
      <c r="C285" s="635" t="s">
        <v>180</v>
      </c>
      <c r="D285" s="635" t="s">
        <v>185</v>
      </c>
      <c r="E285" s="642" t="s">
        <v>341</v>
      </c>
      <c r="F285" s="637"/>
      <c r="G285" s="638" t="s">
        <v>7</v>
      </c>
      <c r="H285" s="3"/>
    </row>
    <row r="286" spans="1:8" ht="15" customHeight="1">
      <c r="A286" s="646" t="s">
        <v>1021</v>
      </c>
      <c r="B286" s="634" t="s">
        <v>1011</v>
      </c>
      <c r="C286" s="635" t="s">
        <v>161</v>
      </c>
      <c r="D286" s="635" t="s">
        <v>167</v>
      </c>
      <c r="E286" s="636" t="s">
        <v>303</v>
      </c>
      <c r="F286" s="637" t="s">
        <v>1313</v>
      </c>
      <c r="G286" s="638" t="s">
        <v>7</v>
      </c>
      <c r="H286" s="3"/>
    </row>
    <row r="287" spans="1:8" ht="15" customHeight="1">
      <c r="A287" s="646" t="s">
        <v>1087</v>
      </c>
      <c r="B287" s="634" t="s">
        <v>1022</v>
      </c>
      <c r="C287" s="635" t="s">
        <v>180</v>
      </c>
      <c r="D287" s="635" t="s">
        <v>182</v>
      </c>
      <c r="E287" s="636" t="s">
        <v>303</v>
      </c>
      <c r="F287" s="637" t="s">
        <v>1313</v>
      </c>
      <c r="G287" s="638" t="s">
        <v>908</v>
      </c>
      <c r="H287" s="3"/>
    </row>
    <row r="288" spans="1:8" ht="15" customHeight="1">
      <c r="A288" s="634" t="s">
        <v>1025</v>
      </c>
      <c r="B288" s="634" t="s">
        <v>1024</v>
      </c>
      <c r="C288" s="635" t="s">
        <v>180</v>
      </c>
      <c r="D288" s="635" t="s">
        <v>182</v>
      </c>
      <c r="E288" s="642" t="s">
        <v>341</v>
      </c>
      <c r="F288" s="637"/>
      <c r="G288" s="638" t="s">
        <v>1230</v>
      </c>
      <c r="H288" s="3"/>
    </row>
    <row r="289" spans="1:8" ht="15" customHeight="1">
      <c r="A289" s="646" t="s">
        <v>3327</v>
      </c>
      <c r="B289" s="634" t="s">
        <v>1026</v>
      </c>
      <c r="C289" s="635" t="s">
        <v>180</v>
      </c>
      <c r="D289" s="635" t="s">
        <v>185</v>
      </c>
      <c r="E289" s="636" t="s">
        <v>303</v>
      </c>
      <c r="F289" s="637" t="s">
        <v>1313</v>
      </c>
      <c r="G289" s="638" t="s">
        <v>7</v>
      </c>
      <c r="H289" s="3"/>
    </row>
    <row r="290" spans="1:8" ht="15" customHeight="1">
      <c r="A290" s="934" t="s">
        <v>1028</v>
      </c>
      <c r="B290" s="634" t="s">
        <v>1027</v>
      </c>
      <c r="C290" s="635" t="s">
        <v>180</v>
      </c>
      <c r="D290" s="635" t="s">
        <v>185</v>
      </c>
      <c r="E290" s="642" t="s">
        <v>341</v>
      </c>
      <c r="F290" s="637"/>
      <c r="G290" s="638" t="s">
        <v>7</v>
      </c>
      <c r="H290" s="3"/>
    </row>
    <row r="291" spans="1:8" ht="15" customHeight="1">
      <c r="A291" s="634" t="s">
        <v>1967</v>
      </c>
      <c r="B291" s="634" t="s">
        <v>1022</v>
      </c>
      <c r="C291" s="635" t="s">
        <v>180</v>
      </c>
      <c r="D291" s="635" t="s">
        <v>182</v>
      </c>
      <c r="E291" s="636" t="s">
        <v>303</v>
      </c>
      <c r="F291" s="637" t="s">
        <v>1313</v>
      </c>
      <c r="G291" s="636" t="s">
        <v>908</v>
      </c>
      <c r="H291" s="3"/>
    </row>
    <row r="292" spans="1:8" ht="15" customHeight="1">
      <c r="A292" s="646" t="s">
        <v>1372</v>
      </c>
      <c r="B292" s="634" t="s">
        <v>1373</v>
      </c>
      <c r="C292" s="635" t="s">
        <v>180</v>
      </c>
      <c r="D292" s="635" t="s">
        <v>182</v>
      </c>
      <c r="E292" s="642" t="s">
        <v>341</v>
      </c>
      <c r="F292" s="637"/>
      <c r="G292" s="636" t="s">
        <v>1230</v>
      </c>
      <c r="H292" s="3"/>
    </row>
    <row r="293" spans="1:8" ht="15" customHeight="1">
      <c r="A293" s="646" t="s">
        <v>1031</v>
      </c>
      <c r="B293" s="634" t="s">
        <v>1030</v>
      </c>
      <c r="C293" s="635" t="s">
        <v>180</v>
      </c>
      <c r="D293" s="635" t="s">
        <v>183</v>
      </c>
      <c r="E293" s="636" t="s">
        <v>303</v>
      </c>
      <c r="F293" s="637" t="s">
        <v>1313</v>
      </c>
      <c r="G293" s="638" t="s">
        <v>908</v>
      </c>
      <c r="H293" s="3"/>
    </row>
    <row r="294" spans="1:8" ht="15" customHeight="1">
      <c r="A294" s="646" t="s">
        <v>1033</v>
      </c>
      <c r="B294" s="634" t="s">
        <v>1032</v>
      </c>
      <c r="C294" s="635" t="s">
        <v>180</v>
      </c>
      <c r="D294" s="635" t="s">
        <v>183</v>
      </c>
      <c r="E294" s="642" t="s">
        <v>341</v>
      </c>
      <c r="F294" s="637"/>
      <c r="G294" s="638" t="s">
        <v>7</v>
      </c>
      <c r="H294" s="3"/>
    </row>
    <row r="295" spans="1:8" ht="15" customHeight="1">
      <c r="A295" s="646" t="s">
        <v>1035</v>
      </c>
      <c r="B295" s="641" t="s">
        <v>1034</v>
      </c>
      <c r="C295" s="635" t="s">
        <v>180</v>
      </c>
      <c r="D295" s="635" t="s">
        <v>183</v>
      </c>
      <c r="E295" s="636" t="s">
        <v>303</v>
      </c>
      <c r="F295" s="637" t="s">
        <v>1313</v>
      </c>
      <c r="G295" s="638" t="s">
        <v>7</v>
      </c>
      <c r="H295" s="3"/>
    </row>
    <row r="296" spans="1:8" ht="15" customHeight="1">
      <c r="A296" s="646" t="s">
        <v>1037</v>
      </c>
      <c r="B296" s="641" t="s">
        <v>1036</v>
      </c>
      <c r="C296" s="635" t="s">
        <v>180</v>
      </c>
      <c r="D296" s="635" t="s">
        <v>183</v>
      </c>
      <c r="E296" s="642" t="s">
        <v>341</v>
      </c>
      <c r="F296" s="637"/>
      <c r="G296" s="638" t="s">
        <v>1230</v>
      </c>
      <c r="H296" s="3"/>
    </row>
    <row r="297" spans="1:8" ht="15" customHeight="1">
      <c r="A297" s="634" t="s">
        <v>1039</v>
      </c>
      <c r="B297" s="641" t="s">
        <v>1038</v>
      </c>
      <c r="C297" s="635" t="s">
        <v>180</v>
      </c>
      <c r="D297" s="635" t="s">
        <v>183</v>
      </c>
      <c r="E297" s="636" t="s">
        <v>303</v>
      </c>
      <c r="F297" s="637" t="s">
        <v>1313</v>
      </c>
      <c r="G297" s="638" t="e">
        <v>#N/A</v>
      </c>
      <c r="H297" s="3"/>
    </row>
    <row r="298" spans="1:8" ht="15" customHeight="1">
      <c r="A298" s="646" t="s">
        <v>1041</v>
      </c>
      <c r="B298" s="641" t="s">
        <v>1040</v>
      </c>
      <c r="C298" s="635" t="s">
        <v>180</v>
      </c>
      <c r="D298" s="635" t="s">
        <v>183</v>
      </c>
      <c r="E298" s="642" t="s">
        <v>341</v>
      </c>
      <c r="F298" s="637"/>
      <c r="G298" s="638" t="s">
        <v>7</v>
      </c>
      <c r="H298" s="3"/>
    </row>
    <row r="299" spans="1:8" ht="15" customHeight="1">
      <c r="A299" s="646" t="s">
        <v>1043</v>
      </c>
      <c r="B299" s="641" t="s">
        <v>1042</v>
      </c>
      <c r="C299" s="635" t="s">
        <v>180</v>
      </c>
      <c r="D299" s="635" t="s">
        <v>186</v>
      </c>
      <c r="E299" s="636" t="s">
        <v>303</v>
      </c>
      <c r="F299" s="637" t="s">
        <v>1313</v>
      </c>
      <c r="G299" s="638" t="e">
        <v>#N/A</v>
      </c>
      <c r="H299" s="3"/>
    </row>
    <row r="300" spans="1:8" ht="15" customHeight="1">
      <c r="A300" s="646" t="s">
        <v>1045</v>
      </c>
      <c r="B300" s="641" t="s">
        <v>1044</v>
      </c>
      <c r="C300" s="635" t="s">
        <v>180</v>
      </c>
      <c r="D300" s="635" t="s">
        <v>186</v>
      </c>
      <c r="E300" s="642" t="s">
        <v>341</v>
      </c>
      <c r="F300" s="637"/>
      <c r="G300" s="638" t="s">
        <v>1230</v>
      </c>
      <c r="H300" s="3"/>
    </row>
    <row r="301" spans="1:8" ht="15" customHeight="1">
      <c r="A301" s="646" t="s">
        <v>1047</v>
      </c>
      <c r="B301" s="641" t="s">
        <v>1046</v>
      </c>
      <c r="C301" s="635" t="s">
        <v>180</v>
      </c>
      <c r="D301" s="635" t="s">
        <v>187</v>
      </c>
      <c r="E301" s="636" t="s">
        <v>303</v>
      </c>
      <c r="F301" s="637" t="s">
        <v>1313</v>
      </c>
      <c r="G301" s="638" t="e">
        <v>#N/A</v>
      </c>
      <c r="H301" s="3"/>
    </row>
    <row r="302" spans="1:8" ht="15" customHeight="1">
      <c r="A302" s="646" t="s">
        <v>1049</v>
      </c>
      <c r="B302" s="641" t="s">
        <v>1048</v>
      </c>
      <c r="C302" s="635" t="s">
        <v>180</v>
      </c>
      <c r="D302" s="635" t="s">
        <v>187</v>
      </c>
      <c r="E302" s="642" t="s">
        <v>341</v>
      </c>
      <c r="F302" s="637"/>
      <c r="G302" s="638" t="s">
        <v>7</v>
      </c>
      <c r="H302" s="3"/>
    </row>
    <row r="303" spans="1:8" ht="15" customHeight="1">
      <c r="A303" s="646" t="s">
        <v>1051</v>
      </c>
      <c r="B303" s="641" t="s">
        <v>1050</v>
      </c>
      <c r="C303" s="635" t="s">
        <v>180</v>
      </c>
      <c r="D303" s="635" t="s">
        <v>191</v>
      </c>
      <c r="E303" s="636" t="s">
        <v>303</v>
      </c>
      <c r="F303" s="637" t="s">
        <v>1313</v>
      </c>
      <c r="G303" s="638" t="e">
        <v>#N/A</v>
      </c>
      <c r="H303" s="3"/>
    </row>
    <row r="304" spans="1:8" ht="15" customHeight="1">
      <c r="A304" s="646" t="s">
        <v>1052</v>
      </c>
      <c r="B304" s="641" t="s">
        <v>1050</v>
      </c>
      <c r="C304" s="635" t="s">
        <v>180</v>
      </c>
      <c r="D304" s="635" t="s">
        <v>191</v>
      </c>
      <c r="E304" s="642" t="s">
        <v>341</v>
      </c>
      <c r="F304" s="637"/>
      <c r="G304" s="638" t="s">
        <v>1230</v>
      </c>
      <c r="H304" s="3"/>
    </row>
    <row r="305" spans="1:8" ht="15" customHeight="1">
      <c r="A305" s="646" t="s">
        <v>1995</v>
      </c>
      <c r="B305" s="641" t="s">
        <v>1053</v>
      </c>
      <c r="C305" s="635" t="s">
        <v>180</v>
      </c>
      <c r="D305" s="635" t="s">
        <v>191</v>
      </c>
      <c r="E305" s="636" t="s">
        <v>303</v>
      </c>
      <c r="F305" s="637" t="s">
        <v>1313</v>
      </c>
      <c r="G305" s="638" t="s">
        <v>908</v>
      </c>
      <c r="H305" s="3"/>
    </row>
    <row r="306" spans="1:8" ht="15" customHeight="1">
      <c r="A306" s="918" t="s">
        <v>730</v>
      </c>
      <c r="B306" s="651" t="s">
        <v>669</v>
      </c>
      <c r="C306" s="649"/>
      <c r="D306" s="635"/>
      <c r="E306" s="642"/>
      <c r="F306" s="637"/>
      <c r="G306" s="638" t="s">
        <v>761</v>
      </c>
      <c r="H306" s="3"/>
    </row>
    <row r="307" spans="1:8" ht="15" customHeight="1">
      <c r="A307" s="918" t="s">
        <v>2000</v>
      </c>
      <c r="B307" s="650" t="s">
        <v>729</v>
      </c>
      <c r="C307" s="635"/>
      <c r="D307" s="635"/>
      <c r="E307" s="636" t="s">
        <v>303</v>
      </c>
      <c r="F307" s="636"/>
      <c r="G307" s="638" t="e">
        <v>#N/A</v>
      </c>
      <c r="H307" s="3"/>
    </row>
    <row r="308" spans="1:8" ht="15" customHeight="1">
      <c r="A308" s="648" t="s">
        <v>2003</v>
      </c>
      <c r="B308" s="650" t="s">
        <v>1054</v>
      </c>
      <c r="C308" s="635" t="s">
        <v>152</v>
      </c>
      <c r="D308" s="635" t="s">
        <v>104</v>
      </c>
      <c r="E308" s="636" t="s">
        <v>303</v>
      </c>
      <c r="F308" s="637"/>
      <c r="G308" s="638" t="s">
        <v>7</v>
      </c>
      <c r="H308" s="3"/>
    </row>
    <row r="309" spans="1:8" ht="15" customHeight="1">
      <c r="A309" s="918" t="s">
        <v>2006</v>
      </c>
      <c r="B309" s="641" t="s">
        <v>1325</v>
      </c>
      <c r="C309" s="635" t="s">
        <v>92</v>
      </c>
      <c r="D309" s="635" t="s">
        <v>97</v>
      </c>
      <c r="E309" s="636" t="s">
        <v>303</v>
      </c>
      <c r="F309" s="636"/>
      <c r="G309" s="636" t="s">
        <v>908</v>
      </c>
      <c r="H309" s="3"/>
    </row>
    <row r="310" spans="1:8" ht="15" customHeight="1">
      <c r="A310" s="918" t="s">
        <v>2009</v>
      </c>
      <c r="B310" s="939" t="s">
        <v>1326</v>
      </c>
      <c r="C310" s="635" t="s">
        <v>92</v>
      </c>
      <c r="D310" s="635" t="s">
        <v>97</v>
      </c>
      <c r="E310" s="636" t="s">
        <v>303</v>
      </c>
      <c r="F310" s="636"/>
      <c r="G310" s="636" t="s">
        <v>7</v>
      </c>
      <c r="H310" s="3"/>
    </row>
    <row r="311" spans="1:8" ht="15" customHeight="1">
      <c r="A311" s="918" t="s">
        <v>2012</v>
      </c>
      <c r="B311" s="651" t="s">
        <v>1327</v>
      </c>
      <c r="C311" s="649" t="s">
        <v>92</v>
      </c>
      <c r="D311" s="635" t="s">
        <v>97</v>
      </c>
      <c r="E311" s="636" t="s">
        <v>303</v>
      </c>
      <c r="F311" s="636"/>
      <c r="G311" s="636" t="s">
        <v>908</v>
      </c>
      <c r="H311" s="3"/>
    </row>
    <row r="312" spans="1:8" ht="15" customHeight="1">
      <c r="A312" s="646" t="s">
        <v>2015</v>
      </c>
      <c r="B312" s="634" t="s">
        <v>1056</v>
      </c>
      <c r="C312" s="635" t="s">
        <v>92</v>
      </c>
      <c r="D312" s="635" t="s">
        <v>97</v>
      </c>
      <c r="E312" s="636" t="s">
        <v>303</v>
      </c>
      <c r="F312" s="636"/>
      <c r="G312" s="638" t="s">
        <v>7</v>
      </c>
      <c r="H312" s="3"/>
    </row>
    <row r="313" spans="1:8" ht="15" customHeight="1">
      <c r="A313" s="646" t="s">
        <v>1058</v>
      </c>
      <c r="B313" s="641" t="s">
        <v>731</v>
      </c>
      <c r="C313" s="635"/>
      <c r="D313" s="635"/>
      <c r="E313" s="636" t="s">
        <v>303</v>
      </c>
      <c r="F313" s="636"/>
      <c r="G313" s="638" t="e">
        <v>#N/A</v>
      </c>
      <c r="H313" s="3"/>
    </row>
    <row r="314" spans="1:8" ht="15" customHeight="1">
      <c r="A314" s="646" t="s">
        <v>2020</v>
      </c>
      <c r="B314" s="634" t="s">
        <v>1328</v>
      </c>
      <c r="C314" s="635" t="s">
        <v>92</v>
      </c>
      <c r="D314" s="635" t="s">
        <v>97</v>
      </c>
      <c r="E314" s="636" t="s">
        <v>303</v>
      </c>
      <c r="F314" s="636"/>
      <c r="G314" s="638" t="s">
        <v>908</v>
      </c>
      <c r="H314" s="3"/>
    </row>
    <row r="315" spans="1:8" ht="15" customHeight="1">
      <c r="A315" s="646" t="s">
        <v>2023</v>
      </c>
      <c r="B315" s="641" t="s">
        <v>1329</v>
      </c>
      <c r="C315" s="635" t="s">
        <v>92</v>
      </c>
      <c r="D315" s="635" t="s">
        <v>97</v>
      </c>
      <c r="E315" s="636" t="s">
        <v>303</v>
      </c>
      <c r="F315" s="636"/>
      <c r="G315" s="636" t="s">
        <v>7</v>
      </c>
      <c r="H315" s="3"/>
    </row>
    <row r="316" spans="1:8" ht="15" customHeight="1">
      <c r="A316" s="646" t="s">
        <v>2026</v>
      </c>
      <c r="B316" s="634" t="s">
        <v>1330</v>
      </c>
      <c r="C316" s="635" t="s">
        <v>92</v>
      </c>
      <c r="D316" s="635" t="s">
        <v>97</v>
      </c>
      <c r="E316" s="636" t="s">
        <v>303</v>
      </c>
      <c r="F316" s="636"/>
      <c r="G316" s="636" t="s">
        <v>908</v>
      </c>
      <c r="H316" s="3"/>
    </row>
    <row r="317" spans="1:8" ht="15" customHeight="1">
      <c r="A317" s="646" t="s">
        <v>3328</v>
      </c>
      <c r="B317" s="641" t="s">
        <v>1057</v>
      </c>
      <c r="C317" s="635" t="s">
        <v>92</v>
      </c>
      <c r="D317" s="635" t="s">
        <v>98</v>
      </c>
      <c r="E317" s="636" t="s">
        <v>303</v>
      </c>
      <c r="F317" s="636"/>
      <c r="G317" s="638" t="s">
        <v>7</v>
      </c>
      <c r="H317" s="3"/>
    </row>
    <row r="318" spans="1:8" ht="15" customHeight="1">
      <c r="A318" s="646" t="s">
        <v>2029</v>
      </c>
      <c r="B318" s="641" t="s">
        <v>1059</v>
      </c>
      <c r="C318" s="635" t="s">
        <v>92</v>
      </c>
      <c r="D318" s="635" t="s">
        <v>98</v>
      </c>
      <c r="E318" s="636" t="s">
        <v>303</v>
      </c>
      <c r="F318" s="636"/>
      <c r="G318" s="638" t="s">
        <v>908</v>
      </c>
      <c r="H318" s="3"/>
    </row>
    <row r="319" spans="1:8" ht="15" customHeight="1">
      <c r="A319" s="646" t="s">
        <v>2032</v>
      </c>
      <c r="B319" s="634" t="s">
        <v>732</v>
      </c>
      <c r="C319" s="635"/>
      <c r="D319" s="635"/>
      <c r="E319" s="636" t="s">
        <v>303</v>
      </c>
      <c r="F319" s="636"/>
      <c r="G319" s="638" t="e">
        <v>#N/A</v>
      </c>
      <c r="H319" s="3"/>
    </row>
    <row r="320" spans="1:8" ht="15" customHeight="1">
      <c r="A320" s="646" t="s">
        <v>3329</v>
      </c>
      <c r="B320" s="641" t="s">
        <v>1060</v>
      </c>
      <c r="C320" s="635" t="s">
        <v>92</v>
      </c>
      <c r="D320" s="635" t="s">
        <v>98</v>
      </c>
      <c r="E320" s="636" t="s">
        <v>303</v>
      </c>
      <c r="F320" s="637"/>
      <c r="G320" s="638" t="s">
        <v>7</v>
      </c>
      <c r="H320" s="3"/>
    </row>
    <row r="321" spans="1:8" ht="15" customHeight="1">
      <c r="A321" s="646" t="s">
        <v>2035</v>
      </c>
      <c r="B321" s="634" t="s">
        <v>1061</v>
      </c>
      <c r="C321" s="635" t="s">
        <v>92</v>
      </c>
      <c r="D321" s="635" t="s">
        <v>97</v>
      </c>
      <c r="E321" s="636" t="s">
        <v>303</v>
      </c>
      <c r="F321" s="636"/>
      <c r="G321" s="638" t="s">
        <v>908</v>
      </c>
      <c r="H321" s="3"/>
    </row>
    <row r="322" spans="1:8" ht="15" customHeight="1">
      <c r="A322" s="646" t="s">
        <v>2038</v>
      </c>
      <c r="B322" s="634" t="s">
        <v>1062</v>
      </c>
      <c r="C322" s="635" t="s">
        <v>92</v>
      </c>
      <c r="D322" s="635" t="s">
        <v>98</v>
      </c>
      <c r="E322" s="636" t="s">
        <v>303</v>
      </c>
      <c r="F322" s="636"/>
      <c r="G322" s="638" t="e">
        <v>#N/A</v>
      </c>
      <c r="H322" s="3"/>
    </row>
    <row r="323" spans="1:8" ht="15" customHeight="1">
      <c r="A323" s="646" t="s">
        <v>2041</v>
      </c>
      <c r="B323" s="641" t="s">
        <v>1331</v>
      </c>
      <c r="C323" s="635" t="s">
        <v>92</v>
      </c>
      <c r="D323" s="635" t="s">
        <v>97</v>
      </c>
      <c r="E323" s="636" t="s">
        <v>303</v>
      </c>
      <c r="F323" s="636"/>
      <c r="G323" s="636" t="s">
        <v>2</v>
      </c>
      <c r="H323" s="3"/>
    </row>
    <row r="324" spans="1:8" ht="15" customHeight="1">
      <c r="A324" s="646" t="s">
        <v>2044</v>
      </c>
      <c r="B324" s="634" t="s">
        <v>1063</v>
      </c>
      <c r="C324" s="635" t="s">
        <v>92</v>
      </c>
      <c r="D324" s="635" t="s">
        <v>103</v>
      </c>
      <c r="E324" s="636" t="s">
        <v>303</v>
      </c>
      <c r="F324" s="636"/>
      <c r="G324" s="638" t="s">
        <v>1055</v>
      </c>
      <c r="H324" s="3"/>
    </row>
    <row r="325" spans="1:8" ht="15" customHeight="1">
      <c r="A325" s="646" t="s">
        <v>2047</v>
      </c>
      <c r="B325" s="641" t="s">
        <v>1063</v>
      </c>
      <c r="C325" s="635" t="s">
        <v>92</v>
      </c>
      <c r="D325" s="635" t="s">
        <v>102</v>
      </c>
      <c r="E325" s="636" t="s">
        <v>303</v>
      </c>
      <c r="F325" s="636"/>
      <c r="G325" s="638" t="e">
        <v>#N/A</v>
      </c>
      <c r="H325" s="3"/>
    </row>
    <row r="326" spans="1:8" ht="15" customHeight="1">
      <c r="A326" s="646" t="s">
        <v>3818</v>
      </c>
      <c r="B326" s="641" t="s">
        <v>3817</v>
      </c>
      <c r="C326" s="635" t="s">
        <v>92</v>
      </c>
      <c r="D326" s="635" t="s">
        <v>98</v>
      </c>
      <c r="E326" s="636" t="s">
        <v>303</v>
      </c>
      <c r="F326" s="636"/>
      <c r="G326" s="638" t="e">
        <v>#N/A</v>
      </c>
      <c r="H326" s="3"/>
    </row>
    <row r="327" spans="1:8" ht="15" customHeight="1">
      <c r="A327" s="646" t="s">
        <v>1065</v>
      </c>
      <c r="B327" s="634" t="s">
        <v>733</v>
      </c>
      <c r="C327" s="635"/>
      <c r="D327" s="635"/>
      <c r="E327" s="636" t="s">
        <v>303</v>
      </c>
      <c r="F327" s="636"/>
      <c r="G327" s="638" t="e">
        <v>#N/A</v>
      </c>
      <c r="H327" s="3"/>
    </row>
    <row r="328" spans="1:8" ht="15" customHeight="1">
      <c r="A328" s="646" t="s">
        <v>3330</v>
      </c>
      <c r="B328" s="634" t="s">
        <v>1064</v>
      </c>
      <c r="C328" s="635" t="s">
        <v>92</v>
      </c>
      <c r="D328" s="635" t="s">
        <v>97</v>
      </c>
      <c r="E328" s="636" t="s">
        <v>303</v>
      </c>
      <c r="F328" s="636"/>
      <c r="G328" s="638" t="e">
        <v>#N/A</v>
      </c>
      <c r="H328" s="3"/>
    </row>
    <row r="329" spans="1:8" ht="15" customHeight="1">
      <c r="A329" s="646" t="s">
        <v>2052</v>
      </c>
      <c r="B329" s="641" t="s">
        <v>1280</v>
      </c>
      <c r="C329" s="635"/>
      <c r="D329" s="635"/>
      <c r="E329" s="636" t="s">
        <v>303</v>
      </c>
      <c r="F329" s="636"/>
      <c r="G329" s="636" t="s">
        <v>761</v>
      </c>
      <c r="H329" s="3"/>
    </row>
    <row r="330" spans="1:8" ht="15" customHeight="1">
      <c r="A330" s="646" t="s">
        <v>2055</v>
      </c>
      <c r="B330" s="634" t="s">
        <v>734</v>
      </c>
      <c r="C330" s="635"/>
      <c r="D330" s="635"/>
      <c r="E330" s="636" t="s">
        <v>303</v>
      </c>
      <c r="F330" s="636"/>
      <c r="G330" s="638" t="e">
        <v>#N/A</v>
      </c>
      <c r="H330" s="3"/>
    </row>
    <row r="331" spans="1:8" ht="15" customHeight="1">
      <c r="A331" s="646" t="s">
        <v>2058</v>
      </c>
      <c r="B331" s="641" t="s">
        <v>1066</v>
      </c>
      <c r="C331" s="635" t="s">
        <v>152</v>
      </c>
      <c r="D331" s="635" t="s">
        <v>153</v>
      </c>
      <c r="E331" s="636" t="s">
        <v>303</v>
      </c>
      <c r="F331" s="636"/>
      <c r="G331" s="638" t="e">
        <v>#N/A</v>
      </c>
      <c r="H331" s="3"/>
    </row>
    <row r="332" spans="1:8" ht="15" customHeight="1">
      <c r="A332" s="646" t="s">
        <v>2061</v>
      </c>
      <c r="B332" s="634" t="s">
        <v>1067</v>
      </c>
      <c r="C332" s="635" t="s">
        <v>152</v>
      </c>
      <c r="D332" s="635" t="s">
        <v>153</v>
      </c>
      <c r="E332" s="636" t="s">
        <v>303</v>
      </c>
      <c r="F332" s="636"/>
      <c r="G332" s="638" t="s">
        <v>1055</v>
      </c>
      <c r="H332" s="3"/>
    </row>
    <row r="333" spans="1:8" ht="15" customHeight="1">
      <c r="A333" s="646" t="s">
        <v>2064</v>
      </c>
      <c r="B333" s="641" t="s">
        <v>735</v>
      </c>
      <c r="C333" s="635"/>
      <c r="D333" s="635"/>
      <c r="E333" s="636" t="s">
        <v>303</v>
      </c>
      <c r="F333" s="636"/>
      <c r="G333" s="638" t="s">
        <v>761</v>
      </c>
      <c r="H333" s="3"/>
    </row>
    <row r="334" spans="1:8" ht="15" customHeight="1">
      <c r="A334" s="646" t="s">
        <v>2067</v>
      </c>
      <c r="B334" s="641" t="s">
        <v>1068</v>
      </c>
      <c r="C334" s="635" t="s">
        <v>152</v>
      </c>
      <c r="D334" s="635" t="s">
        <v>154</v>
      </c>
      <c r="E334" s="636" t="s">
        <v>303</v>
      </c>
      <c r="F334" s="636"/>
      <c r="G334" s="638" t="s">
        <v>2</v>
      </c>
      <c r="H334" s="3"/>
    </row>
    <row r="335" spans="1:8" ht="15" customHeight="1">
      <c r="A335" s="646" t="s">
        <v>2070</v>
      </c>
      <c r="B335" s="634" t="s">
        <v>1069</v>
      </c>
      <c r="C335" s="635" t="s">
        <v>152</v>
      </c>
      <c r="D335" s="635" t="s">
        <v>154</v>
      </c>
      <c r="E335" s="636" t="s">
        <v>303</v>
      </c>
      <c r="F335" s="636"/>
      <c r="G335" s="638" t="s">
        <v>1055</v>
      </c>
      <c r="H335" s="3"/>
    </row>
    <row r="336" spans="1:8" ht="15" customHeight="1">
      <c r="A336" s="646" t="s">
        <v>2073</v>
      </c>
      <c r="B336" s="641" t="s">
        <v>736</v>
      </c>
      <c r="C336" s="635"/>
      <c r="D336" s="635"/>
      <c r="E336" s="636" t="s">
        <v>303</v>
      </c>
      <c r="F336" s="636"/>
      <c r="G336" s="638" t="s">
        <v>761</v>
      </c>
      <c r="H336" s="3"/>
    </row>
    <row r="337" spans="1:8" ht="15" customHeight="1">
      <c r="A337" s="646" t="s">
        <v>2076</v>
      </c>
      <c r="B337" s="641" t="s">
        <v>737</v>
      </c>
      <c r="C337" s="635"/>
      <c r="D337" s="635"/>
      <c r="E337" s="636" t="s">
        <v>303</v>
      </c>
      <c r="F337" s="636"/>
      <c r="G337" s="638" t="e">
        <v>#N/A</v>
      </c>
      <c r="H337" s="3"/>
    </row>
    <row r="338" spans="1:8" ht="15" customHeight="1">
      <c r="A338" s="634" t="s">
        <v>2078</v>
      </c>
      <c r="B338" s="641" t="s">
        <v>738</v>
      </c>
      <c r="C338" s="635"/>
      <c r="D338" s="635"/>
      <c r="E338" s="636" t="s">
        <v>303</v>
      </c>
      <c r="F338" s="636"/>
      <c r="G338" s="638" t="s">
        <v>761</v>
      </c>
      <c r="H338" s="3"/>
    </row>
    <row r="339" spans="1:8" ht="15" customHeight="1">
      <c r="A339" s="646" t="s">
        <v>2081</v>
      </c>
      <c r="B339" s="634" t="s">
        <v>959</v>
      </c>
      <c r="C339" s="635" t="s">
        <v>152</v>
      </c>
      <c r="D339" s="635" t="s">
        <v>3803</v>
      </c>
      <c r="E339" s="636" t="s">
        <v>303</v>
      </c>
      <c r="F339" s="636"/>
      <c r="G339" s="638" t="e">
        <v>#N/A</v>
      </c>
      <c r="H339" s="3"/>
    </row>
    <row r="340" spans="1:8" ht="15" customHeight="1">
      <c r="A340" s="634" t="s">
        <v>2084</v>
      </c>
      <c r="B340" s="641" t="s">
        <v>1070</v>
      </c>
      <c r="C340" s="635" t="s">
        <v>152</v>
      </c>
      <c r="D340" s="635" t="s">
        <v>154</v>
      </c>
      <c r="E340" s="636" t="s">
        <v>303</v>
      </c>
      <c r="F340" s="636"/>
      <c r="G340" s="638" t="e">
        <v>#N/A</v>
      </c>
      <c r="H340" s="3"/>
    </row>
    <row r="341" spans="1:8" ht="15" customHeight="1">
      <c r="A341" s="646" t="s">
        <v>2087</v>
      </c>
      <c r="B341" s="641" t="s">
        <v>963</v>
      </c>
      <c r="C341" s="635" t="s">
        <v>152</v>
      </c>
      <c r="D341" s="635" t="s">
        <v>156</v>
      </c>
      <c r="E341" s="636" t="s">
        <v>303</v>
      </c>
      <c r="F341" s="636"/>
      <c r="G341" s="638" t="s">
        <v>1055</v>
      </c>
      <c r="H341" s="3"/>
    </row>
    <row r="342" spans="1:8" ht="15" customHeight="1">
      <c r="A342" s="646" t="s">
        <v>2090</v>
      </c>
      <c r="B342" s="634" t="s">
        <v>1071</v>
      </c>
      <c r="C342" s="635" t="s">
        <v>161</v>
      </c>
      <c r="D342" s="635" t="s">
        <v>164</v>
      </c>
      <c r="E342" s="636" t="s">
        <v>303</v>
      </c>
      <c r="F342" s="636"/>
      <c r="G342" s="638" t="s">
        <v>1055</v>
      </c>
      <c r="H342" s="3"/>
    </row>
    <row r="343" spans="1:8" ht="15" customHeight="1">
      <c r="A343" s="646" t="s">
        <v>2093</v>
      </c>
      <c r="B343" s="641" t="s">
        <v>1072</v>
      </c>
      <c r="C343" s="635" t="s">
        <v>161</v>
      </c>
      <c r="D343" s="635" t="s">
        <v>168</v>
      </c>
      <c r="E343" s="636" t="s">
        <v>303</v>
      </c>
      <c r="F343" s="636"/>
      <c r="G343" s="638" t="s">
        <v>2</v>
      </c>
      <c r="H343" s="3"/>
    </row>
    <row r="344" spans="1:8" ht="15" customHeight="1">
      <c r="A344" s="646" t="s">
        <v>2096</v>
      </c>
      <c r="B344" s="641" t="s">
        <v>1073</v>
      </c>
      <c r="C344" s="635" t="s">
        <v>161</v>
      </c>
      <c r="D344" s="635" t="s">
        <v>166</v>
      </c>
      <c r="E344" s="636" t="s">
        <v>303</v>
      </c>
      <c r="F344" s="636"/>
      <c r="G344" s="638" t="e">
        <v>#N/A</v>
      </c>
      <c r="H344" s="3"/>
    </row>
    <row r="345" spans="1:8" ht="15" customHeight="1">
      <c r="A345" s="646" t="s">
        <v>2099</v>
      </c>
      <c r="B345" s="641" t="s">
        <v>1074</v>
      </c>
      <c r="C345" s="635" t="s">
        <v>161</v>
      </c>
      <c r="D345" s="635" t="s">
        <v>167</v>
      </c>
      <c r="E345" s="636" t="s">
        <v>303</v>
      </c>
      <c r="F345" s="636"/>
      <c r="G345" s="638" t="s">
        <v>1055</v>
      </c>
      <c r="H345" s="3"/>
    </row>
    <row r="346" spans="1:8" ht="15" customHeight="1">
      <c r="A346" s="646" t="s">
        <v>2102</v>
      </c>
      <c r="B346" s="641" t="s">
        <v>739</v>
      </c>
      <c r="C346" s="635"/>
      <c r="D346" s="635"/>
      <c r="E346" s="636" t="s">
        <v>303</v>
      </c>
      <c r="F346" s="636"/>
      <c r="G346" s="638" t="e">
        <v>#N/A</v>
      </c>
      <c r="H346" s="3"/>
    </row>
    <row r="347" spans="1:8" ht="15" customHeight="1">
      <c r="A347" s="646" t="s">
        <v>2105</v>
      </c>
      <c r="B347" s="641" t="s">
        <v>1075</v>
      </c>
      <c r="C347" s="635" t="s">
        <v>161</v>
      </c>
      <c r="D347" s="635" t="s">
        <v>169</v>
      </c>
      <c r="E347" s="636" t="s">
        <v>303</v>
      </c>
      <c r="F347" s="636"/>
      <c r="G347" s="638" t="s">
        <v>1055</v>
      </c>
      <c r="H347" s="3"/>
    </row>
    <row r="348" spans="1:8" ht="15" customHeight="1">
      <c r="A348" s="646" t="s">
        <v>2108</v>
      </c>
      <c r="B348" s="634" t="s">
        <v>740</v>
      </c>
      <c r="C348" s="635"/>
      <c r="D348" s="635"/>
      <c r="E348" s="636" t="s">
        <v>303</v>
      </c>
      <c r="F348" s="636"/>
      <c r="G348" s="638" t="s">
        <v>761</v>
      </c>
      <c r="H348" s="3"/>
    </row>
    <row r="349" spans="1:8" ht="15" customHeight="1">
      <c r="A349" s="646" t="s">
        <v>2111</v>
      </c>
      <c r="B349" s="651" t="s">
        <v>978</v>
      </c>
      <c r="C349" s="649" t="s">
        <v>180</v>
      </c>
      <c r="D349" s="635" t="s">
        <v>192</v>
      </c>
      <c r="E349" s="636" t="s">
        <v>303</v>
      </c>
      <c r="F349" s="636"/>
      <c r="G349" s="638" t="e">
        <v>#N/A</v>
      </c>
      <c r="H349" s="3"/>
    </row>
    <row r="350" spans="1:8" ht="15" customHeight="1">
      <c r="A350" s="646" t="s">
        <v>2114</v>
      </c>
      <c r="B350" s="651" t="s">
        <v>981</v>
      </c>
      <c r="C350" s="649" t="s">
        <v>161</v>
      </c>
      <c r="D350" s="635" t="s">
        <v>172</v>
      </c>
      <c r="E350" s="636" t="s">
        <v>303</v>
      </c>
      <c r="F350" s="636"/>
      <c r="G350" s="638" t="s">
        <v>1055</v>
      </c>
      <c r="H350" s="3"/>
    </row>
    <row r="351" spans="1:8" ht="15" customHeight="1">
      <c r="A351" s="646" t="s">
        <v>2117</v>
      </c>
      <c r="B351" s="648" t="s">
        <v>1077</v>
      </c>
      <c r="C351" s="649" t="s">
        <v>161</v>
      </c>
      <c r="D351" s="635" t="s">
        <v>172</v>
      </c>
      <c r="E351" s="636" t="s">
        <v>303</v>
      </c>
      <c r="F351" s="642"/>
      <c r="G351" s="638" t="s">
        <v>1055</v>
      </c>
      <c r="H351" s="3"/>
    </row>
    <row r="352" spans="1:8" ht="15" customHeight="1">
      <c r="A352" s="646" t="s">
        <v>2120</v>
      </c>
      <c r="B352" s="651" t="s">
        <v>1078</v>
      </c>
      <c r="C352" s="649" t="s">
        <v>161</v>
      </c>
      <c r="D352" s="635" t="s">
        <v>172</v>
      </c>
      <c r="E352" s="636" t="s">
        <v>303</v>
      </c>
      <c r="F352" s="636"/>
      <c r="G352" s="638" t="s">
        <v>2</v>
      </c>
      <c r="H352" s="3"/>
    </row>
    <row r="353" spans="1:8" ht="15" customHeight="1">
      <c r="A353" s="646" t="s">
        <v>3496</v>
      </c>
      <c r="B353" s="648" t="s">
        <v>3495</v>
      </c>
      <c r="C353" s="635" t="s">
        <v>176</v>
      </c>
      <c r="D353" s="635" t="s">
        <v>177</v>
      </c>
      <c r="E353" s="636" t="s">
        <v>303</v>
      </c>
      <c r="F353" s="636"/>
      <c r="G353" s="638" t="e">
        <v>#N/A</v>
      </c>
      <c r="H353" s="3"/>
    </row>
    <row r="354" spans="1:8" ht="15" customHeight="1">
      <c r="A354" s="646" t="s">
        <v>3373</v>
      </c>
      <c r="B354" s="648" t="s">
        <v>3372</v>
      </c>
      <c r="C354" s="649" t="s">
        <v>161</v>
      </c>
      <c r="D354" s="635" t="s">
        <v>173</v>
      </c>
      <c r="E354" s="636" t="s">
        <v>303</v>
      </c>
      <c r="F354" s="642"/>
      <c r="G354" s="638" t="s">
        <v>1230</v>
      </c>
      <c r="H354" s="3"/>
    </row>
    <row r="355" spans="1:8" ht="15" customHeight="1">
      <c r="A355" s="646" t="s">
        <v>2123</v>
      </c>
      <c r="B355" s="641" t="s">
        <v>741</v>
      </c>
      <c r="C355" s="635"/>
      <c r="D355" s="635"/>
      <c r="E355" s="636" t="s">
        <v>303</v>
      </c>
      <c r="F355" s="636"/>
      <c r="G355" s="638" t="e">
        <v>#N/A</v>
      </c>
      <c r="H355" s="3"/>
    </row>
    <row r="356" spans="1:8" ht="15" customHeight="1">
      <c r="A356" s="646" t="s">
        <v>2126</v>
      </c>
      <c r="B356" s="634" t="s">
        <v>742</v>
      </c>
      <c r="C356" s="635"/>
      <c r="D356" s="635"/>
      <c r="E356" s="636" t="s">
        <v>303</v>
      </c>
      <c r="F356" s="636"/>
      <c r="G356" s="638" t="e">
        <v>#N/A</v>
      </c>
      <c r="H356" s="3"/>
    </row>
    <row r="357" spans="1:8" ht="15" customHeight="1">
      <c r="A357" s="646" t="s">
        <v>2129</v>
      </c>
      <c r="B357" s="641" t="s">
        <v>1079</v>
      </c>
      <c r="C357" s="635" t="s">
        <v>176</v>
      </c>
      <c r="D357" s="635" t="s">
        <v>177</v>
      </c>
      <c r="E357" s="636" t="s">
        <v>303</v>
      </c>
      <c r="F357" s="636"/>
      <c r="G357" s="638" t="s">
        <v>1055</v>
      </c>
      <c r="H357" s="3"/>
    </row>
    <row r="358" spans="1:8" ht="15" customHeight="1">
      <c r="A358" s="646" t="s">
        <v>2132</v>
      </c>
      <c r="B358" s="641" t="s">
        <v>1080</v>
      </c>
      <c r="C358" s="635" t="s">
        <v>176</v>
      </c>
      <c r="D358" s="635" t="s">
        <v>177</v>
      </c>
      <c r="E358" s="636" t="s">
        <v>303</v>
      </c>
      <c r="F358" s="636"/>
      <c r="G358" s="638" t="e">
        <v>#N/A</v>
      </c>
      <c r="H358" s="3"/>
    </row>
    <row r="359" spans="1:8" ht="15" customHeight="1">
      <c r="A359" s="646" t="s">
        <v>2135</v>
      </c>
      <c r="B359" s="641" t="s">
        <v>1081</v>
      </c>
      <c r="C359" s="635" t="s">
        <v>176</v>
      </c>
      <c r="D359" s="635" t="s">
        <v>177</v>
      </c>
      <c r="E359" s="636" t="s">
        <v>303</v>
      </c>
      <c r="F359" s="636"/>
      <c r="G359" s="638" t="s">
        <v>2</v>
      </c>
      <c r="H359" s="3"/>
    </row>
    <row r="360" spans="1:8" ht="15" customHeight="1">
      <c r="A360" s="643" t="s">
        <v>3299</v>
      </c>
      <c r="B360" s="643" t="s">
        <v>743</v>
      </c>
      <c r="C360" s="635"/>
      <c r="D360" s="635"/>
      <c r="E360" s="636" t="s">
        <v>303</v>
      </c>
      <c r="F360" s="637"/>
      <c r="G360" s="638" t="e">
        <v>#N/A</v>
      </c>
      <c r="H360" s="3"/>
    </row>
    <row r="361" spans="1:8" ht="15" customHeight="1">
      <c r="A361" s="646" t="s">
        <v>2138</v>
      </c>
      <c r="B361" s="641" t="s">
        <v>1082</v>
      </c>
      <c r="C361" s="635" t="s">
        <v>180</v>
      </c>
      <c r="D361" s="635" t="s">
        <v>182</v>
      </c>
      <c r="E361" s="636" t="s">
        <v>303</v>
      </c>
      <c r="F361" s="636"/>
      <c r="G361" s="638" t="s">
        <v>1055</v>
      </c>
      <c r="H361" s="3"/>
    </row>
    <row r="362" spans="1:8" ht="15" customHeight="1">
      <c r="A362" s="646" t="s">
        <v>2141</v>
      </c>
      <c r="B362" s="641" t="s">
        <v>1083</v>
      </c>
      <c r="C362" s="635" t="s">
        <v>161</v>
      </c>
      <c r="D362" s="635" t="s">
        <v>164</v>
      </c>
      <c r="E362" s="636" t="s">
        <v>303</v>
      </c>
      <c r="F362" s="636"/>
      <c r="G362" s="638" t="s">
        <v>1055</v>
      </c>
      <c r="H362" s="3"/>
    </row>
    <row r="363" spans="1:8" ht="15" customHeight="1">
      <c r="A363" s="646" t="s">
        <v>2144</v>
      </c>
      <c r="B363" s="634" t="s">
        <v>1084</v>
      </c>
      <c r="C363" s="635" t="s">
        <v>180</v>
      </c>
      <c r="D363" s="635" t="s">
        <v>184</v>
      </c>
      <c r="E363" s="636" t="s">
        <v>303</v>
      </c>
      <c r="F363" s="636"/>
      <c r="G363" s="638" t="s">
        <v>2</v>
      </c>
      <c r="H363" s="3"/>
    </row>
    <row r="364" spans="1:8" ht="15" customHeight="1">
      <c r="A364" s="646" t="s">
        <v>3362</v>
      </c>
      <c r="B364" s="634" t="s">
        <v>1083</v>
      </c>
      <c r="C364" s="635" t="s">
        <v>161</v>
      </c>
      <c r="D364" s="635" t="s">
        <v>167</v>
      </c>
      <c r="E364" s="636" t="s">
        <v>303</v>
      </c>
      <c r="F364" s="636"/>
      <c r="G364" s="638" t="s">
        <v>2</v>
      </c>
      <c r="H364" s="3"/>
    </row>
    <row r="365" spans="1:8" ht="15" customHeight="1">
      <c r="A365" s="646" t="s">
        <v>2147</v>
      </c>
      <c r="B365" s="641" t="s">
        <v>1085</v>
      </c>
      <c r="C365" s="635" t="s">
        <v>180</v>
      </c>
      <c r="D365" s="635" t="s">
        <v>185</v>
      </c>
      <c r="E365" s="636" t="s">
        <v>303</v>
      </c>
      <c r="F365" s="636"/>
      <c r="G365" s="638" t="s">
        <v>1055</v>
      </c>
      <c r="H365" s="3"/>
    </row>
    <row r="366" spans="1:8" ht="15" customHeight="1">
      <c r="A366" s="646" t="s">
        <v>2150</v>
      </c>
      <c r="B366" s="634" t="s">
        <v>1083</v>
      </c>
      <c r="C366" s="635" t="s">
        <v>161</v>
      </c>
      <c r="D366" s="635" t="s">
        <v>167</v>
      </c>
      <c r="E366" s="636" t="s">
        <v>303</v>
      </c>
      <c r="F366" s="636"/>
      <c r="G366" s="638" t="e">
        <v>#N/A</v>
      </c>
      <c r="H366" s="3"/>
    </row>
    <row r="367" spans="1:8" ht="15" customHeight="1">
      <c r="A367" s="646" t="s">
        <v>2153</v>
      </c>
      <c r="B367" s="641" t="s">
        <v>1086</v>
      </c>
      <c r="C367" s="635" t="s">
        <v>180</v>
      </c>
      <c r="D367" s="635" t="s">
        <v>182</v>
      </c>
      <c r="E367" s="636" t="s">
        <v>303</v>
      </c>
      <c r="F367" s="636"/>
      <c r="G367" s="638" t="s">
        <v>2</v>
      </c>
      <c r="H367" s="3"/>
    </row>
    <row r="368" spans="1:8" ht="15" customHeight="1">
      <c r="A368" s="646" t="s">
        <v>3331</v>
      </c>
      <c r="B368" s="641" t="s">
        <v>1088</v>
      </c>
      <c r="C368" s="635" t="s">
        <v>180</v>
      </c>
      <c r="D368" s="635" t="s">
        <v>185</v>
      </c>
      <c r="E368" s="636" t="s">
        <v>303</v>
      </c>
      <c r="F368" s="636"/>
      <c r="G368" s="638" t="s">
        <v>2</v>
      </c>
      <c r="H368" s="3"/>
    </row>
    <row r="369" spans="1:8" ht="15" customHeight="1">
      <c r="A369" s="646" t="s">
        <v>2156</v>
      </c>
      <c r="B369" s="634" t="s">
        <v>1086</v>
      </c>
      <c r="C369" s="635" t="s">
        <v>180</v>
      </c>
      <c r="D369" s="635" t="s">
        <v>182</v>
      </c>
      <c r="E369" s="636" t="s">
        <v>303</v>
      </c>
      <c r="F369" s="636"/>
      <c r="G369" s="636" t="s">
        <v>2</v>
      </c>
      <c r="H369" s="3"/>
    </row>
    <row r="370" spans="1:8" ht="15" customHeight="1">
      <c r="A370" s="646" t="s">
        <v>2159</v>
      </c>
      <c r="B370" s="641" t="s">
        <v>1089</v>
      </c>
      <c r="C370" s="635" t="s">
        <v>180</v>
      </c>
      <c r="D370" s="635" t="s">
        <v>183</v>
      </c>
      <c r="E370" s="636" t="s">
        <v>303</v>
      </c>
      <c r="F370" s="636"/>
      <c r="G370" s="638" t="s">
        <v>1055</v>
      </c>
      <c r="H370" s="3"/>
    </row>
    <row r="371" spans="1:8" ht="15" customHeight="1">
      <c r="A371" s="646" t="s">
        <v>2162</v>
      </c>
      <c r="B371" s="634" t="s">
        <v>1090</v>
      </c>
      <c r="C371" s="635" t="s">
        <v>180</v>
      </c>
      <c r="D371" s="635" t="s">
        <v>183</v>
      </c>
      <c r="E371" s="636" t="s">
        <v>303</v>
      </c>
      <c r="F371" s="636"/>
      <c r="G371" s="638" t="e">
        <v>#N/A</v>
      </c>
      <c r="H371" s="3"/>
    </row>
    <row r="372" spans="1:8" ht="15" customHeight="1">
      <c r="A372" s="646" t="s">
        <v>2165</v>
      </c>
      <c r="B372" s="641" t="s">
        <v>1091</v>
      </c>
      <c r="C372" s="635" t="s">
        <v>180</v>
      </c>
      <c r="D372" s="635" t="s">
        <v>183</v>
      </c>
      <c r="E372" s="636" t="s">
        <v>303</v>
      </c>
      <c r="F372" s="636"/>
      <c r="G372" s="638" t="s">
        <v>1055</v>
      </c>
      <c r="H372" s="3"/>
    </row>
    <row r="373" spans="1:8" ht="15" customHeight="1">
      <c r="A373" s="646" t="s">
        <v>2168</v>
      </c>
      <c r="B373" s="641" t="s">
        <v>1092</v>
      </c>
      <c r="C373" s="635" t="s">
        <v>180</v>
      </c>
      <c r="D373" s="635" t="s">
        <v>186</v>
      </c>
      <c r="E373" s="636" t="s">
        <v>303</v>
      </c>
      <c r="F373" s="636"/>
      <c r="G373" s="638" t="s">
        <v>1055</v>
      </c>
      <c r="H373" s="3"/>
    </row>
    <row r="374" spans="1:8" ht="15" customHeight="1">
      <c r="A374" s="646" t="s">
        <v>2171</v>
      </c>
      <c r="B374" s="641" t="s">
        <v>1093</v>
      </c>
      <c r="C374" s="635" t="s">
        <v>180</v>
      </c>
      <c r="D374" s="635" t="s">
        <v>187</v>
      </c>
      <c r="E374" s="636" t="s">
        <v>303</v>
      </c>
      <c r="F374" s="636"/>
      <c r="G374" s="638" t="s">
        <v>1055</v>
      </c>
      <c r="H374" s="3"/>
    </row>
    <row r="375" spans="1:8" ht="15" customHeight="1">
      <c r="A375" s="646" t="s">
        <v>3628</v>
      </c>
      <c r="B375" s="641" t="s">
        <v>3627</v>
      </c>
      <c r="C375" s="635" t="s">
        <v>180</v>
      </c>
      <c r="D375" s="635" t="s">
        <v>187</v>
      </c>
      <c r="E375" s="636" t="s">
        <v>303</v>
      </c>
      <c r="F375" s="636"/>
      <c r="G375" s="638" t="s">
        <v>1055</v>
      </c>
      <c r="H375" s="3"/>
    </row>
    <row r="376" spans="1:8" ht="15" customHeight="1">
      <c r="A376" s="646" t="s">
        <v>2174</v>
      </c>
      <c r="B376" s="641" t="s">
        <v>1094</v>
      </c>
      <c r="C376" s="635" t="s">
        <v>180</v>
      </c>
      <c r="D376" s="635" t="s">
        <v>191</v>
      </c>
      <c r="E376" s="636" t="s">
        <v>303</v>
      </c>
      <c r="F376" s="636"/>
      <c r="G376" s="638" t="s">
        <v>1055</v>
      </c>
      <c r="H376" s="3"/>
    </row>
    <row r="377" spans="1:8" ht="15" customHeight="1">
      <c r="A377" s="646" t="s">
        <v>2177</v>
      </c>
      <c r="B377" s="641" t="s">
        <v>1095</v>
      </c>
      <c r="C377" s="635" t="s">
        <v>180</v>
      </c>
      <c r="D377" s="635" t="s">
        <v>191</v>
      </c>
      <c r="E377" s="636" t="s">
        <v>303</v>
      </c>
      <c r="F377" s="636"/>
      <c r="G377" s="638" t="s">
        <v>1055</v>
      </c>
      <c r="H377" s="3"/>
    </row>
    <row r="378" spans="1:8" ht="15" customHeight="1">
      <c r="A378" s="646" t="s">
        <v>3826</v>
      </c>
      <c r="B378" s="641" t="s">
        <v>3825</v>
      </c>
      <c r="C378" s="635" t="s">
        <v>180</v>
      </c>
      <c r="D378" s="635" t="s">
        <v>191</v>
      </c>
      <c r="E378" s="636" t="s">
        <v>303</v>
      </c>
      <c r="F378" s="636"/>
      <c r="G378" s="638" t="s">
        <v>1055</v>
      </c>
      <c r="H378" s="3"/>
    </row>
    <row r="379" spans="1:8" ht="15" customHeight="1">
      <c r="A379" s="646" t="s">
        <v>1097</v>
      </c>
      <c r="B379" s="634" t="s">
        <v>1332</v>
      </c>
      <c r="C379" s="635" t="s">
        <v>180</v>
      </c>
      <c r="D379" s="635" t="s">
        <v>189</v>
      </c>
      <c r="E379" s="636" t="s">
        <v>303</v>
      </c>
      <c r="F379" s="636"/>
      <c r="G379" s="636" t="s">
        <v>2</v>
      </c>
      <c r="H379" s="3"/>
    </row>
    <row r="380" spans="1:8" ht="15" customHeight="1">
      <c r="A380" s="646" t="s">
        <v>2182</v>
      </c>
      <c r="B380" s="641" t="s">
        <v>1096</v>
      </c>
      <c r="C380" s="635" t="s">
        <v>180</v>
      </c>
      <c r="D380" s="635" t="s">
        <v>188</v>
      </c>
      <c r="E380" s="636" t="s">
        <v>303</v>
      </c>
      <c r="F380" s="636"/>
      <c r="G380" s="638" t="s">
        <v>1055</v>
      </c>
      <c r="H380" s="3"/>
    </row>
    <row r="381" spans="1:8" ht="15" customHeight="1">
      <c r="A381" s="634" t="s">
        <v>2185</v>
      </c>
      <c r="B381" s="634" t="s">
        <v>670</v>
      </c>
      <c r="C381" s="635"/>
      <c r="D381" s="635"/>
      <c r="E381" s="642"/>
      <c r="F381" s="636"/>
      <c r="G381" s="638" t="s">
        <v>761</v>
      </c>
      <c r="H381" s="3"/>
    </row>
    <row r="382" spans="1:8" ht="15" customHeight="1">
      <c r="A382" s="646" t="s">
        <v>1100</v>
      </c>
      <c r="B382" s="641" t="s">
        <v>1098</v>
      </c>
      <c r="C382" s="635" t="s">
        <v>92</v>
      </c>
      <c r="D382" s="635" t="s">
        <v>111</v>
      </c>
      <c r="E382" s="636" t="s">
        <v>303</v>
      </c>
      <c r="F382" s="636"/>
      <c r="G382" s="638" t="s">
        <v>2</v>
      </c>
      <c r="H382" s="3"/>
    </row>
    <row r="383" spans="1:8" ht="15" customHeight="1">
      <c r="A383" s="646" t="s">
        <v>1102</v>
      </c>
      <c r="B383" s="641" t="s">
        <v>1101</v>
      </c>
      <c r="C383" s="635" t="s">
        <v>92</v>
      </c>
      <c r="D383" s="635" t="s">
        <v>112</v>
      </c>
      <c r="E383" s="636" t="s">
        <v>303</v>
      </c>
      <c r="F383" s="636"/>
      <c r="G383" s="638" t="s">
        <v>1055</v>
      </c>
      <c r="H383" s="3"/>
    </row>
    <row r="384" spans="1:8" ht="15" customHeight="1">
      <c r="A384" s="646" t="s">
        <v>1104</v>
      </c>
      <c r="B384" s="641" t="s">
        <v>1103</v>
      </c>
      <c r="C384" s="635" t="s">
        <v>92</v>
      </c>
      <c r="D384" s="635" t="s">
        <v>114</v>
      </c>
      <c r="E384" s="636" t="s">
        <v>303</v>
      </c>
      <c r="F384" s="636"/>
      <c r="G384" s="638" t="s">
        <v>1055</v>
      </c>
      <c r="H384" s="3"/>
    </row>
    <row r="385" spans="1:8" ht="15" customHeight="1">
      <c r="A385" s="646" t="s">
        <v>1106</v>
      </c>
      <c r="B385" s="641" t="s">
        <v>1105</v>
      </c>
      <c r="C385" s="635" t="s">
        <v>92</v>
      </c>
      <c r="D385" s="635" t="s">
        <v>115</v>
      </c>
      <c r="E385" s="636" t="s">
        <v>303</v>
      </c>
      <c r="F385" s="636"/>
      <c r="G385" s="638" t="s">
        <v>1055</v>
      </c>
      <c r="H385" s="3"/>
    </row>
    <row r="386" spans="1:8" ht="15" customHeight="1">
      <c r="A386" s="634" t="s">
        <v>1108</v>
      </c>
      <c r="B386" s="634" t="s">
        <v>1107</v>
      </c>
      <c r="C386" s="635" t="s">
        <v>92</v>
      </c>
      <c r="D386" s="635" t="s">
        <v>117</v>
      </c>
      <c r="E386" s="636" t="s">
        <v>303</v>
      </c>
      <c r="F386" s="636"/>
      <c r="G386" s="638" t="s">
        <v>1055</v>
      </c>
      <c r="H386" s="3"/>
    </row>
    <row r="387" spans="1:8" ht="15" customHeight="1">
      <c r="A387" s="646" t="s">
        <v>1110</v>
      </c>
      <c r="B387" s="641" t="s">
        <v>1109</v>
      </c>
      <c r="C387" s="635" t="s">
        <v>92</v>
      </c>
      <c r="D387" s="635" t="s">
        <v>113</v>
      </c>
      <c r="E387" s="636" t="s">
        <v>303</v>
      </c>
      <c r="F387" s="636"/>
      <c r="G387" s="638" t="s">
        <v>1055</v>
      </c>
      <c r="H387" s="3"/>
    </row>
    <row r="388" spans="1:8" ht="15" customHeight="1">
      <c r="A388" s="634" t="s">
        <v>1112</v>
      </c>
      <c r="B388" s="634" t="s">
        <v>1111</v>
      </c>
      <c r="C388" s="635" t="s">
        <v>92</v>
      </c>
      <c r="D388" s="635" t="s">
        <v>116</v>
      </c>
      <c r="E388" s="636" t="s">
        <v>303</v>
      </c>
      <c r="F388" s="636"/>
      <c r="G388" s="638" t="s">
        <v>2</v>
      </c>
      <c r="H388" s="3"/>
    </row>
    <row r="389" spans="1:8" ht="15" customHeight="1">
      <c r="A389" s="646" t="s">
        <v>2202</v>
      </c>
      <c r="B389" s="641" t="s">
        <v>1113</v>
      </c>
      <c r="C389" s="635" t="s">
        <v>92</v>
      </c>
      <c r="D389" s="635" t="s">
        <v>116</v>
      </c>
      <c r="E389" s="636" t="s">
        <v>303</v>
      </c>
      <c r="F389" s="636"/>
      <c r="G389" s="638" t="s">
        <v>2</v>
      </c>
      <c r="H389" s="3"/>
    </row>
    <row r="390" spans="1:8" ht="15" customHeight="1">
      <c r="A390" s="646" t="s">
        <v>1115</v>
      </c>
      <c r="B390" s="641" t="s">
        <v>1114</v>
      </c>
      <c r="C390" s="635" t="s">
        <v>92</v>
      </c>
      <c r="D390" s="635" t="s">
        <v>204</v>
      </c>
      <c r="E390" s="636" t="s">
        <v>303</v>
      </c>
      <c r="F390" s="636"/>
      <c r="G390" s="638" t="s">
        <v>1055</v>
      </c>
      <c r="H390" s="3"/>
    </row>
    <row r="391" spans="1:8" ht="15" customHeight="1">
      <c r="A391" s="634" t="s">
        <v>1117</v>
      </c>
      <c r="B391" s="634" t="s">
        <v>1116</v>
      </c>
      <c r="C391" s="635" t="s">
        <v>92</v>
      </c>
      <c r="D391" s="635" t="s">
        <v>120</v>
      </c>
      <c r="E391" s="636" t="s">
        <v>303</v>
      </c>
      <c r="F391" s="636"/>
      <c r="G391" s="638" t="s">
        <v>1055</v>
      </c>
      <c r="H391" s="3"/>
    </row>
    <row r="392" spans="1:8" ht="15" customHeight="1">
      <c r="A392" s="646" t="s">
        <v>1119</v>
      </c>
      <c r="B392" s="641" t="s">
        <v>1118</v>
      </c>
      <c r="C392" s="635" t="s">
        <v>92</v>
      </c>
      <c r="D392" s="635" t="s">
        <v>121</v>
      </c>
      <c r="E392" s="636" t="s">
        <v>303</v>
      </c>
      <c r="F392" s="636"/>
      <c r="G392" s="638" t="s">
        <v>1055</v>
      </c>
      <c r="H392" s="3"/>
    </row>
    <row r="393" spans="1:8" ht="15" customHeight="1">
      <c r="A393" s="634" t="s">
        <v>1121</v>
      </c>
      <c r="B393" s="634" t="s">
        <v>1120</v>
      </c>
      <c r="C393" s="635" t="s">
        <v>92</v>
      </c>
      <c r="D393" s="635" t="s">
        <v>122</v>
      </c>
      <c r="E393" s="636" t="s">
        <v>303</v>
      </c>
      <c r="F393" s="636"/>
      <c r="G393" s="638" t="s">
        <v>2</v>
      </c>
      <c r="H393" s="3"/>
    </row>
    <row r="394" spans="1:8" ht="15" customHeight="1">
      <c r="A394" s="646" t="s">
        <v>1123</v>
      </c>
      <c r="B394" s="641" t="s">
        <v>1122</v>
      </c>
      <c r="C394" s="635" t="s">
        <v>92</v>
      </c>
      <c r="D394" s="635" t="s">
        <v>124</v>
      </c>
      <c r="E394" s="636" t="s">
        <v>303</v>
      </c>
      <c r="F394" s="636"/>
      <c r="G394" s="638" t="s">
        <v>1055</v>
      </c>
      <c r="H394" s="3"/>
    </row>
    <row r="395" spans="1:8" ht="15" customHeight="1">
      <c r="A395" s="646" t="s">
        <v>1125</v>
      </c>
      <c r="B395" s="641" t="s">
        <v>1124</v>
      </c>
      <c r="C395" s="635" t="s">
        <v>92</v>
      </c>
      <c r="D395" s="635" t="s">
        <v>127</v>
      </c>
      <c r="E395" s="636" t="s">
        <v>303</v>
      </c>
      <c r="F395" s="636"/>
      <c r="G395" s="638" t="s">
        <v>1055</v>
      </c>
      <c r="H395" s="3"/>
    </row>
    <row r="396" spans="1:8" ht="15" customHeight="1">
      <c r="A396" s="646" t="s">
        <v>1127</v>
      </c>
      <c r="B396" s="641" t="s">
        <v>1126</v>
      </c>
      <c r="C396" s="635" t="s">
        <v>92</v>
      </c>
      <c r="D396" s="635" t="s">
        <v>125</v>
      </c>
      <c r="E396" s="636" t="s">
        <v>303</v>
      </c>
      <c r="F396" s="636"/>
      <c r="G396" s="638" t="s">
        <v>1055</v>
      </c>
      <c r="H396" s="4"/>
    </row>
    <row r="397" spans="1:8" ht="15" customHeight="1">
      <c r="A397" s="646" t="s">
        <v>1129</v>
      </c>
      <c r="B397" s="641" t="s">
        <v>1333</v>
      </c>
      <c r="C397" s="635" t="s">
        <v>92</v>
      </c>
      <c r="D397" s="635" t="s">
        <v>126</v>
      </c>
      <c r="E397" s="636" t="s">
        <v>303</v>
      </c>
      <c r="F397" s="636"/>
      <c r="G397" s="638" t="s">
        <v>1055</v>
      </c>
      <c r="H397" s="4"/>
    </row>
    <row r="398" spans="1:8" ht="15" customHeight="1">
      <c r="A398" s="634" t="s">
        <v>1131</v>
      </c>
      <c r="B398" s="634" t="s">
        <v>1130</v>
      </c>
      <c r="C398" s="635" t="s">
        <v>92</v>
      </c>
      <c r="D398" s="635" t="s">
        <v>126</v>
      </c>
      <c r="E398" s="636" t="s">
        <v>303</v>
      </c>
      <c r="F398" s="636"/>
      <c r="G398" s="638" t="s">
        <v>1055</v>
      </c>
      <c r="H398" s="3"/>
    </row>
    <row r="399" spans="1:8" ht="15" customHeight="1">
      <c r="A399" s="646" t="s">
        <v>2221</v>
      </c>
      <c r="B399" s="644" t="s">
        <v>744</v>
      </c>
      <c r="C399" s="635"/>
      <c r="D399" s="635"/>
      <c r="E399" s="636" t="s">
        <v>303</v>
      </c>
      <c r="F399" s="636"/>
      <c r="G399" s="638" t="s">
        <v>761</v>
      </c>
      <c r="H399" s="3"/>
    </row>
    <row r="400" spans="1:8" ht="15" customHeight="1">
      <c r="A400" s="634" t="s">
        <v>1133</v>
      </c>
      <c r="B400" s="634" t="s">
        <v>1132</v>
      </c>
      <c r="C400" s="635" t="s">
        <v>92</v>
      </c>
      <c r="D400" s="635" t="s">
        <v>135</v>
      </c>
      <c r="E400" s="636" t="s">
        <v>303</v>
      </c>
      <c r="F400" s="636"/>
      <c r="G400" s="638" t="s">
        <v>1055</v>
      </c>
      <c r="H400" s="3"/>
    </row>
    <row r="401" spans="1:8" ht="15" customHeight="1">
      <c r="A401" s="634" t="s">
        <v>1135</v>
      </c>
      <c r="B401" s="641" t="s">
        <v>1134</v>
      </c>
      <c r="C401" s="635" t="s">
        <v>92</v>
      </c>
      <c r="D401" s="635" t="s">
        <v>136</v>
      </c>
      <c r="E401" s="636" t="s">
        <v>303</v>
      </c>
      <c r="F401" s="636"/>
      <c r="G401" s="638" t="e">
        <v>#N/A</v>
      </c>
      <c r="H401" s="3"/>
    </row>
    <row r="402" spans="1:8" ht="15" customHeight="1">
      <c r="A402" s="634" t="s">
        <v>1137</v>
      </c>
      <c r="B402" s="641" t="s">
        <v>1136</v>
      </c>
      <c r="C402" s="635" t="s">
        <v>92</v>
      </c>
      <c r="D402" s="635" t="s">
        <v>141</v>
      </c>
      <c r="E402" s="636" t="s">
        <v>303</v>
      </c>
      <c r="F402" s="636"/>
      <c r="G402" s="638" t="e">
        <v>#N/A</v>
      </c>
      <c r="H402" s="3"/>
    </row>
    <row r="403" spans="1:8" ht="15" customHeight="1">
      <c r="A403" s="646" t="s">
        <v>1139</v>
      </c>
      <c r="B403" s="641" t="s">
        <v>1138</v>
      </c>
      <c r="C403" s="635" t="s">
        <v>92</v>
      </c>
      <c r="D403" s="635" t="s">
        <v>131</v>
      </c>
      <c r="E403" s="636" t="s">
        <v>303</v>
      </c>
      <c r="F403" s="636"/>
      <c r="G403" s="638" t="s">
        <v>1055</v>
      </c>
      <c r="H403" s="3"/>
    </row>
    <row r="404" spans="1:8" ht="15" customHeight="1">
      <c r="A404" s="634" t="s">
        <v>1141</v>
      </c>
      <c r="B404" s="634" t="s">
        <v>1140</v>
      </c>
      <c r="C404" s="635" t="s">
        <v>92</v>
      </c>
      <c r="D404" s="635" t="s">
        <v>139</v>
      </c>
      <c r="E404" s="636" t="s">
        <v>303</v>
      </c>
      <c r="F404" s="636"/>
      <c r="G404" s="638" t="s">
        <v>1055</v>
      </c>
      <c r="H404" s="3"/>
    </row>
    <row r="405" spans="1:8" ht="15" customHeight="1">
      <c r="A405" s="646" t="s">
        <v>1153</v>
      </c>
      <c r="B405" s="644" t="s">
        <v>745</v>
      </c>
      <c r="C405" s="635"/>
      <c r="D405" s="635"/>
      <c r="E405" s="636" t="s">
        <v>303</v>
      </c>
      <c r="F405" s="636"/>
      <c r="G405" s="638" t="s">
        <v>761</v>
      </c>
      <c r="H405" s="3"/>
    </row>
    <row r="406" spans="1:8" ht="15" customHeight="1">
      <c r="A406" s="634" t="s">
        <v>1143</v>
      </c>
      <c r="B406" s="634" t="s">
        <v>1142</v>
      </c>
      <c r="C406" s="635" t="s">
        <v>92</v>
      </c>
      <c r="D406" s="635" t="s">
        <v>132</v>
      </c>
      <c r="E406" s="636" t="s">
        <v>303</v>
      </c>
      <c r="F406" s="636"/>
      <c r="G406" s="638" t="s">
        <v>1055</v>
      </c>
      <c r="H406" s="3"/>
    </row>
    <row r="407" spans="1:8" ht="15" customHeight="1">
      <c r="A407" s="646" t="s">
        <v>1145</v>
      </c>
      <c r="B407" s="634" t="s">
        <v>1144</v>
      </c>
      <c r="C407" s="635" t="s">
        <v>92</v>
      </c>
      <c r="D407" s="635" t="s">
        <v>137</v>
      </c>
      <c r="E407" s="636" t="s">
        <v>303</v>
      </c>
      <c r="F407" s="636"/>
      <c r="G407" s="638" t="s">
        <v>1055</v>
      </c>
      <c r="H407" s="3"/>
    </row>
    <row r="408" spans="1:8" ht="15" customHeight="1">
      <c r="A408" s="634" t="s">
        <v>1147</v>
      </c>
      <c r="B408" s="634" t="s">
        <v>1146</v>
      </c>
      <c r="C408" s="635" t="s">
        <v>92</v>
      </c>
      <c r="D408" s="635" t="s">
        <v>138</v>
      </c>
      <c r="E408" s="636" t="s">
        <v>303</v>
      </c>
      <c r="F408" s="636"/>
      <c r="G408" s="638" t="s">
        <v>1055</v>
      </c>
      <c r="H408" s="3"/>
    </row>
    <row r="409" spans="1:8" ht="15" customHeight="1">
      <c r="A409" s="646" t="s">
        <v>1149</v>
      </c>
      <c r="B409" s="634" t="s">
        <v>1148</v>
      </c>
      <c r="C409" s="635" t="s">
        <v>92</v>
      </c>
      <c r="D409" s="635" t="s">
        <v>140</v>
      </c>
      <c r="E409" s="636" t="s">
        <v>303</v>
      </c>
      <c r="F409" s="636"/>
      <c r="G409" s="638" t="s">
        <v>1055</v>
      </c>
      <c r="H409" s="3"/>
    </row>
    <row r="410" spans="1:8" ht="15" customHeight="1">
      <c r="A410" s="634" t="s">
        <v>1151</v>
      </c>
      <c r="B410" s="634" t="s">
        <v>1150</v>
      </c>
      <c r="C410" s="635" t="s">
        <v>92</v>
      </c>
      <c r="D410" s="635" t="s">
        <v>133</v>
      </c>
      <c r="E410" s="636" t="s">
        <v>303</v>
      </c>
      <c r="F410" s="636"/>
      <c r="G410" s="638" t="s">
        <v>1055</v>
      </c>
      <c r="H410" s="3"/>
    </row>
    <row r="411" spans="1:8" ht="15" customHeight="1">
      <c r="A411" s="634" t="s">
        <v>3332</v>
      </c>
      <c r="B411" s="634" t="s">
        <v>1152</v>
      </c>
      <c r="C411" s="635" t="s">
        <v>92</v>
      </c>
      <c r="D411" s="635" t="s">
        <v>142</v>
      </c>
      <c r="E411" s="636" t="s">
        <v>303</v>
      </c>
      <c r="F411" s="636"/>
      <c r="G411" s="638" t="e">
        <v>#N/A</v>
      </c>
      <c r="H411" s="3"/>
    </row>
    <row r="412" spans="1:8" ht="15" customHeight="1">
      <c r="A412" s="646" t="s">
        <v>1155</v>
      </c>
      <c r="B412" s="641" t="s">
        <v>1154</v>
      </c>
      <c r="C412" s="635" t="s">
        <v>92</v>
      </c>
      <c r="D412" s="635" t="s">
        <v>134</v>
      </c>
      <c r="E412" s="636" t="s">
        <v>303</v>
      </c>
      <c r="F412" s="636"/>
      <c r="G412" s="638" t="s">
        <v>1055</v>
      </c>
      <c r="H412" s="3"/>
    </row>
    <row r="413" spans="1:8" ht="15" customHeight="1">
      <c r="A413" s="646" t="s">
        <v>1157</v>
      </c>
      <c r="B413" s="641" t="s">
        <v>1156</v>
      </c>
      <c r="C413" s="635" t="s">
        <v>92</v>
      </c>
      <c r="D413" s="635" t="s">
        <v>221</v>
      </c>
      <c r="E413" s="636" t="s">
        <v>303</v>
      </c>
      <c r="F413" s="636"/>
      <c r="G413" s="638" t="e">
        <v>#N/A</v>
      </c>
      <c r="H413" s="3"/>
    </row>
    <row r="414" spans="1:8" ht="15" customHeight="1">
      <c r="A414" s="646" t="s">
        <v>2249</v>
      </c>
      <c r="B414" s="641" t="s">
        <v>1334</v>
      </c>
      <c r="C414" s="635" t="s">
        <v>92</v>
      </c>
      <c r="D414" s="635" t="s">
        <v>213</v>
      </c>
      <c r="E414" s="636" t="s">
        <v>303</v>
      </c>
      <c r="F414" s="636"/>
      <c r="G414" s="636" t="s">
        <v>1099</v>
      </c>
      <c r="H414" s="3"/>
    </row>
    <row r="415" spans="1:8" ht="15" customHeight="1">
      <c r="A415" s="646" t="s">
        <v>1159</v>
      </c>
      <c r="B415" s="641" t="s">
        <v>1158</v>
      </c>
      <c r="C415" s="635" t="s">
        <v>92</v>
      </c>
      <c r="D415" s="635" t="s">
        <v>210</v>
      </c>
      <c r="E415" s="636" t="s">
        <v>303</v>
      </c>
      <c r="F415" s="636"/>
      <c r="G415" s="638" t="s">
        <v>1099</v>
      </c>
      <c r="H415" s="3"/>
    </row>
    <row r="416" spans="1:8" ht="15" customHeight="1">
      <c r="A416" s="634" t="s">
        <v>1161</v>
      </c>
      <c r="B416" s="634" t="s">
        <v>1160</v>
      </c>
      <c r="C416" s="635" t="s">
        <v>92</v>
      </c>
      <c r="D416" s="635" t="s">
        <v>205</v>
      </c>
      <c r="E416" s="636" t="s">
        <v>303</v>
      </c>
      <c r="F416" s="636"/>
      <c r="G416" s="638" t="s">
        <v>1099</v>
      </c>
      <c r="H416" s="3"/>
    </row>
    <row r="417" spans="1:12" ht="15" customHeight="1">
      <c r="A417" s="646" t="s">
        <v>1163</v>
      </c>
      <c r="B417" s="641" t="s">
        <v>1162</v>
      </c>
      <c r="C417" s="635" t="s">
        <v>92</v>
      </c>
      <c r="D417" s="635" t="s">
        <v>209</v>
      </c>
      <c r="E417" s="636" t="s">
        <v>303</v>
      </c>
      <c r="F417" s="636"/>
      <c r="G417" s="638" t="s">
        <v>1099</v>
      </c>
      <c r="H417" s="3"/>
    </row>
    <row r="418" spans="1:12" ht="15" customHeight="1">
      <c r="A418" s="634" t="s">
        <v>1165</v>
      </c>
      <c r="B418" s="634" t="s">
        <v>1164</v>
      </c>
      <c r="C418" s="635" t="s">
        <v>92</v>
      </c>
      <c r="D418" s="635" t="s">
        <v>206</v>
      </c>
      <c r="E418" s="636" t="s">
        <v>303</v>
      </c>
      <c r="F418" s="636"/>
      <c r="G418" s="638" t="s">
        <v>1099</v>
      </c>
      <c r="H418" s="3"/>
    </row>
    <row r="419" spans="1:12" ht="15" customHeight="1">
      <c r="A419" s="646" t="s">
        <v>1167</v>
      </c>
      <c r="B419" s="634" t="s">
        <v>1166</v>
      </c>
      <c r="C419" s="635" t="s">
        <v>92</v>
      </c>
      <c r="D419" s="635" t="s">
        <v>207</v>
      </c>
      <c r="E419" s="636" t="s">
        <v>303</v>
      </c>
      <c r="F419" s="636"/>
      <c r="G419" s="638" t="s">
        <v>1099</v>
      </c>
      <c r="H419" s="3"/>
    </row>
    <row r="420" spans="1:12" ht="15" customHeight="1">
      <c r="A420" s="634" t="s">
        <v>1169</v>
      </c>
      <c r="B420" s="634" t="s">
        <v>1168</v>
      </c>
      <c r="C420" s="635" t="s">
        <v>92</v>
      </c>
      <c r="D420" s="635" t="s">
        <v>211</v>
      </c>
      <c r="E420" s="636" t="s">
        <v>303</v>
      </c>
      <c r="F420" s="636"/>
      <c r="G420" s="638" t="s">
        <v>1099</v>
      </c>
      <c r="H420" s="3"/>
    </row>
    <row r="421" spans="1:12" ht="15" customHeight="1">
      <c r="A421" s="634" t="s">
        <v>3333</v>
      </c>
      <c r="B421" s="634" t="s">
        <v>1335</v>
      </c>
      <c r="C421" s="635" t="s">
        <v>92</v>
      </c>
      <c r="D421" s="635" t="s">
        <v>214</v>
      </c>
      <c r="E421" s="636" t="s">
        <v>303</v>
      </c>
      <c r="F421" s="636"/>
      <c r="G421" s="636" t="s">
        <v>1099</v>
      </c>
      <c r="H421" s="3"/>
    </row>
    <row r="422" spans="1:12" ht="15" customHeight="1">
      <c r="A422" s="646" t="s">
        <v>2264</v>
      </c>
      <c r="B422" s="644" t="s">
        <v>1170</v>
      </c>
      <c r="C422" s="635" t="s">
        <v>152</v>
      </c>
      <c r="D422" s="635" t="s">
        <v>111</v>
      </c>
      <c r="E422" s="636" t="s">
        <v>303</v>
      </c>
      <c r="F422" s="636"/>
      <c r="G422" s="638" t="s">
        <v>1099</v>
      </c>
      <c r="H422" s="3"/>
    </row>
    <row r="423" spans="1:12" ht="15" customHeight="1">
      <c r="A423" s="646" t="s">
        <v>2267</v>
      </c>
      <c r="B423" s="644" t="s">
        <v>1101</v>
      </c>
      <c r="C423" s="635" t="s">
        <v>152</v>
      </c>
      <c r="D423" s="635" t="s">
        <v>112</v>
      </c>
      <c r="E423" s="636" t="s">
        <v>303</v>
      </c>
      <c r="F423" s="636"/>
      <c r="G423" s="638" t="s">
        <v>1099</v>
      </c>
      <c r="H423" s="3"/>
    </row>
    <row r="424" spans="1:12" ht="15" customHeight="1">
      <c r="A424" s="634" t="s">
        <v>2270</v>
      </c>
      <c r="B424" s="634" t="s">
        <v>1171</v>
      </c>
      <c r="C424" s="635" t="s">
        <v>152</v>
      </c>
      <c r="D424" s="635" t="s">
        <v>114</v>
      </c>
      <c r="E424" s="636" t="s">
        <v>303</v>
      </c>
      <c r="F424" s="636"/>
      <c r="G424" s="638" t="s">
        <v>1099</v>
      </c>
      <c r="H424" s="3"/>
    </row>
    <row r="425" spans="1:12" ht="15" customHeight="1">
      <c r="A425" s="646" t="s">
        <v>2273</v>
      </c>
      <c r="B425" s="644" t="s">
        <v>1105</v>
      </c>
      <c r="C425" s="635" t="s">
        <v>152</v>
      </c>
      <c r="D425" s="635" t="s">
        <v>115</v>
      </c>
      <c r="E425" s="636" t="s">
        <v>303</v>
      </c>
      <c r="F425" s="636"/>
      <c r="G425" s="638" t="s">
        <v>1099</v>
      </c>
      <c r="H425" s="3"/>
    </row>
    <row r="426" spans="1:12" ht="15" customHeight="1">
      <c r="A426" s="634" t="s">
        <v>2276</v>
      </c>
      <c r="B426" s="634" t="s">
        <v>1107</v>
      </c>
      <c r="C426" s="635" t="s">
        <v>152</v>
      </c>
      <c r="D426" s="635" t="s">
        <v>117</v>
      </c>
      <c r="E426" s="636" t="s">
        <v>303</v>
      </c>
      <c r="F426" s="636"/>
      <c r="G426" s="638" t="s">
        <v>1099</v>
      </c>
      <c r="H426" s="3"/>
    </row>
    <row r="427" spans="1:12" ht="15" customHeight="1">
      <c r="A427" s="646" t="s">
        <v>2279</v>
      </c>
      <c r="B427" s="644" t="s">
        <v>1109</v>
      </c>
      <c r="C427" s="635" t="s">
        <v>152</v>
      </c>
      <c r="D427" s="635" t="s">
        <v>113</v>
      </c>
      <c r="E427" s="636" t="s">
        <v>303</v>
      </c>
      <c r="F427" s="636"/>
      <c r="G427" s="638" t="s">
        <v>1099</v>
      </c>
      <c r="H427" s="3"/>
      <c r="L427" s="3"/>
    </row>
    <row r="428" spans="1:12" ht="15" customHeight="1">
      <c r="A428" s="634" t="s">
        <v>2282</v>
      </c>
      <c r="B428" s="634" t="s">
        <v>746</v>
      </c>
      <c r="C428" s="635"/>
      <c r="D428" s="635"/>
      <c r="E428" s="636" t="s">
        <v>303</v>
      </c>
      <c r="F428" s="636"/>
      <c r="G428" s="638" t="s">
        <v>761</v>
      </c>
      <c r="H428" s="3"/>
      <c r="L428" s="3"/>
    </row>
    <row r="429" spans="1:12" ht="15" customHeight="1">
      <c r="A429" s="646" t="s">
        <v>2285</v>
      </c>
      <c r="B429" s="644" t="s">
        <v>1111</v>
      </c>
      <c r="C429" s="635" t="s">
        <v>152</v>
      </c>
      <c r="D429" s="635" t="s">
        <v>116</v>
      </c>
      <c r="E429" s="636" t="s">
        <v>303</v>
      </c>
      <c r="F429" s="636"/>
      <c r="G429" s="638" t="s">
        <v>1099</v>
      </c>
      <c r="H429" s="3"/>
    </row>
    <row r="430" spans="1:12" ht="15" customHeight="1">
      <c r="A430" s="634" t="s">
        <v>2288</v>
      </c>
      <c r="B430" s="634" t="s">
        <v>1172</v>
      </c>
      <c r="C430" s="635" t="s">
        <v>152</v>
      </c>
      <c r="D430" s="635" t="s">
        <v>116</v>
      </c>
      <c r="E430" s="636" t="s">
        <v>303</v>
      </c>
      <c r="F430" s="636"/>
      <c r="G430" s="638" t="s">
        <v>1099</v>
      </c>
      <c r="H430" s="3"/>
    </row>
    <row r="431" spans="1:12" ht="15" customHeight="1">
      <c r="A431" s="646" t="s">
        <v>2291</v>
      </c>
      <c r="B431" s="644" t="s">
        <v>747</v>
      </c>
      <c r="C431" s="635"/>
      <c r="D431" s="635"/>
      <c r="E431" s="636" t="s">
        <v>303</v>
      </c>
      <c r="F431" s="636"/>
      <c r="G431" s="638" t="s">
        <v>761</v>
      </c>
      <c r="H431" s="3"/>
    </row>
    <row r="432" spans="1:12" ht="15" customHeight="1">
      <c r="A432" s="634" t="s">
        <v>2294</v>
      </c>
      <c r="B432" s="644" t="s">
        <v>1114</v>
      </c>
      <c r="C432" s="635" t="s">
        <v>152</v>
      </c>
      <c r="D432" s="635" t="s">
        <v>204</v>
      </c>
      <c r="E432" s="636" t="s">
        <v>303</v>
      </c>
      <c r="F432" s="636"/>
      <c r="G432" s="638" t="s">
        <v>1099</v>
      </c>
      <c r="H432" s="3"/>
    </row>
    <row r="433" spans="1:8" ht="15" customHeight="1">
      <c r="A433" s="646" t="s">
        <v>2297</v>
      </c>
      <c r="B433" s="644" t="s">
        <v>1116</v>
      </c>
      <c r="C433" s="635" t="s">
        <v>152</v>
      </c>
      <c r="D433" s="635" t="s">
        <v>120</v>
      </c>
      <c r="E433" s="636" t="s">
        <v>303</v>
      </c>
      <c r="F433" s="636"/>
      <c r="G433" s="638" t="s">
        <v>2</v>
      </c>
      <c r="H433" s="3"/>
    </row>
    <row r="434" spans="1:8" ht="15" customHeight="1">
      <c r="A434" s="646" t="s">
        <v>2300</v>
      </c>
      <c r="B434" s="644" t="s">
        <v>1118</v>
      </c>
      <c r="C434" s="635" t="s">
        <v>152</v>
      </c>
      <c r="D434" s="635" t="s">
        <v>121</v>
      </c>
      <c r="E434" s="636" t="s">
        <v>303</v>
      </c>
      <c r="F434" s="636"/>
      <c r="G434" s="638" t="s">
        <v>1099</v>
      </c>
      <c r="H434" s="3"/>
    </row>
    <row r="435" spans="1:8" ht="15" customHeight="1">
      <c r="A435" s="646" t="s">
        <v>2303</v>
      </c>
      <c r="B435" s="644" t="s">
        <v>1173</v>
      </c>
      <c r="C435" s="635" t="s">
        <v>152</v>
      </c>
      <c r="D435" s="635" t="s">
        <v>122</v>
      </c>
      <c r="E435" s="636" t="s">
        <v>303</v>
      </c>
      <c r="F435" s="636"/>
      <c r="G435" s="638" t="e">
        <v>#N/A</v>
      </c>
      <c r="H435" s="3"/>
    </row>
    <row r="436" spans="1:8" ht="15" customHeight="1">
      <c r="A436" s="646" t="s">
        <v>2304</v>
      </c>
      <c r="B436" s="644" t="s">
        <v>1174</v>
      </c>
      <c r="C436" s="635" t="s">
        <v>152</v>
      </c>
      <c r="D436" s="635" t="s">
        <v>124</v>
      </c>
      <c r="E436" s="636" t="s">
        <v>303</v>
      </c>
      <c r="F436" s="636"/>
      <c r="G436" s="638" t="s">
        <v>1099</v>
      </c>
      <c r="H436" s="3"/>
    </row>
    <row r="437" spans="1:8" ht="15" customHeight="1">
      <c r="A437" s="646" t="s">
        <v>2307</v>
      </c>
      <c r="B437" s="644" t="s">
        <v>1124</v>
      </c>
      <c r="C437" s="635" t="s">
        <v>152</v>
      </c>
      <c r="D437" s="635" t="s">
        <v>127</v>
      </c>
      <c r="E437" s="636" t="s">
        <v>303</v>
      </c>
      <c r="F437" s="636"/>
      <c r="G437" s="638" t="s">
        <v>1099</v>
      </c>
      <c r="H437" s="3"/>
    </row>
    <row r="438" spans="1:8" ht="15" customHeight="1">
      <c r="A438" s="646" t="s">
        <v>2310</v>
      </c>
      <c r="B438" s="644" t="s">
        <v>1126</v>
      </c>
      <c r="C438" s="635" t="s">
        <v>152</v>
      </c>
      <c r="D438" s="635" t="s">
        <v>125</v>
      </c>
      <c r="E438" s="636" t="s">
        <v>303</v>
      </c>
      <c r="F438" s="636"/>
      <c r="G438" s="638" t="s">
        <v>1099</v>
      </c>
      <c r="H438" s="3"/>
    </row>
    <row r="439" spans="1:8" ht="15" customHeight="1">
      <c r="A439" s="646" t="s">
        <v>3334</v>
      </c>
      <c r="B439" s="644" t="s">
        <v>1336</v>
      </c>
      <c r="C439" s="635" t="s">
        <v>152</v>
      </c>
      <c r="D439" s="635" t="s">
        <v>126</v>
      </c>
      <c r="E439" s="636" t="s">
        <v>303</v>
      </c>
      <c r="F439" s="636"/>
      <c r="G439" s="638" t="s">
        <v>2</v>
      </c>
      <c r="H439" s="3"/>
    </row>
    <row r="440" spans="1:8" ht="15" customHeight="1">
      <c r="A440" s="646" t="s">
        <v>2313</v>
      </c>
      <c r="B440" s="644" t="s">
        <v>1176</v>
      </c>
      <c r="C440" s="635" t="s">
        <v>152</v>
      </c>
      <c r="D440" s="635" t="s">
        <v>126</v>
      </c>
      <c r="E440" s="636" t="s">
        <v>303</v>
      </c>
      <c r="F440" s="636"/>
      <c r="G440" s="638" t="s">
        <v>1099</v>
      </c>
      <c r="H440" s="3"/>
    </row>
    <row r="441" spans="1:8" ht="15" customHeight="1">
      <c r="A441" s="646" t="s">
        <v>2316</v>
      </c>
      <c r="B441" s="644" t="s">
        <v>748</v>
      </c>
      <c r="C441" s="635"/>
      <c r="D441" s="635"/>
      <c r="E441" s="636" t="s">
        <v>303</v>
      </c>
      <c r="F441" s="636"/>
      <c r="G441" s="638" t="s">
        <v>761</v>
      </c>
      <c r="H441" s="3"/>
    </row>
    <row r="442" spans="1:8" ht="15" customHeight="1">
      <c r="A442" s="646" t="s">
        <v>2319</v>
      </c>
      <c r="B442" s="644" t="s">
        <v>1132</v>
      </c>
      <c r="C442" s="635" t="s">
        <v>152</v>
      </c>
      <c r="D442" s="635" t="s">
        <v>135</v>
      </c>
      <c r="E442" s="636" t="s">
        <v>303</v>
      </c>
      <c r="F442" s="636"/>
      <c r="G442" s="638" t="s">
        <v>1099</v>
      </c>
      <c r="H442" s="3"/>
    </row>
    <row r="443" spans="1:8" ht="15" customHeight="1">
      <c r="A443" s="646" t="s">
        <v>2321</v>
      </c>
      <c r="B443" s="644" t="s">
        <v>1134</v>
      </c>
      <c r="C443" s="635" t="s">
        <v>152</v>
      </c>
      <c r="D443" s="635" t="s">
        <v>136</v>
      </c>
      <c r="E443" s="636" t="s">
        <v>303</v>
      </c>
      <c r="F443" s="636"/>
      <c r="G443" s="636" t="s">
        <v>1099</v>
      </c>
      <c r="H443" s="3"/>
    </row>
    <row r="444" spans="1:8" ht="15" customHeight="1">
      <c r="A444" s="634" t="s">
        <v>2324</v>
      </c>
      <c r="B444" s="634" t="s">
        <v>1136</v>
      </c>
      <c r="C444" s="635" t="s">
        <v>152</v>
      </c>
      <c r="D444" s="635" t="s">
        <v>141</v>
      </c>
      <c r="E444" s="636" t="s">
        <v>303</v>
      </c>
      <c r="F444" s="636"/>
      <c r="G444" s="638" t="s">
        <v>1099</v>
      </c>
      <c r="H444" s="3"/>
    </row>
    <row r="445" spans="1:8" ht="15" customHeight="1">
      <c r="A445" s="646" t="s">
        <v>2327</v>
      </c>
      <c r="B445" s="644" t="s">
        <v>1138</v>
      </c>
      <c r="C445" s="635" t="s">
        <v>152</v>
      </c>
      <c r="D445" s="635" t="s">
        <v>131</v>
      </c>
      <c r="E445" s="636" t="s">
        <v>303</v>
      </c>
      <c r="F445" s="636"/>
      <c r="G445" s="638" t="s">
        <v>1099</v>
      </c>
      <c r="H445" s="3"/>
    </row>
    <row r="446" spans="1:8" ht="15" customHeight="1">
      <c r="A446" s="634" t="s">
        <v>2330</v>
      </c>
      <c r="B446" s="634" t="s">
        <v>1140</v>
      </c>
      <c r="C446" s="635" t="s">
        <v>152</v>
      </c>
      <c r="D446" s="635" t="s">
        <v>139</v>
      </c>
      <c r="E446" s="636" t="s">
        <v>303</v>
      </c>
      <c r="F446" s="642"/>
      <c r="G446" s="638" t="s">
        <v>1099</v>
      </c>
      <c r="H446" s="3"/>
    </row>
    <row r="447" spans="1:8" ht="15" customHeight="1">
      <c r="A447" s="646" t="s">
        <v>2333</v>
      </c>
      <c r="B447" s="644" t="s">
        <v>1142</v>
      </c>
      <c r="C447" s="635" t="s">
        <v>152</v>
      </c>
      <c r="D447" s="635" t="s">
        <v>132</v>
      </c>
      <c r="E447" s="636" t="s">
        <v>303</v>
      </c>
      <c r="F447" s="636"/>
      <c r="G447" s="638" t="s">
        <v>1099</v>
      </c>
      <c r="H447" s="3"/>
    </row>
    <row r="448" spans="1:8" ht="15" customHeight="1">
      <c r="A448" s="634" t="s">
        <v>2336</v>
      </c>
      <c r="B448" s="634" t="s">
        <v>1144</v>
      </c>
      <c r="C448" s="635" t="s">
        <v>152</v>
      </c>
      <c r="D448" s="635" t="s">
        <v>137</v>
      </c>
      <c r="E448" s="636" t="s">
        <v>303</v>
      </c>
      <c r="F448" s="636"/>
      <c r="G448" s="638" t="s">
        <v>1099</v>
      </c>
      <c r="H448" s="3"/>
    </row>
    <row r="449" spans="1:8" ht="15" customHeight="1">
      <c r="A449" s="646" t="s">
        <v>2339</v>
      </c>
      <c r="B449" s="644" t="s">
        <v>1146</v>
      </c>
      <c r="C449" s="635" t="s">
        <v>152</v>
      </c>
      <c r="D449" s="635" t="s">
        <v>138</v>
      </c>
      <c r="E449" s="636" t="s">
        <v>303</v>
      </c>
      <c r="F449" s="636"/>
      <c r="G449" s="638" t="e">
        <v>#N/A</v>
      </c>
      <c r="H449" s="3"/>
    </row>
    <row r="450" spans="1:8" ht="15" customHeight="1">
      <c r="A450" s="646" t="s">
        <v>2342</v>
      </c>
      <c r="B450" s="634" t="s">
        <v>1148</v>
      </c>
      <c r="C450" s="635" t="s">
        <v>152</v>
      </c>
      <c r="D450" s="635" t="s">
        <v>140</v>
      </c>
      <c r="E450" s="636" t="s">
        <v>303</v>
      </c>
      <c r="F450" s="636"/>
      <c r="G450" s="638" t="s">
        <v>1099</v>
      </c>
      <c r="H450" s="3"/>
    </row>
    <row r="451" spans="1:8" ht="15" customHeight="1">
      <c r="A451" s="646" t="s">
        <v>2345</v>
      </c>
      <c r="B451" s="644" t="s">
        <v>1177</v>
      </c>
      <c r="C451" s="635" t="s">
        <v>152</v>
      </c>
      <c r="D451" s="635" t="s">
        <v>133</v>
      </c>
      <c r="E451" s="636" t="s">
        <v>303</v>
      </c>
      <c r="F451" s="636"/>
      <c r="G451" s="638" t="s">
        <v>1099</v>
      </c>
      <c r="H451" s="3"/>
    </row>
    <row r="452" spans="1:8" ht="15" customHeight="1">
      <c r="A452" s="646" t="s">
        <v>3335</v>
      </c>
      <c r="B452" s="644" t="s">
        <v>1178</v>
      </c>
      <c r="C452" s="635" t="s">
        <v>152</v>
      </c>
      <c r="D452" s="635" t="s">
        <v>142</v>
      </c>
      <c r="E452" s="636" t="s">
        <v>303</v>
      </c>
      <c r="F452" s="636"/>
      <c r="G452" s="638" t="s">
        <v>1099</v>
      </c>
      <c r="H452" s="3"/>
    </row>
    <row r="453" spans="1:8" ht="15" customHeight="1">
      <c r="A453" s="646" t="s">
        <v>2348</v>
      </c>
      <c r="B453" s="634" t="s">
        <v>1154</v>
      </c>
      <c r="C453" s="635" t="s">
        <v>152</v>
      </c>
      <c r="D453" s="635" t="s">
        <v>134</v>
      </c>
      <c r="E453" s="636" t="s">
        <v>303</v>
      </c>
      <c r="F453" s="642"/>
      <c r="G453" s="638" t="s">
        <v>1099</v>
      </c>
      <c r="H453" s="3"/>
    </row>
    <row r="454" spans="1:8" ht="15" customHeight="1">
      <c r="A454" s="646" t="s">
        <v>2351</v>
      </c>
      <c r="B454" s="644" t="s">
        <v>1156</v>
      </c>
      <c r="C454" s="635" t="s">
        <v>152</v>
      </c>
      <c r="D454" s="635" t="s">
        <v>221</v>
      </c>
      <c r="E454" s="636" t="s">
        <v>303</v>
      </c>
      <c r="F454" s="636"/>
      <c r="G454" s="638" t="s">
        <v>1099</v>
      </c>
      <c r="H454" s="3"/>
    </row>
    <row r="455" spans="1:8" ht="15" customHeight="1">
      <c r="A455" s="646" t="s">
        <v>2354</v>
      </c>
      <c r="B455" s="644" t="s">
        <v>1334</v>
      </c>
      <c r="C455" s="635" t="s">
        <v>152</v>
      </c>
      <c r="D455" s="635" t="s">
        <v>213</v>
      </c>
      <c r="E455" s="636" t="s">
        <v>303</v>
      </c>
      <c r="F455" s="636"/>
      <c r="G455" s="636" t="s">
        <v>1099</v>
      </c>
      <c r="H455" s="3"/>
    </row>
    <row r="456" spans="1:8" ht="15" customHeight="1">
      <c r="A456" s="646" t="s">
        <v>2357</v>
      </c>
      <c r="B456" s="634" t="s">
        <v>1180</v>
      </c>
      <c r="C456" s="635" t="s">
        <v>152</v>
      </c>
      <c r="D456" s="635" t="s">
        <v>210</v>
      </c>
      <c r="E456" s="636" t="s">
        <v>303</v>
      </c>
      <c r="F456" s="636"/>
      <c r="G456" s="638" t="e">
        <v>#N/A</v>
      </c>
      <c r="H456" s="3"/>
    </row>
    <row r="457" spans="1:8" ht="15" customHeight="1">
      <c r="A457" s="646" t="s">
        <v>2360</v>
      </c>
      <c r="B457" s="644" t="s">
        <v>1181</v>
      </c>
      <c r="C457" s="635" t="s">
        <v>152</v>
      </c>
      <c r="D457" s="635" t="s">
        <v>205</v>
      </c>
      <c r="E457" s="636" t="s">
        <v>303</v>
      </c>
      <c r="F457" s="636"/>
      <c r="G457" s="638" t="s">
        <v>1099</v>
      </c>
      <c r="H457" s="3"/>
    </row>
    <row r="458" spans="1:8" ht="15" customHeight="1">
      <c r="A458" s="646" t="s">
        <v>2363</v>
      </c>
      <c r="B458" s="644" t="s">
        <v>1182</v>
      </c>
      <c r="C458" s="635" t="s">
        <v>152</v>
      </c>
      <c r="D458" s="635" t="s">
        <v>209</v>
      </c>
      <c r="E458" s="636" t="s">
        <v>303</v>
      </c>
      <c r="F458" s="636"/>
      <c r="G458" s="638" t="s">
        <v>1099</v>
      </c>
      <c r="H458" s="3"/>
    </row>
    <row r="459" spans="1:8" ht="15" customHeight="1">
      <c r="A459" s="646" t="s">
        <v>2366</v>
      </c>
      <c r="B459" s="634" t="s">
        <v>1183</v>
      </c>
      <c r="C459" s="635" t="s">
        <v>152</v>
      </c>
      <c r="D459" s="635" t="s">
        <v>206</v>
      </c>
      <c r="E459" s="636" t="s">
        <v>303</v>
      </c>
      <c r="F459" s="636"/>
      <c r="G459" s="638" t="s">
        <v>1099</v>
      </c>
      <c r="H459" s="3"/>
    </row>
    <row r="460" spans="1:8" ht="15" customHeight="1">
      <c r="A460" s="646" t="s">
        <v>2369</v>
      </c>
      <c r="B460" s="644" t="s">
        <v>1184</v>
      </c>
      <c r="C460" s="635" t="s">
        <v>152</v>
      </c>
      <c r="D460" s="635" t="s">
        <v>207</v>
      </c>
      <c r="E460" s="636" t="s">
        <v>303</v>
      </c>
      <c r="F460" s="636"/>
      <c r="G460" s="638" t="s">
        <v>1099</v>
      </c>
      <c r="H460" s="3"/>
    </row>
    <row r="461" spans="1:8" ht="15" customHeight="1">
      <c r="A461" s="646" t="s">
        <v>2372</v>
      </c>
      <c r="B461" s="634" t="s">
        <v>1185</v>
      </c>
      <c r="C461" s="635" t="s">
        <v>152</v>
      </c>
      <c r="D461" s="635" t="s">
        <v>211</v>
      </c>
      <c r="E461" s="636" t="s">
        <v>303</v>
      </c>
      <c r="F461" s="636"/>
      <c r="G461" s="638" t="s">
        <v>1099</v>
      </c>
      <c r="H461" s="3"/>
    </row>
    <row r="462" spans="1:8" ht="15" customHeight="1">
      <c r="A462" s="634" t="s">
        <v>3336</v>
      </c>
      <c r="B462" s="634" t="s">
        <v>1337</v>
      </c>
      <c r="C462" s="635" t="s">
        <v>152</v>
      </c>
      <c r="D462" s="635" t="s">
        <v>214</v>
      </c>
      <c r="E462" s="636" t="s">
        <v>303</v>
      </c>
      <c r="F462" s="636"/>
      <c r="G462" s="636" t="s">
        <v>1099</v>
      </c>
      <c r="H462" s="3"/>
    </row>
    <row r="463" spans="1:8" ht="15" customHeight="1">
      <c r="A463" s="634" t="s">
        <v>3337</v>
      </c>
      <c r="B463" s="634" t="s">
        <v>3260</v>
      </c>
      <c r="C463" s="635" t="s">
        <v>152</v>
      </c>
      <c r="D463" s="635" t="s">
        <v>140</v>
      </c>
      <c r="E463" s="636" t="s">
        <v>303</v>
      </c>
      <c r="F463" s="636"/>
      <c r="G463" s="638" t="s">
        <v>2</v>
      </c>
      <c r="H463" s="3"/>
    </row>
    <row r="464" spans="1:8" ht="15" customHeight="1">
      <c r="A464" s="646" t="s">
        <v>2375</v>
      </c>
      <c r="B464" s="644" t="s">
        <v>1186</v>
      </c>
      <c r="C464" s="635" t="s">
        <v>161</v>
      </c>
      <c r="D464" s="635" t="s">
        <v>130</v>
      </c>
      <c r="E464" s="636" t="s">
        <v>303</v>
      </c>
      <c r="F464" s="636"/>
      <c r="G464" s="638" t="s">
        <v>1099</v>
      </c>
      <c r="H464" s="3"/>
    </row>
    <row r="465" spans="1:8" ht="15" customHeight="1">
      <c r="A465" s="634" t="s">
        <v>2378</v>
      </c>
      <c r="B465" s="634" t="s">
        <v>1188</v>
      </c>
      <c r="C465" s="635" t="s">
        <v>161</v>
      </c>
      <c r="D465" s="635" t="s">
        <v>130</v>
      </c>
      <c r="E465" s="636" t="s">
        <v>303</v>
      </c>
      <c r="F465" s="636"/>
      <c r="G465" s="638" t="s">
        <v>1099</v>
      </c>
      <c r="H465" s="3"/>
    </row>
    <row r="466" spans="1:8" ht="15" customHeight="1">
      <c r="A466" s="646" t="s">
        <v>2381</v>
      </c>
      <c r="B466" s="644" t="s">
        <v>1111</v>
      </c>
      <c r="C466" s="635" t="s">
        <v>161</v>
      </c>
      <c r="D466" s="635" t="s">
        <v>129</v>
      </c>
      <c r="E466" s="636" t="s">
        <v>303</v>
      </c>
      <c r="F466" s="636"/>
      <c r="G466" s="638" t="s">
        <v>2</v>
      </c>
      <c r="H466" s="3"/>
    </row>
    <row r="467" spans="1:8" ht="15" customHeight="1">
      <c r="A467" s="634" t="s">
        <v>2384</v>
      </c>
      <c r="B467" s="634" t="s">
        <v>1114</v>
      </c>
      <c r="C467" s="635" t="s">
        <v>161</v>
      </c>
      <c r="D467" s="635" t="s">
        <v>204</v>
      </c>
      <c r="E467" s="636" t="s">
        <v>303</v>
      </c>
      <c r="F467" s="636"/>
      <c r="G467" s="638" t="s">
        <v>1099</v>
      </c>
      <c r="H467" s="3"/>
    </row>
    <row r="468" spans="1:8" ht="15" customHeight="1">
      <c r="A468" s="646" t="s">
        <v>2387</v>
      </c>
      <c r="B468" s="644" t="s">
        <v>1116</v>
      </c>
      <c r="C468" s="635" t="s">
        <v>161</v>
      </c>
      <c r="D468" s="635" t="s">
        <v>120</v>
      </c>
      <c r="E468" s="636" t="s">
        <v>303</v>
      </c>
      <c r="F468" s="636"/>
      <c r="G468" s="638" t="s">
        <v>1099</v>
      </c>
      <c r="H468" s="3"/>
    </row>
    <row r="469" spans="1:8" ht="15" customHeight="1">
      <c r="A469" s="634" t="s">
        <v>2390</v>
      </c>
      <c r="B469" s="634" t="s">
        <v>1189</v>
      </c>
      <c r="C469" s="635" t="s">
        <v>161</v>
      </c>
      <c r="D469" s="635" t="s">
        <v>121</v>
      </c>
      <c r="E469" s="636" t="s">
        <v>303</v>
      </c>
      <c r="F469" s="636"/>
      <c r="G469" s="638" t="s">
        <v>1099</v>
      </c>
      <c r="H469" s="3"/>
    </row>
    <row r="470" spans="1:8" ht="15" customHeight="1">
      <c r="A470" s="646" t="s">
        <v>2393</v>
      </c>
      <c r="B470" s="644" t="s">
        <v>1120</v>
      </c>
      <c r="C470" s="635" t="s">
        <v>161</v>
      </c>
      <c r="D470" s="635" t="s">
        <v>122</v>
      </c>
      <c r="E470" s="636" t="s">
        <v>303</v>
      </c>
      <c r="F470" s="636"/>
      <c r="G470" s="638" t="s">
        <v>1099</v>
      </c>
      <c r="H470" s="3"/>
    </row>
    <row r="471" spans="1:8" ht="15" customHeight="1">
      <c r="A471" s="634" t="s">
        <v>2396</v>
      </c>
      <c r="B471" s="634" t="s">
        <v>1190</v>
      </c>
      <c r="C471" s="635" t="s">
        <v>161</v>
      </c>
      <c r="D471" s="635" t="s">
        <v>123</v>
      </c>
      <c r="E471" s="636" t="s">
        <v>303</v>
      </c>
      <c r="F471" s="636"/>
      <c r="G471" s="638" t="s">
        <v>1099</v>
      </c>
      <c r="H471" s="3"/>
    </row>
    <row r="472" spans="1:8" ht="15" customHeight="1">
      <c r="A472" s="646" t="s">
        <v>2399</v>
      </c>
      <c r="B472" s="644" t="s">
        <v>1192</v>
      </c>
      <c r="C472" s="635" t="s">
        <v>161</v>
      </c>
      <c r="D472" s="635" t="s">
        <v>124</v>
      </c>
      <c r="E472" s="636" t="s">
        <v>303</v>
      </c>
      <c r="F472" s="636"/>
      <c r="G472" s="638" t="s">
        <v>1099</v>
      </c>
      <c r="H472" s="3"/>
    </row>
    <row r="473" spans="1:8" ht="15" customHeight="1">
      <c r="A473" s="634" t="s">
        <v>2402</v>
      </c>
      <c r="B473" s="634" t="s">
        <v>1124</v>
      </c>
      <c r="C473" s="635" t="s">
        <v>161</v>
      </c>
      <c r="D473" s="635" t="s">
        <v>127</v>
      </c>
      <c r="E473" s="636" t="s">
        <v>303</v>
      </c>
      <c r="F473" s="636"/>
      <c r="G473" s="638" t="s">
        <v>1099</v>
      </c>
      <c r="H473" s="3"/>
    </row>
    <row r="474" spans="1:8" ht="15" customHeight="1">
      <c r="A474" s="646" t="s">
        <v>2405</v>
      </c>
      <c r="B474" s="644" t="s">
        <v>1126</v>
      </c>
      <c r="C474" s="635" t="s">
        <v>161</v>
      </c>
      <c r="D474" s="635" t="s">
        <v>125</v>
      </c>
      <c r="E474" s="636" t="s">
        <v>303</v>
      </c>
      <c r="F474" s="636"/>
      <c r="G474" s="638" t="s">
        <v>1099</v>
      </c>
      <c r="H474" s="3"/>
    </row>
    <row r="475" spans="1:8" ht="15" customHeight="1">
      <c r="A475" s="634" t="s">
        <v>2408</v>
      </c>
      <c r="B475" s="634" t="s">
        <v>1193</v>
      </c>
      <c r="C475" s="635" t="s">
        <v>161</v>
      </c>
      <c r="D475" s="635" t="s">
        <v>126</v>
      </c>
      <c r="E475" s="636" t="s">
        <v>303</v>
      </c>
      <c r="F475" s="636"/>
      <c r="G475" s="638" t="s">
        <v>1099</v>
      </c>
      <c r="H475" s="3"/>
    </row>
    <row r="476" spans="1:8" ht="15" customHeight="1">
      <c r="A476" s="646" t="s">
        <v>2411</v>
      </c>
      <c r="B476" s="644" t="s">
        <v>1176</v>
      </c>
      <c r="C476" s="635" t="s">
        <v>161</v>
      </c>
      <c r="D476" s="635" t="s">
        <v>126</v>
      </c>
      <c r="E476" s="636" t="s">
        <v>303</v>
      </c>
      <c r="F476" s="636"/>
      <c r="G476" s="638" t="s">
        <v>2</v>
      </c>
      <c r="H476" s="3"/>
    </row>
    <row r="477" spans="1:8" ht="15" customHeight="1">
      <c r="A477" s="634" t="s">
        <v>2414</v>
      </c>
      <c r="B477" s="634" t="s">
        <v>749</v>
      </c>
      <c r="C477" s="635"/>
      <c r="D477" s="635"/>
      <c r="E477" s="636" t="s">
        <v>303</v>
      </c>
      <c r="F477" s="636"/>
      <c r="G477" s="638" t="s">
        <v>761</v>
      </c>
      <c r="H477" s="3"/>
    </row>
    <row r="478" spans="1:8" ht="15" customHeight="1">
      <c r="A478" s="646" t="s">
        <v>2417</v>
      </c>
      <c r="B478" s="644" t="s">
        <v>1194</v>
      </c>
      <c r="C478" s="635" t="s">
        <v>161</v>
      </c>
      <c r="D478" s="635" t="s">
        <v>130</v>
      </c>
      <c r="E478" s="636" t="s">
        <v>303</v>
      </c>
      <c r="F478" s="636"/>
      <c r="G478" s="638" t="s">
        <v>1099</v>
      </c>
      <c r="H478" s="3"/>
    </row>
    <row r="479" spans="1:8" ht="15" customHeight="1">
      <c r="A479" s="646" t="s">
        <v>2420</v>
      </c>
      <c r="B479" s="644" t="s">
        <v>1132</v>
      </c>
      <c r="C479" s="635" t="s">
        <v>161</v>
      </c>
      <c r="D479" s="635" t="s">
        <v>135</v>
      </c>
      <c r="E479" s="636" t="s">
        <v>303</v>
      </c>
      <c r="F479" s="636"/>
      <c r="G479" s="638" t="e">
        <v>#N/A</v>
      </c>
      <c r="H479" s="3"/>
    </row>
    <row r="480" spans="1:8" ht="15" customHeight="1">
      <c r="A480" s="634" t="s">
        <v>2423</v>
      </c>
      <c r="B480" s="634" t="s">
        <v>1134</v>
      </c>
      <c r="C480" s="635" t="s">
        <v>161</v>
      </c>
      <c r="D480" s="635" t="s">
        <v>136</v>
      </c>
      <c r="E480" s="636" t="s">
        <v>303</v>
      </c>
      <c r="F480" s="636"/>
      <c r="G480" s="638" t="s">
        <v>1099</v>
      </c>
      <c r="H480" s="3"/>
    </row>
    <row r="481" spans="1:8" ht="15" customHeight="1">
      <c r="A481" s="646" t="s">
        <v>2426</v>
      </c>
      <c r="B481" s="644" t="s">
        <v>1136</v>
      </c>
      <c r="C481" s="635" t="s">
        <v>161</v>
      </c>
      <c r="D481" s="635" t="s">
        <v>141</v>
      </c>
      <c r="E481" s="636" t="s">
        <v>303</v>
      </c>
      <c r="F481" s="636"/>
      <c r="G481" s="638" t="s">
        <v>1099</v>
      </c>
      <c r="H481" s="3"/>
    </row>
    <row r="482" spans="1:8" ht="15" customHeight="1">
      <c r="A482" s="634" t="s">
        <v>2429</v>
      </c>
      <c r="B482" s="634" t="s">
        <v>1195</v>
      </c>
      <c r="C482" s="635" t="s">
        <v>161</v>
      </c>
      <c r="D482" s="635" t="s">
        <v>131</v>
      </c>
      <c r="E482" s="636" t="s">
        <v>303</v>
      </c>
      <c r="F482" s="636"/>
      <c r="G482" s="638" t="s">
        <v>1099</v>
      </c>
      <c r="H482" s="3"/>
    </row>
    <row r="483" spans="1:8" ht="15" customHeight="1">
      <c r="A483" s="646" t="s">
        <v>2432</v>
      </c>
      <c r="B483" s="644" t="s">
        <v>1140</v>
      </c>
      <c r="C483" s="635" t="s">
        <v>161</v>
      </c>
      <c r="D483" s="635" t="s">
        <v>139</v>
      </c>
      <c r="E483" s="636" t="s">
        <v>303</v>
      </c>
      <c r="F483" s="636"/>
      <c r="G483" s="638" t="s">
        <v>1099</v>
      </c>
      <c r="H483" s="3"/>
    </row>
    <row r="484" spans="1:8" ht="15" customHeight="1">
      <c r="A484" s="634" t="s">
        <v>2435</v>
      </c>
      <c r="B484" s="634" t="s">
        <v>1142</v>
      </c>
      <c r="C484" s="635" t="s">
        <v>161</v>
      </c>
      <c r="D484" s="635" t="s">
        <v>132</v>
      </c>
      <c r="E484" s="636" t="s">
        <v>303</v>
      </c>
      <c r="F484" s="636"/>
      <c r="G484" s="638" t="s">
        <v>1099</v>
      </c>
      <c r="H484" s="3"/>
    </row>
    <row r="485" spans="1:8" ht="15" customHeight="1">
      <c r="A485" s="646" t="s">
        <v>2438</v>
      </c>
      <c r="B485" s="644" t="s">
        <v>1144</v>
      </c>
      <c r="C485" s="635" t="s">
        <v>161</v>
      </c>
      <c r="D485" s="635" t="s">
        <v>137</v>
      </c>
      <c r="E485" s="636" t="s">
        <v>303</v>
      </c>
      <c r="F485" s="636"/>
      <c r="G485" s="638" t="s">
        <v>1099</v>
      </c>
      <c r="H485" s="3"/>
    </row>
    <row r="486" spans="1:8" ht="15" customHeight="1">
      <c r="A486" s="634" t="s">
        <v>2441</v>
      </c>
      <c r="B486" s="634" t="s">
        <v>1146</v>
      </c>
      <c r="C486" s="635" t="s">
        <v>161</v>
      </c>
      <c r="D486" s="635" t="s">
        <v>138</v>
      </c>
      <c r="E486" s="636" t="s">
        <v>303</v>
      </c>
      <c r="F486" s="636"/>
      <c r="G486" s="638" t="s">
        <v>1099</v>
      </c>
      <c r="H486" s="3"/>
    </row>
    <row r="487" spans="1:8" ht="15" customHeight="1">
      <c r="A487" s="646" t="s">
        <v>2444</v>
      </c>
      <c r="B487" s="644" t="s">
        <v>1148</v>
      </c>
      <c r="C487" s="635" t="s">
        <v>161</v>
      </c>
      <c r="D487" s="635" t="s">
        <v>140</v>
      </c>
      <c r="E487" s="636" t="s">
        <v>303</v>
      </c>
      <c r="F487" s="636"/>
      <c r="G487" s="638" t="s">
        <v>1099</v>
      </c>
      <c r="H487" s="3"/>
    </row>
    <row r="488" spans="1:8" ht="15" customHeight="1">
      <c r="A488" s="646" t="s">
        <v>2447</v>
      </c>
      <c r="B488" s="644" t="s">
        <v>1196</v>
      </c>
      <c r="C488" s="635" t="s">
        <v>161</v>
      </c>
      <c r="D488" s="635" t="s">
        <v>133</v>
      </c>
      <c r="E488" s="636" t="s">
        <v>303</v>
      </c>
      <c r="F488" s="636"/>
      <c r="G488" s="638" t="s">
        <v>1099</v>
      </c>
      <c r="H488" s="3"/>
    </row>
    <row r="489" spans="1:8" ht="15" customHeight="1">
      <c r="A489" s="646" t="s">
        <v>3338</v>
      </c>
      <c r="B489" s="644" t="s">
        <v>1197</v>
      </c>
      <c r="C489" s="635" t="s">
        <v>161</v>
      </c>
      <c r="D489" s="635" t="s">
        <v>142</v>
      </c>
      <c r="E489" s="636" t="s">
        <v>303</v>
      </c>
      <c r="F489" s="636"/>
      <c r="G489" s="638" t="s">
        <v>1099</v>
      </c>
      <c r="H489" s="3"/>
    </row>
    <row r="490" spans="1:8" ht="15" customHeight="1">
      <c r="A490" s="634" t="s">
        <v>2450</v>
      </c>
      <c r="B490" s="634" t="s">
        <v>1154</v>
      </c>
      <c r="C490" s="635" t="s">
        <v>161</v>
      </c>
      <c r="D490" s="635" t="s">
        <v>134</v>
      </c>
      <c r="E490" s="636" t="s">
        <v>303</v>
      </c>
      <c r="F490" s="636"/>
      <c r="G490" s="638" t="s">
        <v>1099</v>
      </c>
      <c r="H490" s="3"/>
    </row>
    <row r="491" spans="1:8" ht="15" customHeight="1">
      <c r="A491" s="646" t="s">
        <v>2453</v>
      </c>
      <c r="B491" s="644" t="s">
        <v>1156</v>
      </c>
      <c r="C491" s="635" t="s">
        <v>161</v>
      </c>
      <c r="D491" s="635" t="s">
        <v>221</v>
      </c>
      <c r="E491" s="636" t="s">
        <v>303</v>
      </c>
      <c r="F491" s="636"/>
      <c r="G491" s="638" t="e">
        <v>#N/A</v>
      </c>
      <c r="H491" s="3"/>
    </row>
    <row r="492" spans="1:8" ht="15" customHeight="1">
      <c r="A492" s="634" t="s">
        <v>2456</v>
      </c>
      <c r="B492" s="634" t="s">
        <v>1334</v>
      </c>
      <c r="C492" s="635" t="s">
        <v>161</v>
      </c>
      <c r="D492" s="635" t="s">
        <v>213</v>
      </c>
      <c r="E492" s="636" t="s">
        <v>303</v>
      </c>
      <c r="F492" s="636"/>
      <c r="G492" s="636" t="s">
        <v>1099</v>
      </c>
      <c r="H492" s="3"/>
    </row>
    <row r="493" spans="1:8" ht="15" customHeight="1">
      <c r="A493" s="646" t="s">
        <v>2459</v>
      </c>
      <c r="B493" s="644" t="s">
        <v>1199</v>
      </c>
      <c r="C493" s="635" t="s">
        <v>161</v>
      </c>
      <c r="D493" s="635" t="s">
        <v>212</v>
      </c>
      <c r="E493" s="636" t="s">
        <v>303</v>
      </c>
      <c r="F493" s="636"/>
      <c r="G493" s="638" t="s">
        <v>1099</v>
      </c>
      <c r="H493" s="3"/>
    </row>
    <row r="494" spans="1:8" ht="15" customHeight="1">
      <c r="A494" s="646" t="s">
        <v>2462</v>
      </c>
      <c r="B494" s="644" t="s">
        <v>1201</v>
      </c>
      <c r="C494" s="635" t="s">
        <v>161</v>
      </c>
      <c r="D494" s="635" t="s">
        <v>210</v>
      </c>
      <c r="E494" s="636" t="s">
        <v>303</v>
      </c>
      <c r="F494" s="636"/>
      <c r="G494" s="638" t="s">
        <v>1099</v>
      </c>
      <c r="H494" s="3"/>
    </row>
    <row r="495" spans="1:8" ht="15" customHeight="1">
      <c r="A495" s="646" t="s">
        <v>2465</v>
      </c>
      <c r="B495" s="644" t="s">
        <v>1202</v>
      </c>
      <c r="C495" s="635" t="s">
        <v>161</v>
      </c>
      <c r="D495" s="635" t="s">
        <v>205</v>
      </c>
      <c r="E495" s="636" t="s">
        <v>303</v>
      </c>
      <c r="F495" s="636"/>
      <c r="G495" s="638" t="s">
        <v>1099</v>
      </c>
      <c r="H495" s="3"/>
    </row>
    <row r="496" spans="1:8" ht="15" customHeight="1">
      <c r="A496" s="634" t="s">
        <v>2468</v>
      </c>
      <c r="B496" s="634" t="s">
        <v>1203</v>
      </c>
      <c r="C496" s="635" t="s">
        <v>161</v>
      </c>
      <c r="D496" s="635" t="s">
        <v>209</v>
      </c>
      <c r="E496" s="636" t="s">
        <v>303</v>
      </c>
      <c r="F496" s="636"/>
      <c r="G496" s="638" t="s">
        <v>1099</v>
      </c>
      <c r="H496" s="3"/>
    </row>
    <row r="497" spans="1:8" ht="15" customHeight="1">
      <c r="A497" s="646" t="s">
        <v>2471</v>
      </c>
      <c r="B497" s="644" t="s">
        <v>1204</v>
      </c>
      <c r="C497" s="635" t="s">
        <v>161</v>
      </c>
      <c r="D497" s="635" t="s">
        <v>206</v>
      </c>
      <c r="E497" s="636" t="s">
        <v>303</v>
      </c>
      <c r="F497" s="636"/>
      <c r="G497" s="638" t="s">
        <v>1099</v>
      </c>
      <c r="H497" s="3"/>
    </row>
    <row r="498" spans="1:8" ht="15" customHeight="1">
      <c r="A498" s="646" t="s">
        <v>2474</v>
      </c>
      <c r="B498" s="644" t="s">
        <v>1205</v>
      </c>
      <c r="C498" s="635" t="s">
        <v>161</v>
      </c>
      <c r="D498" s="635" t="s">
        <v>207</v>
      </c>
      <c r="E498" s="636" t="s">
        <v>303</v>
      </c>
      <c r="F498" s="636"/>
      <c r="G498" s="638" t="e">
        <v>#N/A</v>
      </c>
      <c r="H498" s="3"/>
    </row>
    <row r="499" spans="1:8" ht="15" customHeight="1">
      <c r="A499" s="646" t="s">
        <v>2477</v>
      </c>
      <c r="B499" s="644" t="s">
        <v>1206</v>
      </c>
      <c r="C499" s="635" t="s">
        <v>161</v>
      </c>
      <c r="D499" s="635" t="s">
        <v>211</v>
      </c>
      <c r="E499" s="636" t="s">
        <v>303</v>
      </c>
      <c r="F499" s="636"/>
      <c r="G499" s="638" t="e">
        <v>#N/A</v>
      </c>
      <c r="H499" s="3"/>
    </row>
    <row r="500" spans="1:8" ht="15" customHeight="1">
      <c r="A500" s="634" t="s">
        <v>3339</v>
      </c>
      <c r="B500" s="634" t="s">
        <v>1338</v>
      </c>
      <c r="C500" s="635" t="s">
        <v>161</v>
      </c>
      <c r="D500" s="635" t="s">
        <v>214</v>
      </c>
      <c r="E500" s="636" t="s">
        <v>303</v>
      </c>
      <c r="F500" s="636"/>
      <c r="G500" s="636" t="s">
        <v>1099</v>
      </c>
      <c r="H500" s="3"/>
    </row>
    <row r="501" spans="1:8" ht="15" customHeight="1">
      <c r="A501" s="652" t="s">
        <v>3340</v>
      </c>
      <c r="B501" s="652" t="s">
        <v>1207</v>
      </c>
      <c r="C501" s="635" t="s">
        <v>161</v>
      </c>
      <c r="D501" s="635" t="s">
        <v>140</v>
      </c>
      <c r="E501" s="636" t="s">
        <v>303</v>
      </c>
      <c r="F501" s="636"/>
      <c r="G501" s="638" t="s">
        <v>1099</v>
      </c>
      <c r="H501" s="3"/>
    </row>
    <row r="502" spans="1:8" ht="15" customHeight="1">
      <c r="A502" s="634" t="s">
        <v>2480</v>
      </c>
      <c r="B502" s="634" t="s">
        <v>1103</v>
      </c>
      <c r="C502" s="635" t="s">
        <v>176</v>
      </c>
      <c r="D502" s="635" t="s">
        <v>130</v>
      </c>
      <c r="E502" s="636" t="s">
        <v>303</v>
      </c>
      <c r="F502" s="636"/>
      <c r="G502" s="638" t="s">
        <v>1099</v>
      </c>
      <c r="H502" s="3"/>
    </row>
    <row r="503" spans="1:8" ht="15" customHeight="1">
      <c r="A503" s="646" t="s">
        <v>2483</v>
      </c>
      <c r="B503" s="644" t="s">
        <v>750</v>
      </c>
      <c r="C503" s="635"/>
      <c r="D503" s="635"/>
      <c r="E503" s="636" t="s">
        <v>303</v>
      </c>
      <c r="F503" s="636"/>
      <c r="G503" s="638" t="s">
        <v>761</v>
      </c>
      <c r="H503" s="3"/>
    </row>
    <row r="504" spans="1:8" ht="15" customHeight="1">
      <c r="A504" s="646" t="s">
        <v>2486</v>
      </c>
      <c r="B504" s="644" t="s">
        <v>1111</v>
      </c>
      <c r="C504" s="635" t="s">
        <v>176</v>
      </c>
      <c r="D504" s="635" t="s">
        <v>129</v>
      </c>
      <c r="E504" s="636" t="s">
        <v>303</v>
      </c>
      <c r="F504" s="636"/>
      <c r="G504" s="638" t="s">
        <v>1099</v>
      </c>
      <c r="H504" s="3"/>
    </row>
    <row r="505" spans="1:8" ht="15" customHeight="1">
      <c r="A505" s="646" t="s">
        <v>2489</v>
      </c>
      <c r="B505" s="634" t="s">
        <v>751</v>
      </c>
      <c r="C505" s="635"/>
      <c r="D505" s="635"/>
      <c r="E505" s="636" t="s">
        <v>303</v>
      </c>
      <c r="F505" s="636"/>
      <c r="G505" s="638" t="s">
        <v>761</v>
      </c>
      <c r="H505" s="3"/>
    </row>
    <row r="506" spans="1:8" ht="15" customHeight="1">
      <c r="A506" s="646" t="s">
        <v>2492</v>
      </c>
      <c r="B506" s="644" t="s">
        <v>1114</v>
      </c>
      <c r="C506" s="635" t="s">
        <v>176</v>
      </c>
      <c r="D506" s="635" t="s">
        <v>204</v>
      </c>
      <c r="E506" s="636" t="s">
        <v>303</v>
      </c>
      <c r="F506" s="636"/>
      <c r="G506" s="638" t="s">
        <v>1099</v>
      </c>
      <c r="H506" s="3"/>
    </row>
    <row r="507" spans="1:8" ht="15" customHeight="1">
      <c r="A507" s="646" t="s">
        <v>2495</v>
      </c>
      <c r="B507" s="644" t="s">
        <v>1116</v>
      </c>
      <c r="C507" s="635" t="s">
        <v>176</v>
      </c>
      <c r="D507" s="635" t="s">
        <v>120</v>
      </c>
      <c r="E507" s="636" t="s">
        <v>303</v>
      </c>
      <c r="F507" s="636"/>
      <c r="G507" s="638" t="s">
        <v>1099</v>
      </c>
      <c r="H507" s="3"/>
    </row>
    <row r="508" spans="1:8" ht="15" customHeight="1">
      <c r="A508" s="646" t="s">
        <v>2498</v>
      </c>
      <c r="B508" s="644" t="s">
        <v>1189</v>
      </c>
      <c r="C508" s="635" t="s">
        <v>176</v>
      </c>
      <c r="D508" s="635" t="s">
        <v>121</v>
      </c>
      <c r="E508" s="636" t="s">
        <v>303</v>
      </c>
      <c r="F508" s="636"/>
      <c r="G508" s="638" t="s">
        <v>1099</v>
      </c>
      <c r="H508" s="3"/>
    </row>
    <row r="509" spans="1:8" ht="15" customHeight="1">
      <c r="A509" s="646" t="s">
        <v>2501</v>
      </c>
      <c r="B509" s="644" t="s">
        <v>1120</v>
      </c>
      <c r="C509" s="635" t="s">
        <v>176</v>
      </c>
      <c r="D509" s="635" t="s">
        <v>122</v>
      </c>
      <c r="E509" s="636" t="s">
        <v>303</v>
      </c>
      <c r="F509" s="636"/>
      <c r="G509" s="638" t="s">
        <v>1099</v>
      </c>
      <c r="H509" s="3"/>
    </row>
    <row r="510" spans="1:8" ht="15" customHeight="1">
      <c r="A510" s="646" t="s">
        <v>2504</v>
      </c>
      <c r="B510" s="644" t="s">
        <v>1190</v>
      </c>
      <c r="C510" s="635" t="s">
        <v>176</v>
      </c>
      <c r="D510" s="635" t="s">
        <v>123</v>
      </c>
      <c r="E510" s="636" t="s">
        <v>303</v>
      </c>
      <c r="F510" s="636"/>
      <c r="G510" s="638" t="s">
        <v>1099</v>
      </c>
      <c r="H510" s="3"/>
    </row>
    <row r="511" spans="1:8" ht="15" customHeight="1">
      <c r="A511" s="646" t="s">
        <v>2507</v>
      </c>
      <c r="B511" s="634" t="s">
        <v>1174</v>
      </c>
      <c r="C511" s="635" t="s">
        <v>176</v>
      </c>
      <c r="D511" s="635" t="s">
        <v>124</v>
      </c>
      <c r="E511" s="636" t="s">
        <v>303</v>
      </c>
      <c r="F511" s="636"/>
      <c r="G511" s="638" t="s">
        <v>1099</v>
      </c>
      <c r="H511" s="3"/>
    </row>
    <row r="512" spans="1:8" ht="15" customHeight="1">
      <c r="A512" s="646" t="s">
        <v>2510</v>
      </c>
      <c r="B512" s="644" t="s">
        <v>1124</v>
      </c>
      <c r="C512" s="635" t="s">
        <v>176</v>
      </c>
      <c r="D512" s="635" t="s">
        <v>127</v>
      </c>
      <c r="E512" s="636" t="s">
        <v>303</v>
      </c>
      <c r="F512" s="636"/>
      <c r="G512" s="638" t="s">
        <v>1099</v>
      </c>
      <c r="H512" s="3"/>
    </row>
    <row r="513" spans="1:29" ht="15" customHeight="1">
      <c r="A513" s="646" t="s">
        <v>2513</v>
      </c>
      <c r="B513" s="644" t="s">
        <v>1126</v>
      </c>
      <c r="C513" s="635" t="s">
        <v>176</v>
      </c>
      <c r="D513" s="635" t="s">
        <v>125</v>
      </c>
      <c r="E513" s="636" t="s">
        <v>303</v>
      </c>
      <c r="F513" s="636"/>
      <c r="G513" s="638" t="s">
        <v>1099</v>
      </c>
      <c r="H513" s="3"/>
    </row>
    <row r="514" spans="1:29" ht="15" customHeight="1">
      <c r="A514" s="646" t="s">
        <v>3341</v>
      </c>
      <c r="B514" s="644" t="s">
        <v>1339</v>
      </c>
      <c r="C514" s="635" t="s">
        <v>176</v>
      </c>
      <c r="D514" s="635" t="s">
        <v>126</v>
      </c>
      <c r="E514" s="636" t="s">
        <v>303</v>
      </c>
      <c r="F514" s="636"/>
      <c r="G514" s="638" t="s">
        <v>1099</v>
      </c>
      <c r="H514" s="3"/>
    </row>
    <row r="515" spans="1:29" ht="15" customHeight="1">
      <c r="A515" s="646" t="s">
        <v>2516</v>
      </c>
      <c r="B515" s="644" t="s">
        <v>1176</v>
      </c>
      <c r="C515" s="635" t="s">
        <v>176</v>
      </c>
      <c r="D515" s="635" t="s">
        <v>126</v>
      </c>
      <c r="E515" s="636" t="s">
        <v>303</v>
      </c>
      <c r="F515" s="636"/>
      <c r="G515" s="638" t="s">
        <v>2</v>
      </c>
      <c r="H515" s="3"/>
    </row>
    <row r="516" spans="1:29" ht="15" customHeight="1">
      <c r="A516" s="646" t="s">
        <v>2519</v>
      </c>
      <c r="B516" s="644" t="s">
        <v>752</v>
      </c>
      <c r="C516" s="635"/>
      <c r="D516" s="635"/>
      <c r="E516" s="636" t="s">
        <v>303</v>
      </c>
      <c r="F516" s="636"/>
      <c r="G516" s="638" t="e">
        <v>#N/A</v>
      </c>
      <c r="H516" s="3"/>
    </row>
    <row r="517" spans="1:29" ht="15" customHeight="1">
      <c r="A517" s="646" t="s">
        <v>3630</v>
      </c>
      <c r="B517" s="644" t="s">
        <v>1194</v>
      </c>
      <c r="C517" s="635" t="s">
        <v>161</v>
      </c>
      <c r="D517" s="635" t="s">
        <v>130</v>
      </c>
      <c r="E517" s="636" t="s">
        <v>303</v>
      </c>
      <c r="F517" s="636"/>
      <c r="G517" s="638" t="s">
        <v>1099</v>
      </c>
      <c r="H517" s="3"/>
    </row>
    <row r="518" spans="1:29" ht="15" customHeight="1">
      <c r="A518" s="646" t="s">
        <v>2522</v>
      </c>
      <c r="B518" s="644" t="s">
        <v>1132</v>
      </c>
      <c r="C518" s="635" t="s">
        <v>176</v>
      </c>
      <c r="D518" s="635" t="s">
        <v>135</v>
      </c>
      <c r="E518" s="636" t="s">
        <v>303</v>
      </c>
      <c r="F518" s="636"/>
      <c r="G518" s="638" t="s">
        <v>1099</v>
      </c>
      <c r="H518" s="3"/>
    </row>
    <row r="519" spans="1:29" ht="15" customHeight="1">
      <c r="A519" s="646" t="s">
        <v>2525</v>
      </c>
      <c r="B519" s="634" t="s">
        <v>1340</v>
      </c>
      <c r="C519" s="635" t="s">
        <v>176</v>
      </c>
      <c r="D519" s="635" t="s">
        <v>136</v>
      </c>
      <c r="E519" s="636" t="s">
        <v>303</v>
      </c>
      <c r="F519" s="636"/>
      <c r="G519" s="636" t="s">
        <v>1099</v>
      </c>
      <c r="H519" s="3"/>
    </row>
    <row r="520" spans="1:29" ht="15" customHeight="1">
      <c r="A520" s="646" t="s">
        <v>2528</v>
      </c>
      <c r="B520" s="644" t="s">
        <v>1136</v>
      </c>
      <c r="C520" s="635" t="s">
        <v>176</v>
      </c>
      <c r="D520" s="635" t="s">
        <v>141</v>
      </c>
      <c r="E520" s="636" t="s">
        <v>303</v>
      </c>
      <c r="F520" s="636"/>
      <c r="G520" s="638" t="s">
        <v>1099</v>
      </c>
      <c r="H520" s="3"/>
    </row>
    <row r="521" spans="1:29" ht="15" customHeight="1">
      <c r="A521" s="646" t="s">
        <v>2531</v>
      </c>
      <c r="B521" s="644" t="s">
        <v>1138</v>
      </c>
      <c r="C521" s="635" t="s">
        <v>176</v>
      </c>
      <c r="D521" s="635" t="s">
        <v>131</v>
      </c>
      <c r="E521" s="636" t="s">
        <v>303</v>
      </c>
      <c r="F521" s="636"/>
      <c r="G521" s="638" t="s">
        <v>1099</v>
      </c>
      <c r="H521" s="3"/>
    </row>
    <row r="522" spans="1:29" ht="15" customHeight="1">
      <c r="A522" s="646" t="s">
        <v>2534</v>
      </c>
      <c r="B522" s="634" t="s">
        <v>1140</v>
      </c>
      <c r="C522" s="635" t="s">
        <v>176</v>
      </c>
      <c r="D522" s="635" t="s">
        <v>139</v>
      </c>
      <c r="E522" s="636" t="s">
        <v>303</v>
      </c>
      <c r="F522" s="636"/>
      <c r="G522" s="638" t="s">
        <v>1099</v>
      </c>
      <c r="H522" s="3"/>
    </row>
    <row r="523" spans="1:29" ht="15" customHeight="1">
      <c r="A523" s="646" t="s">
        <v>1212</v>
      </c>
      <c r="B523" s="634" t="s">
        <v>753</v>
      </c>
      <c r="C523" s="635"/>
      <c r="D523" s="635"/>
      <c r="E523" s="636" t="s">
        <v>303</v>
      </c>
      <c r="F523" s="642"/>
      <c r="G523" s="638" t="e">
        <v>#N/A</v>
      </c>
      <c r="H523" s="3"/>
      <c r="I523" s="3"/>
      <c r="J523" s="3"/>
      <c r="L523" s="3"/>
      <c r="M523" s="3"/>
      <c r="N523" s="3"/>
      <c r="O523" s="3"/>
      <c r="P523" s="3"/>
      <c r="Q523" s="3"/>
      <c r="R523" s="3"/>
      <c r="S523" s="3"/>
      <c r="T523" s="3"/>
      <c r="U523" s="3"/>
      <c r="V523" s="3"/>
      <c r="W523" s="3"/>
      <c r="X523" s="3"/>
      <c r="Y523" s="3"/>
      <c r="Z523" s="3"/>
      <c r="AA523" s="3"/>
      <c r="AB523" s="3"/>
      <c r="AC523" s="3"/>
    </row>
    <row r="524" spans="1:29" ht="15" customHeight="1">
      <c r="A524" s="646" t="s">
        <v>2539</v>
      </c>
      <c r="B524" s="644" t="s">
        <v>1142</v>
      </c>
      <c r="C524" s="635" t="s">
        <v>176</v>
      </c>
      <c r="D524" s="635" t="s">
        <v>132</v>
      </c>
      <c r="E524" s="636" t="s">
        <v>303</v>
      </c>
      <c r="F524" s="636"/>
      <c r="G524" s="638" t="s">
        <v>1099</v>
      </c>
      <c r="H524" s="3"/>
      <c r="I524" s="3"/>
      <c r="J524" s="3"/>
      <c r="L524" s="3"/>
      <c r="M524" s="3"/>
      <c r="N524" s="3"/>
      <c r="O524" s="3"/>
      <c r="P524" s="3"/>
      <c r="Q524" s="3"/>
      <c r="R524" s="3"/>
      <c r="S524" s="3"/>
      <c r="T524" s="3"/>
      <c r="U524" s="3"/>
      <c r="V524" s="3"/>
      <c r="W524" s="3"/>
      <c r="X524" s="3"/>
      <c r="Y524" s="3"/>
      <c r="Z524" s="3"/>
      <c r="AA524" s="3"/>
      <c r="AB524" s="3"/>
      <c r="AC524" s="3"/>
    </row>
    <row r="525" spans="1:29" ht="13.5" customHeight="1">
      <c r="A525" s="646" t="s">
        <v>2542</v>
      </c>
      <c r="B525" s="634" t="s">
        <v>1144</v>
      </c>
      <c r="C525" s="635" t="s">
        <v>176</v>
      </c>
      <c r="D525" s="635" t="s">
        <v>137</v>
      </c>
      <c r="E525" s="636" t="s">
        <v>303</v>
      </c>
      <c r="F525" s="642"/>
      <c r="G525" s="638" t="s">
        <v>1099</v>
      </c>
      <c r="H525" s="3"/>
    </row>
    <row r="526" spans="1:29" ht="15" customHeight="1">
      <c r="A526" s="646" t="s">
        <v>2545</v>
      </c>
      <c r="B526" s="644" t="s">
        <v>1146</v>
      </c>
      <c r="C526" s="635" t="s">
        <v>176</v>
      </c>
      <c r="D526" s="635" t="s">
        <v>138</v>
      </c>
      <c r="E526" s="636" t="s">
        <v>303</v>
      </c>
      <c r="F526" s="636"/>
      <c r="G526" s="638" t="s">
        <v>1099</v>
      </c>
      <c r="H526" s="3"/>
    </row>
    <row r="527" spans="1:29" ht="15" customHeight="1">
      <c r="A527" s="646" t="s">
        <v>2548</v>
      </c>
      <c r="B527" s="634" t="s">
        <v>1148</v>
      </c>
      <c r="C527" s="635" t="s">
        <v>176</v>
      </c>
      <c r="D527" s="635" t="s">
        <v>140</v>
      </c>
      <c r="E527" s="636" t="s">
        <v>303</v>
      </c>
      <c r="F527" s="642"/>
      <c r="G527" s="638" t="s">
        <v>1099</v>
      </c>
      <c r="H527" s="3"/>
    </row>
    <row r="528" spans="1:29" ht="15" customHeight="1">
      <c r="A528" s="646" t="s">
        <v>2551</v>
      </c>
      <c r="B528" s="634" t="s">
        <v>1210</v>
      </c>
      <c r="C528" s="635" t="s">
        <v>176</v>
      </c>
      <c r="D528" s="635" t="s">
        <v>133</v>
      </c>
      <c r="E528" s="636" t="s">
        <v>303</v>
      </c>
      <c r="F528" s="636"/>
      <c r="G528" s="638" t="s">
        <v>1099</v>
      </c>
      <c r="H528" s="3"/>
    </row>
    <row r="529" spans="1:29" ht="15" customHeight="1">
      <c r="A529" s="646" t="s">
        <v>3342</v>
      </c>
      <c r="B529" s="634" t="s">
        <v>1211</v>
      </c>
      <c r="C529" s="635" t="s">
        <v>176</v>
      </c>
      <c r="D529" s="635" t="s">
        <v>142</v>
      </c>
      <c r="E529" s="636" t="s">
        <v>303</v>
      </c>
      <c r="F529" s="636"/>
      <c r="G529" s="638" t="s">
        <v>1099</v>
      </c>
      <c r="H529" s="3"/>
    </row>
    <row r="530" spans="1:29" ht="15" customHeight="1">
      <c r="A530" s="646" t="s">
        <v>2554</v>
      </c>
      <c r="B530" s="634" t="s">
        <v>1154</v>
      </c>
      <c r="C530" s="635" t="s">
        <v>176</v>
      </c>
      <c r="D530" s="635" t="s">
        <v>134</v>
      </c>
      <c r="E530" s="636" t="s">
        <v>303</v>
      </c>
      <c r="F530" s="642"/>
      <c r="G530" s="638" t="s">
        <v>1099</v>
      </c>
      <c r="H530" s="3"/>
      <c r="K530" s="3"/>
    </row>
    <row r="531" spans="1:29" ht="15" customHeight="1">
      <c r="A531" s="646" t="s">
        <v>2556</v>
      </c>
      <c r="B531" s="644" t="s">
        <v>1156</v>
      </c>
      <c r="C531" s="635" t="s">
        <v>176</v>
      </c>
      <c r="D531" s="635" t="s">
        <v>221</v>
      </c>
      <c r="E531" s="636" t="s">
        <v>303</v>
      </c>
      <c r="F531" s="636"/>
      <c r="G531" s="638" t="s">
        <v>1099</v>
      </c>
      <c r="H531" s="3"/>
      <c r="I531" s="3"/>
      <c r="J531" s="3"/>
      <c r="K531" s="3"/>
      <c r="L531" s="3"/>
      <c r="M531" s="3"/>
      <c r="N531" s="3"/>
      <c r="O531" s="3"/>
      <c r="P531" s="3"/>
      <c r="Q531" s="3"/>
      <c r="R531" s="3"/>
      <c r="S531" s="3"/>
      <c r="T531" s="3"/>
      <c r="U531" s="3"/>
      <c r="V531" s="3"/>
      <c r="W531" s="3"/>
      <c r="X531" s="3"/>
      <c r="Y531" s="3"/>
      <c r="Z531" s="3"/>
      <c r="AA531" s="3"/>
      <c r="AB531" s="3"/>
      <c r="AC531" s="3"/>
    </row>
    <row r="532" spans="1:29" ht="15" customHeight="1">
      <c r="A532" s="646" t="s">
        <v>2559</v>
      </c>
      <c r="B532" s="634" t="s">
        <v>1334</v>
      </c>
      <c r="C532" s="635" t="s">
        <v>176</v>
      </c>
      <c r="D532" s="635" t="s">
        <v>213</v>
      </c>
      <c r="E532" s="636" t="s">
        <v>303</v>
      </c>
      <c r="F532" s="636"/>
      <c r="G532" s="636" t="s">
        <v>1099</v>
      </c>
      <c r="H532" s="3"/>
    </row>
    <row r="533" spans="1:29" ht="15" customHeight="1">
      <c r="A533" s="634" t="s">
        <v>2562</v>
      </c>
      <c r="B533" s="634" t="s">
        <v>754</v>
      </c>
      <c r="C533" s="635"/>
      <c r="D533" s="635"/>
      <c r="E533" s="636" t="s">
        <v>303</v>
      </c>
      <c r="F533" s="636"/>
      <c r="G533" s="638" t="s">
        <v>761</v>
      </c>
      <c r="H533" s="3"/>
    </row>
    <row r="534" spans="1:29" ht="15" customHeight="1">
      <c r="A534" s="646" t="s">
        <v>2565</v>
      </c>
      <c r="B534" s="644" t="s">
        <v>1213</v>
      </c>
      <c r="C534" s="635" t="s">
        <v>176</v>
      </c>
      <c r="D534" s="635" t="s">
        <v>210</v>
      </c>
      <c r="E534" s="636" t="s">
        <v>303</v>
      </c>
      <c r="F534" s="636"/>
      <c r="G534" s="638" t="s">
        <v>1099</v>
      </c>
      <c r="H534" s="3"/>
    </row>
    <row r="535" spans="1:29" ht="15" customHeight="1">
      <c r="A535" s="646" t="s">
        <v>2568</v>
      </c>
      <c r="B535" s="634" t="s">
        <v>1214</v>
      </c>
      <c r="C535" s="635" t="s">
        <v>176</v>
      </c>
      <c r="D535" s="635" t="s">
        <v>205</v>
      </c>
      <c r="E535" s="636" t="s">
        <v>303</v>
      </c>
      <c r="F535" s="636"/>
      <c r="G535" s="638" t="s">
        <v>1099</v>
      </c>
      <c r="H535" s="3"/>
    </row>
    <row r="536" spans="1:29" ht="15" customHeight="1">
      <c r="A536" s="634" t="s">
        <v>2570</v>
      </c>
      <c r="B536" s="644" t="s">
        <v>1215</v>
      </c>
      <c r="C536" s="635" t="s">
        <v>176</v>
      </c>
      <c r="D536" s="635" t="s">
        <v>209</v>
      </c>
      <c r="E536" s="636" t="s">
        <v>303</v>
      </c>
      <c r="F536" s="636"/>
      <c r="G536" s="638" t="s">
        <v>1099</v>
      </c>
      <c r="H536" s="3"/>
    </row>
    <row r="537" spans="1:29" ht="15" customHeight="1">
      <c r="A537" s="634" t="s">
        <v>2572</v>
      </c>
      <c r="B537" s="644" t="s">
        <v>1216</v>
      </c>
      <c r="C537" s="635" t="s">
        <v>176</v>
      </c>
      <c r="D537" s="635" t="s">
        <v>206</v>
      </c>
      <c r="E537" s="636" t="s">
        <v>303</v>
      </c>
      <c r="F537" s="636"/>
      <c r="G537" s="638" t="s">
        <v>1099</v>
      </c>
      <c r="H537" s="3"/>
    </row>
    <row r="538" spans="1:29" ht="15" customHeight="1">
      <c r="A538" s="646" t="s">
        <v>2575</v>
      </c>
      <c r="B538" s="634" t="s">
        <v>1217</v>
      </c>
      <c r="C538" s="635" t="s">
        <v>176</v>
      </c>
      <c r="D538" s="635" t="s">
        <v>207</v>
      </c>
      <c r="E538" s="636" t="s">
        <v>303</v>
      </c>
      <c r="F538" s="636"/>
      <c r="G538" s="638" t="s">
        <v>1099</v>
      </c>
      <c r="H538" s="3"/>
      <c r="I538" s="3"/>
      <c r="J538" s="3"/>
      <c r="L538" s="3"/>
      <c r="M538" s="3"/>
      <c r="N538" s="3"/>
      <c r="O538" s="3"/>
      <c r="P538" s="3"/>
      <c r="Q538" s="3"/>
      <c r="R538" s="3"/>
      <c r="S538" s="3"/>
      <c r="T538" s="3"/>
      <c r="U538" s="3"/>
      <c r="V538" s="3"/>
      <c r="W538" s="3"/>
      <c r="X538" s="3"/>
      <c r="Y538" s="3"/>
      <c r="Z538" s="3"/>
      <c r="AA538" s="3"/>
      <c r="AB538" s="3"/>
      <c r="AC538" s="3"/>
    </row>
    <row r="539" spans="1:29" ht="15" customHeight="1">
      <c r="A539" s="646" t="s">
        <v>2577</v>
      </c>
      <c r="B539" s="634" t="s">
        <v>1218</v>
      </c>
      <c r="C539" s="635" t="s">
        <v>176</v>
      </c>
      <c r="D539" s="635" t="s">
        <v>211</v>
      </c>
      <c r="E539" s="636" t="s">
        <v>303</v>
      </c>
      <c r="F539" s="636"/>
      <c r="G539" s="638" t="s">
        <v>1099</v>
      </c>
      <c r="H539" s="3"/>
      <c r="K539" s="3"/>
    </row>
    <row r="540" spans="1:29" ht="15" customHeight="1">
      <c r="A540" s="634" t="s">
        <v>3343</v>
      </c>
      <c r="B540" s="634" t="s">
        <v>1341</v>
      </c>
      <c r="C540" s="635" t="s">
        <v>176</v>
      </c>
      <c r="D540" s="635" t="s">
        <v>214</v>
      </c>
      <c r="E540" s="636" t="s">
        <v>303</v>
      </c>
      <c r="F540" s="636"/>
      <c r="G540" s="636" t="s">
        <v>1099</v>
      </c>
      <c r="H540" s="3"/>
      <c r="K540" s="3"/>
    </row>
    <row r="541" spans="1:29" ht="15" customHeight="1">
      <c r="A541" s="634" t="s">
        <v>3344</v>
      </c>
      <c r="B541" s="634" t="s">
        <v>3261</v>
      </c>
      <c r="C541" s="635" t="s">
        <v>176</v>
      </c>
      <c r="D541" s="635" t="s">
        <v>140</v>
      </c>
      <c r="E541" s="636" t="s">
        <v>303</v>
      </c>
      <c r="F541" s="636"/>
      <c r="G541" s="638" t="s">
        <v>1099</v>
      </c>
      <c r="H541" s="3"/>
    </row>
    <row r="542" spans="1:29" ht="15" customHeight="1">
      <c r="A542" s="634" t="s">
        <v>2580</v>
      </c>
      <c r="B542" s="644" t="s">
        <v>755</v>
      </c>
      <c r="C542" s="635"/>
      <c r="D542" s="635"/>
      <c r="E542" s="636" t="s">
        <v>303</v>
      </c>
      <c r="F542" s="636"/>
      <c r="G542" s="638" t="s">
        <v>761</v>
      </c>
      <c r="H542" s="3"/>
    </row>
    <row r="543" spans="1:29" ht="15" customHeight="1">
      <c r="A543" s="646" t="s">
        <v>2583</v>
      </c>
      <c r="B543" s="634" t="s">
        <v>756</v>
      </c>
      <c r="C543" s="635"/>
      <c r="D543" s="635"/>
      <c r="E543" s="636" t="s">
        <v>303</v>
      </c>
      <c r="F543" s="642"/>
      <c r="G543" s="638" t="s">
        <v>761</v>
      </c>
      <c r="H543" s="3"/>
    </row>
    <row r="544" spans="1:29" ht="15" customHeight="1">
      <c r="A544" s="646" t="s">
        <v>2586</v>
      </c>
      <c r="B544" s="644" t="s">
        <v>757</v>
      </c>
      <c r="C544" s="635"/>
      <c r="D544" s="635"/>
      <c r="E544" s="636" t="s">
        <v>303</v>
      </c>
      <c r="F544" s="636"/>
      <c r="G544" s="638" t="s">
        <v>761</v>
      </c>
      <c r="H544" s="3"/>
    </row>
    <row r="545" spans="1:29" ht="15" customHeight="1">
      <c r="A545" s="646" t="s">
        <v>2589</v>
      </c>
      <c r="B545" s="644" t="s">
        <v>758</v>
      </c>
      <c r="C545" s="635"/>
      <c r="D545" s="635"/>
      <c r="E545" s="636" t="s">
        <v>303</v>
      </c>
      <c r="F545" s="636"/>
      <c r="G545" s="638" t="s">
        <v>761</v>
      </c>
      <c r="H545" s="3"/>
    </row>
    <row r="546" spans="1:29" ht="15" customHeight="1">
      <c r="A546" s="646" t="s">
        <v>2592</v>
      </c>
      <c r="B546" s="634" t="s">
        <v>1103</v>
      </c>
      <c r="C546" s="635" t="s">
        <v>180</v>
      </c>
      <c r="D546" s="635" t="s">
        <v>130</v>
      </c>
      <c r="E546" s="636" t="s">
        <v>303</v>
      </c>
      <c r="F546" s="636"/>
      <c r="G546" s="638" t="e">
        <v>#N/A</v>
      </c>
      <c r="H546" s="3"/>
    </row>
    <row r="547" spans="1:29" ht="15" customHeight="1">
      <c r="A547" s="646" t="s">
        <v>2595</v>
      </c>
      <c r="B547" s="644" t="s">
        <v>1342</v>
      </c>
      <c r="C547" s="635" t="s">
        <v>180</v>
      </c>
      <c r="D547" s="635" t="s">
        <v>130</v>
      </c>
      <c r="E547" s="636" t="s">
        <v>303</v>
      </c>
      <c r="F547" s="636"/>
      <c r="G547" s="636" t="e">
        <v>#N/A</v>
      </c>
      <c r="H547" s="3"/>
    </row>
    <row r="548" spans="1:29" ht="15" customHeight="1">
      <c r="A548" s="634" t="s">
        <v>2598</v>
      </c>
      <c r="B548" s="644" t="s">
        <v>1111</v>
      </c>
      <c r="C548" s="635" t="s">
        <v>180</v>
      </c>
      <c r="D548" s="635" t="s">
        <v>129</v>
      </c>
      <c r="E548" s="636" t="s">
        <v>303</v>
      </c>
      <c r="F548" s="636"/>
      <c r="G548" s="638" t="s">
        <v>1099</v>
      </c>
      <c r="H548" s="3"/>
    </row>
    <row r="549" spans="1:29" ht="15" customHeight="1">
      <c r="A549" s="646" t="s">
        <v>2601</v>
      </c>
      <c r="B549" s="634" t="s">
        <v>1219</v>
      </c>
      <c r="C549" s="635" t="s">
        <v>180</v>
      </c>
      <c r="D549" s="635" t="s">
        <v>204</v>
      </c>
      <c r="E549" s="636" t="s">
        <v>303</v>
      </c>
      <c r="F549" s="636"/>
      <c r="G549" s="638" t="s">
        <v>2</v>
      </c>
      <c r="H549" s="3"/>
    </row>
    <row r="550" spans="1:29" ht="15" customHeight="1">
      <c r="A550" s="634" t="s">
        <v>2604</v>
      </c>
      <c r="B550" s="644" t="s">
        <v>1116</v>
      </c>
      <c r="C550" s="635" t="s">
        <v>180</v>
      </c>
      <c r="D550" s="635" t="s">
        <v>120</v>
      </c>
      <c r="E550" s="636" t="s">
        <v>303</v>
      </c>
      <c r="F550" s="636"/>
      <c r="G550" s="638" t="s">
        <v>1099</v>
      </c>
      <c r="H550" s="3"/>
    </row>
    <row r="551" spans="1:29" ht="15" customHeight="1">
      <c r="A551" s="646" t="s">
        <v>2607</v>
      </c>
      <c r="B551" s="634" t="s">
        <v>1118</v>
      </c>
      <c r="C551" s="635" t="s">
        <v>180</v>
      </c>
      <c r="D551" s="635" t="s">
        <v>121</v>
      </c>
      <c r="E551" s="636" t="s">
        <v>303</v>
      </c>
      <c r="F551" s="636"/>
      <c r="G551" s="638" t="s">
        <v>2</v>
      </c>
      <c r="H551" s="3"/>
    </row>
    <row r="552" spans="1:29" ht="15" customHeight="1">
      <c r="A552" s="646" t="s">
        <v>2610</v>
      </c>
      <c r="B552" s="644" t="s">
        <v>1120</v>
      </c>
      <c r="C552" s="635" t="s">
        <v>180</v>
      </c>
      <c r="D552" s="635" t="s">
        <v>122</v>
      </c>
      <c r="E552" s="636" t="s">
        <v>303</v>
      </c>
      <c r="F552" s="636"/>
      <c r="G552" s="638" t="s">
        <v>1099</v>
      </c>
      <c r="H552" s="3"/>
    </row>
    <row r="553" spans="1:29" ht="15" customHeight="1">
      <c r="A553" s="646" t="s">
        <v>2613</v>
      </c>
      <c r="B553" s="634" t="s">
        <v>1220</v>
      </c>
      <c r="C553" s="635" t="s">
        <v>180</v>
      </c>
      <c r="D553" s="635" t="s">
        <v>124</v>
      </c>
      <c r="E553" s="636" t="s">
        <v>303</v>
      </c>
      <c r="F553" s="636"/>
      <c r="G553" s="638" t="s">
        <v>1099</v>
      </c>
      <c r="H553" s="3"/>
    </row>
    <row r="554" spans="1:29" ht="15" customHeight="1">
      <c r="A554" s="646" t="s">
        <v>2616</v>
      </c>
      <c r="B554" s="644" t="s">
        <v>1124</v>
      </c>
      <c r="C554" s="635" t="s">
        <v>180</v>
      </c>
      <c r="D554" s="635" t="s">
        <v>127</v>
      </c>
      <c r="E554" s="636" t="s">
        <v>303</v>
      </c>
      <c r="F554" s="636"/>
      <c r="G554" s="638" t="s">
        <v>1099</v>
      </c>
      <c r="H554" s="3"/>
    </row>
    <row r="555" spans="1:29" ht="15" customHeight="1">
      <c r="A555" s="646" t="s">
        <v>2619</v>
      </c>
      <c r="B555" s="634" t="s">
        <v>1126</v>
      </c>
      <c r="C555" s="635" t="s">
        <v>180</v>
      </c>
      <c r="D555" s="635" t="s">
        <v>125</v>
      </c>
      <c r="E555" s="636" t="s">
        <v>303</v>
      </c>
      <c r="F555" s="636"/>
      <c r="G555" s="638" t="s">
        <v>1099</v>
      </c>
      <c r="H555" s="3"/>
    </row>
    <row r="556" spans="1:29" ht="15" customHeight="1">
      <c r="A556" s="646" t="s">
        <v>2622</v>
      </c>
      <c r="B556" s="644" t="s">
        <v>1221</v>
      </c>
      <c r="C556" s="635" t="s">
        <v>180</v>
      </c>
      <c r="D556" s="635" t="s">
        <v>125</v>
      </c>
      <c r="E556" s="636" t="s">
        <v>303</v>
      </c>
      <c r="F556" s="636"/>
      <c r="G556" s="638" t="e">
        <v>#N/A</v>
      </c>
      <c r="H556" s="3"/>
    </row>
    <row r="557" spans="1:29" ht="15" customHeight="1">
      <c r="A557" s="646" t="s">
        <v>2625</v>
      </c>
      <c r="B557" s="634" t="s">
        <v>1176</v>
      </c>
      <c r="C557" s="635" t="s">
        <v>180</v>
      </c>
      <c r="D557" s="635" t="s">
        <v>126</v>
      </c>
      <c r="E557" s="636" t="s">
        <v>303</v>
      </c>
      <c r="F557" s="636"/>
      <c r="G557" s="638" t="s">
        <v>1099</v>
      </c>
      <c r="H557" s="3"/>
      <c r="I557" s="3"/>
      <c r="J557" s="3"/>
      <c r="L557" s="3"/>
      <c r="M557" s="3"/>
      <c r="N557" s="3"/>
      <c r="O557" s="3"/>
      <c r="P557" s="3"/>
      <c r="Q557" s="3"/>
      <c r="R557" s="3"/>
      <c r="S557" s="3"/>
      <c r="T557" s="3"/>
      <c r="U557" s="3"/>
      <c r="V557" s="3"/>
      <c r="W557" s="3"/>
      <c r="X557" s="3"/>
      <c r="Y557" s="3"/>
      <c r="Z557" s="3"/>
      <c r="AA557" s="3"/>
      <c r="AB557" s="3"/>
      <c r="AC557" s="3"/>
    </row>
    <row r="558" spans="1:29" ht="15" customHeight="1">
      <c r="A558" s="646" t="s">
        <v>2629</v>
      </c>
      <c r="B558" s="644" t="s">
        <v>1132</v>
      </c>
      <c r="C558" s="635" t="s">
        <v>180</v>
      </c>
      <c r="D558" s="635" t="s">
        <v>135</v>
      </c>
      <c r="E558" s="636" t="s">
        <v>303</v>
      </c>
      <c r="F558" s="636"/>
      <c r="G558" s="638" t="s">
        <v>1099</v>
      </c>
      <c r="H558" s="3"/>
    </row>
    <row r="559" spans="1:29" ht="15" customHeight="1">
      <c r="A559" s="918" t="s">
        <v>2632</v>
      </c>
      <c r="B559" s="648" t="s">
        <v>1134</v>
      </c>
      <c r="C559" s="649" t="s">
        <v>180</v>
      </c>
      <c r="D559" s="635" t="s">
        <v>136</v>
      </c>
      <c r="E559" s="636" t="s">
        <v>303</v>
      </c>
      <c r="F559" s="636"/>
      <c r="G559" s="636" t="s">
        <v>1099</v>
      </c>
      <c r="H559" s="3"/>
    </row>
    <row r="560" spans="1:29" ht="15" customHeight="1">
      <c r="A560" s="646" t="s">
        <v>2635</v>
      </c>
      <c r="B560" s="644" t="s">
        <v>1136</v>
      </c>
      <c r="C560" s="635" t="s">
        <v>180</v>
      </c>
      <c r="D560" s="635" t="s">
        <v>141</v>
      </c>
      <c r="E560" s="636" t="s">
        <v>303</v>
      </c>
      <c r="F560" s="636"/>
      <c r="G560" s="638" t="s">
        <v>1099</v>
      </c>
      <c r="H560" s="3"/>
    </row>
    <row r="561" spans="1:8" ht="15" customHeight="1">
      <c r="A561" s="646" t="s">
        <v>2638</v>
      </c>
      <c r="B561" s="634" t="s">
        <v>1138</v>
      </c>
      <c r="C561" s="635" t="s">
        <v>180</v>
      </c>
      <c r="D561" s="635" t="s">
        <v>131</v>
      </c>
      <c r="E561" s="636" t="s">
        <v>303</v>
      </c>
      <c r="F561" s="636"/>
      <c r="G561" s="638" t="s">
        <v>1099</v>
      </c>
      <c r="H561" s="3"/>
    </row>
    <row r="562" spans="1:8" ht="15" customHeight="1">
      <c r="A562" s="634" t="s">
        <v>2641</v>
      </c>
      <c r="B562" s="641" t="s">
        <v>1140</v>
      </c>
      <c r="C562" s="635" t="s">
        <v>180</v>
      </c>
      <c r="D562" s="635" t="s">
        <v>139</v>
      </c>
      <c r="E562" s="636" t="s">
        <v>303</v>
      </c>
      <c r="F562" s="637"/>
      <c r="G562" s="638" t="s">
        <v>2</v>
      </c>
      <c r="H562" s="3"/>
    </row>
    <row r="563" spans="1:8" ht="15" customHeight="1">
      <c r="A563" s="646" t="s">
        <v>2643</v>
      </c>
      <c r="B563" s="641" t="s">
        <v>1142</v>
      </c>
      <c r="C563" s="635" t="s">
        <v>180</v>
      </c>
      <c r="D563" s="635" t="s">
        <v>132</v>
      </c>
      <c r="E563" s="636" t="s">
        <v>303</v>
      </c>
      <c r="F563" s="637"/>
      <c r="G563" s="638" t="e">
        <v>#N/A</v>
      </c>
      <c r="H563" s="3"/>
    </row>
    <row r="564" spans="1:8" ht="15" customHeight="1">
      <c r="A564" s="646" t="s">
        <v>2646</v>
      </c>
      <c r="B564" s="641" t="s">
        <v>1144</v>
      </c>
      <c r="C564" s="635" t="s">
        <v>180</v>
      </c>
      <c r="D564" s="635" t="s">
        <v>137</v>
      </c>
      <c r="E564" s="636" t="s">
        <v>303</v>
      </c>
      <c r="F564" s="637"/>
      <c r="G564" s="638" t="e">
        <v>#N/A</v>
      </c>
      <c r="H564" s="3"/>
    </row>
    <row r="565" spans="1:8" ht="15" customHeight="1">
      <c r="A565" s="646" t="s">
        <v>2649</v>
      </c>
      <c r="B565" s="641" t="s">
        <v>1146</v>
      </c>
      <c r="C565" s="635" t="s">
        <v>180</v>
      </c>
      <c r="D565" s="635" t="s">
        <v>138</v>
      </c>
      <c r="E565" s="636" t="s">
        <v>303</v>
      </c>
      <c r="F565" s="637"/>
      <c r="G565" s="638" t="s">
        <v>1099</v>
      </c>
      <c r="H565" s="3"/>
    </row>
    <row r="566" spans="1:8" ht="15" customHeight="1">
      <c r="A566" s="646" t="s">
        <v>2652</v>
      </c>
      <c r="B566" s="641" t="s">
        <v>1148</v>
      </c>
      <c r="C566" s="635" t="s">
        <v>180</v>
      </c>
      <c r="D566" s="635" t="s">
        <v>140</v>
      </c>
      <c r="E566" s="636" t="s">
        <v>303</v>
      </c>
      <c r="F566" s="637"/>
      <c r="G566" s="638" t="s">
        <v>1099</v>
      </c>
      <c r="H566" s="3"/>
    </row>
    <row r="567" spans="1:8" ht="15" customHeight="1">
      <c r="A567" s="646" t="s">
        <v>2655</v>
      </c>
      <c r="B567" s="641" t="s">
        <v>1222</v>
      </c>
      <c r="C567" s="635" t="s">
        <v>180</v>
      </c>
      <c r="D567" s="635" t="s">
        <v>133</v>
      </c>
      <c r="E567" s="636" t="s">
        <v>303</v>
      </c>
      <c r="F567" s="637"/>
      <c r="G567" s="638" t="s">
        <v>1099</v>
      </c>
      <c r="H567" s="3"/>
    </row>
    <row r="568" spans="1:8" ht="15" customHeight="1">
      <c r="A568" s="646" t="s">
        <v>3345</v>
      </c>
      <c r="B568" s="641" t="s">
        <v>1223</v>
      </c>
      <c r="C568" s="635" t="s">
        <v>180</v>
      </c>
      <c r="D568" s="635" t="s">
        <v>142</v>
      </c>
      <c r="E568" s="636" t="s">
        <v>303</v>
      </c>
      <c r="F568" s="637"/>
      <c r="G568" s="638" t="s">
        <v>2</v>
      </c>
      <c r="H568" s="3"/>
    </row>
    <row r="569" spans="1:8" ht="15" customHeight="1">
      <c r="A569" s="646" t="s">
        <v>3812</v>
      </c>
      <c r="B569" s="641" t="s">
        <v>3811</v>
      </c>
      <c r="C569" s="635" t="s">
        <v>180</v>
      </c>
      <c r="D569" s="635" t="s">
        <v>134</v>
      </c>
      <c r="E569" s="636" t="s">
        <v>303</v>
      </c>
      <c r="F569" s="637"/>
      <c r="G569" s="638" t="s">
        <v>1099</v>
      </c>
      <c r="H569" s="3"/>
    </row>
    <row r="570" spans="1:8" ht="15" customHeight="1">
      <c r="A570" s="646" t="s">
        <v>2658</v>
      </c>
      <c r="B570" s="641" t="s">
        <v>1154</v>
      </c>
      <c r="C570" s="635" t="s">
        <v>180</v>
      </c>
      <c r="D570" s="635" t="s">
        <v>134</v>
      </c>
      <c r="E570" s="636" t="s">
        <v>303</v>
      </c>
      <c r="F570" s="637"/>
      <c r="G570" s="638" t="s">
        <v>1099</v>
      </c>
      <c r="H570" s="3"/>
    </row>
    <row r="571" spans="1:8" ht="15" customHeight="1">
      <c r="A571" s="646" t="s">
        <v>2661</v>
      </c>
      <c r="B571" s="644" t="s">
        <v>1156</v>
      </c>
      <c r="C571" s="635" t="s">
        <v>180</v>
      </c>
      <c r="D571" s="635" t="s">
        <v>221</v>
      </c>
      <c r="E571" s="636" t="s">
        <v>303</v>
      </c>
      <c r="F571" s="637"/>
      <c r="G571" s="638" t="s">
        <v>1099</v>
      </c>
      <c r="H571" s="3"/>
    </row>
    <row r="572" spans="1:8" ht="15" customHeight="1">
      <c r="A572" s="646" t="s">
        <v>2664</v>
      </c>
      <c r="B572" s="641" t="s">
        <v>1334</v>
      </c>
      <c r="C572" s="635" t="s">
        <v>180</v>
      </c>
      <c r="D572" s="635" t="s">
        <v>213</v>
      </c>
      <c r="E572" s="636" t="s">
        <v>303</v>
      </c>
      <c r="F572" s="637"/>
      <c r="G572" s="636" t="s">
        <v>1099</v>
      </c>
      <c r="H572" s="3"/>
    </row>
    <row r="573" spans="1:8" ht="15" customHeight="1">
      <c r="A573" s="646" t="s">
        <v>2667</v>
      </c>
      <c r="B573" s="641" t="s">
        <v>759</v>
      </c>
      <c r="C573" s="635"/>
      <c r="D573" s="635"/>
      <c r="E573" s="636" t="s">
        <v>303</v>
      </c>
      <c r="F573" s="637"/>
      <c r="G573" s="638" t="s">
        <v>761</v>
      </c>
      <c r="H573" s="3"/>
    </row>
    <row r="574" spans="1:8" ht="15" customHeight="1">
      <c r="A574" s="646" t="s">
        <v>2670</v>
      </c>
      <c r="B574" s="641" t="s">
        <v>1224</v>
      </c>
      <c r="C574" s="635" t="s">
        <v>180</v>
      </c>
      <c r="D574" s="635" t="s">
        <v>210</v>
      </c>
      <c r="E574" s="636" t="s">
        <v>303</v>
      </c>
      <c r="F574" s="637"/>
      <c r="G574" s="638" t="s">
        <v>1099</v>
      </c>
      <c r="H574" s="3"/>
    </row>
    <row r="575" spans="1:8" ht="15" customHeight="1">
      <c r="A575" s="646" t="s">
        <v>2673</v>
      </c>
      <c r="B575" s="641" t="s">
        <v>1225</v>
      </c>
      <c r="C575" s="635" t="s">
        <v>180</v>
      </c>
      <c r="D575" s="635" t="s">
        <v>205</v>
      </c>
      <c r="E575" s="636" t="s">
        <v>303</v>
      </c>
      <c r="F575" s="637"/>
      <c r="G575" s="638" t="s">
        <v>1099</v>
      </c>
      <c r="H575" s="3"/>
    </row>
    <row r="576" spans="1:8" ht="15" customHeight="1">
      <c r="A576" s="646" t="s">
        <v>2676</v>
      </c>
      <c r="B576" s="641" t="s">
        <v>1226</v>
      </c>
      <c r="C576" s="635" t="s">
        <v>180</v>
      </c>
      <c r="D576" s="635" t="s">
        <v>209</v>
      </c>
      <c r="E576" s="636" t="s">
        <v>303</v>
      </c>
      <c r="F576" s="637"/>
      <c r="G576" s="638" t="s">
        <v>1099</v>
      </c>
      <c r="H576" s="3"/>
    </row>
    <row r="577" spans="1:11" ht="15" customHeight="1">
      <c r="A577" s="646" t="s">
        <v>2679</v>
      </c>
      <c r="B577" s="641" t="s">
        <v>1227</v>
      </c>
      <c r="C577" s="635" t="s">
        <v>180</v>
      </c>
      <c r="D577" s="635" t="s">
        <v>206</v>
      </c>
      <c r="E577" s="636" t="s">
        <v>303</v>
      </c>
      <c r="F577" s="637"/>
      <c r="G577" s="638" t="s">
        <v>1099</v>
      </c>
      <c r="H577" s="3"/>
    </row>
    <row r="578" spans="1:11" ht="15" customHeight="1">
      <c r="A578" s="646" t="s">
        <v>2682</v>
      </c>
      <c r="B578" s="641" t="s">
        <v>1228</v>
      </c>
      <c r="C578" s="635" t="s">
        <v>180</v>
      </c>
      <c r="D578" s="635" t="s">
        <v>207</v>
      </c>
      <c r="E578" s="636" t="s">
        <v>303</v>
      </c>
      <c r="F578" s="637"/>
      <c r="G578" s="638" t="s">
        <v>1099</v>
      </c>
      <c r="H578" s="3"/>
    </row>
    <row r="579" spans="1:11" ht="15" customHeight="1">
      <c r="A579" s="646" t="s">
        <v>2685</v>
      </c>
      <c r="B579" s="641" t="s">
        <v>1229</v>
      </c>
      <c r="C579" s="635" t="s">
        <v>180</v>
      </c>
      <c r="D579" s="635" t="s">
        <v>211</v>
      </c>
      <c r="E579" s="636" t="s">
        <v>303</v>
      </c>
      <c r="F579" s="637"/>
      <c r="G579" s="638" t="e">
        <v>#N/A</v>
      </c>
      <c r="H579" s="3"/>
    </row>
    <row r="580" spans="1:11" ht="15" customHeight="1">
      <c r="A580" s="653" t="s">
        <v>3346</v>
      </c>
      <c r="B580" s="653" t="s">
        <v>1343</v>
      </c>
      <c r="C580" s="635" t="s">
        <v>180</v>
      </c>
      <c r="D580" s="635" t="s">
        <v>214</v>
      </c>
      <c r="E580" s="636" t="s">
        <v>303</v>
      </c>
      <c r="F580" s="636"/>
      <c r="G580" s="636" t="s">
        <v>2</v>
      </c>
      <c r="H580" s="3"/>
    </row>
    <row r="581" spans="1:11" ht="15" customHeight="1">
      <c r="A581" s="653" t="s">
        <v>3873</v>
      </c>
      <c r="B581" s="653" t="s">
        <v>3872</v>
      </c>
      <c r="C581" s="635" t="s">
        <v>92</v>
      </c>
      <c r="D581" s="635" t="s">
        <v>121</v>
      </c>
      <c r="E581" s="636" t="s">
        <v>303</v>
      </c>
      <c r="F581" s="636"/>
      <c r="G581" s="638" t="s">
        <v>1099</v>
      </c>
      <c r="H581" s="3"/>
    </row>
    <row r="582" spans="1:11" ht="15" customHeight="1">
      <c r="A582" s="634" t="s">
        <v>2687</v>
      </c>
      <c r="B582" s="641" t="s">
        <v>671</v>
      </c>
      <c r="C582" s="635"/>
      <c r="D582" s="635"/>
      <c r="E582" s="636"/>
      <c r="F582" s="637"/>
      <c r="G582" s="638" t="e">
        <v>#N/A</v>
      </c>
      <c r="H582" s="3"/>
    </row>
    <row r="583" spans="1:11" ht="15" customHeight="1">
      <c r="A583" s="646" t="s">
        <v>2690</v>
      </c>
      <c r="B583" s="641" t="s">
        <v>672</v>
      </c>
      <c r="C583" s="635"/>
      <c r="D583" s="635"/>
      <c r="E583" s="636"/>
      <c r="F583" s="637"/>
      <c r="G583" s="638" t="e">
        <v>#N/A</v>
      </c>
      <c r="H583" s="3"/>
    </row>
    <row r="584" spans="1:11" ht="15" customHeight="1">
      <c r="A584" s="646" t="s">
        <v>2693</v>
      </c>
      <c r="B584" s="641" t="s">
        <v>673</v>
      </c>
      <c r="C584" s="635"/>
      <c r="D584" s="635"/>
      <c r="E584" s="636"/>
      <c r="F584" s="637"/>
      <c r="G584" s="638" t="s">
        <v>761</v>
      </c>
      <c r="H584" s="3"/>
    </row>
    <row r="585" spans="1:11" ht="15" customHeight="1">
      <c r="A585" s="634" t="s">
        <v>3347</v>
      </c>
      <c r="B585" s="634" t="s">
        <v>1344</v>
      </c>
      <c r="C585" s="635" t="s">
        <v>198</v>
      </c>
      <c r="D585" s="635" t="s">
        <v>216</v>
      </c>
      <c r="E585" s="636" t="s">
        <v>303</v>
      </c>
      <c r="F585" s="637"/>
      <c r="G585" s="638" t="s">
        <v>1099</v>
      </c>
      <c r="H585" s="3"/>
    </row>
    <row r="586" spans="1:11" ht="15" customHeight="1">
      <c r="A586" s="654" t="s">
        <v>2696</v>
      </c>
      <c r="B586" s="651" t="s">
        <v>1232</v>
      </c>
      <c r="C586" s="649" t="s">
        <v>92</v>
      </c>
      <c r="D586" s="635" t="s">
        <v>148</v>
      </c>
      <c r="E586" s="636" t="s">
        <v>303</v>
      </c>
      <c r="F586" s="637"/>
      <c r="G586" s="638" t="s">
        <v>1099</v>
      </c>
      <c r="H586" s="3"/>
    </row>
    <row r="587" spans="1:11" ht="15" customHeight="1">
      <c r="A587" s="654" t="s">
        <v>1234</v>
      </c>
      <c r="B587" s="651" t="s">
        <v>1233</v>
      </c>
      <c r="C587" s="649" t="s">
        <v>180</v>
      </c>
      <c r="D587" s="635" t="s">
        <v>188</v>
      </c>
      <c r="E587" s="636" t="s">
        <v>303</v>
      </c>
      <c r="F587" s="637"/>
      <c r="G587" s="638" t="s">
        <v>1099</v>
      </c>
      <c r="H587" s="3"/>
      <c r="K587" s="3"/>
    </row>
    <row r="588" spans="1:11" ht="15" customHeight="1">
      <c r="A588" s="646" t="s">
        <v>2701</v>
      </c>
      <c r="B588" s="641" t="s">
        <v>1345</v>
      </c>
      <c r="C588" s="635" t="s">
        <v>92</v>
      </c>
      <c r="D588" s="635" t="s">
        <v>145</v>
      </c>
      <c r="E588" s="636" t="s">
        <v>303</v>
      </c>
      <c r="F588" s="637"/>
      <c r="G588" s="638" t="s">
        <v>1099</v>
      </c>
      <c r="H588" s="3"/>
    </row>
    <row r="589" spans="1:11" ht="15" customHeight="1">
      <c r="A589" s="654" t="s">
        <v>1236</v>
      </c>
      <c r="B589" s="661" t="s">
        <v>1235</v>
      </c>
      <c r="C589" s="635" t="s">
        <v>92</v>
      </c>
      <c r="D589" s="635" t="s">
        <v>105</v>
      </c>
      <c r="E589" s="636" t="s">
        <v>303</v>
      </c>
      <c r="F589" s="637" t="s">
        <v>1313</v>
      </c>
      <c r="G589" s="638" t="s">
        <v>1099</v>
      </c>
      <c r="H589" s="3"/>
    </row>
    <row r="590" spans="1:11" ht="15" customHeight="1">
      <c r="A590" s="655" t="s">
        <v>1238</v>
      </c>
      <c r="B590" s="937" t="s">
        <v>1237</v>
      </c>
      <c r="C590" s="649" t="s">
        <v>92</v>
      </c>
      <c r="D590" s="635"/>
      <c r="E590" s="642" t="s">
        <v>341</v>
      </c>
      <c r="F590" s="637"/>
      <c r="G590" s="638" t="s">
        <v>1230</v>
      </c>
      <c r="H590" s="3"/>
    </row>
    <row r="591" spans="1:11" ht="15" customHeight="1">
      <c r="A591" s="646" t="s">
        <v>1240</v>
      </c>
      <c r="B591" s="651" t="s">
        <v>1239</v>
      </c>
      <c r="C591" s="649" t="s">
        <v>152</v>
      </c>
      <c r="D591" s="635" t="s">
        <v>105</v>
      </c>
      <c r="E591" s="636" t="s">
        <v>303</v>
      </c>
      <c r="F591" s="637" t="s">
        <v>1313</v>
      </c>
      <c r="G591" s="638" t="s">
        <v>1099</v>
      </c>
      <c r="H591" s="3"/>
    </row>
    <row r="592" spans="1:11" ht="15" customHeight="1">
      <c r="A592" s="933" t="s">
        <v>1241</v>
      </c>
      <c r="B592" s="933" t="s">
        <v>1239</v>
      </c>
      <c r="C592" s="635" t="s">
        <v>152</v>
      </c>
      <c r="D592" s="635"/>
      <c r="E592" s="642" t="s">
        <v>341</v>
      </c>
      <c r="F592" s="637"/>
      <c r="G592" s="638" t="s">
        <v>1230</v>
      </c>
      <c r="H592" s="3"/>
    </row>
    <row r="593" spans="1:11" ht="15" customHeight="1">
      <c r="A593" s="646" t="s">
        <v>2708</v>
      </c>
      <c r="B593" s="641" t="s">
        <v>1242</v>
      </c>
      <c r="C593" s="635" t="s">
        <v>92</v>
      </c>
      <c r="D593" s="635" t="s">
        <v>107</v>
      </c>
      <c r="E593" s="636" t="s">
        <v>303</v>
      </c>
      <c r="F593" s="637" t="s">
        <v>1313</v>
      </c>
      <c r="G593" s="638" t="e">
        <v>#N/A</v>
      </c>
      <c r="H593" s="3"/>
    </row>
    <row r="594" spans="1:11" ht="15" customHeight="1">
      <c r="A594" s="646" t="s">
        <v>2711</v>
      </c>
      <c r="B594" s="641" t="s">
        <v>1243</v>
      </c>
      <c r="C594" s="635" t="s">
        <v>152</v>
      </c>
      <c r="D594" s="635" t="s">
        <v>107</v>
      </c>
      <c r="E594" s="636" t="s">
        <v>303</v>
      </c>
      <c r="F594" s="637" t="s">
        <v>1313</v>
      </c>
      <c r="G594" s="638" t="e">
        <v>#N/A</v>
      </c>
      <c r="H594" s="3"/>
    </row>
    <row r="595" spans="1:11" ht="15" customHeight="1">
      <c r="A595" s="933" t="s">
        <v>1245</v>
      </c>
      <c r="B595" s="933" t="s">
        <v>1244</v>
      </c>
      <c r="C595" s="635" t="s">
        <v>152</v>
      </c>
      <c r="D595" s="635"/>
      <c r="E595" s="642" t="s">
        <v>341</v>
      </c>
      <c r="F595" s="637"/>
      <c r="G595" s="638" t="e">
        <v>#N/A</v>
      </c>
      <c r="H595" s="3"/>
    </row>
    <row r="596" spans="1:11" ht="15" customHeight="1">
      <c r="A596" s="646" t="s">
        <v>2714</v>
      </c>
      <c r="B596" s="641" t="s">
        <v>1246</v>
      </c>
      <c r="C596" s="635" t="s">
        <v>92</v>
      </c>
      <c r="D596" s="635" t="s">
        <v>106</v>
      </c>
      <c r="E596" s="636" t="s">
        <v>303</v>
      </c>
      <c r="F596" s="637" t="s">
        <v>1313</v>
      </c>
      <c r="G596" s="638" t="s">
        <v>2</v>
      </c>
      <c r="H596" s="3"/>
    </row>
    <row r="597" spans="1:11" ht="15" customHeight="1">
      <c r="A597" s="655" t="s">
        <v>3290</v>
      </c>
      <c r="B597" s="935" t="s">
        <v>3289</v>
      </c>
      <c r="C597" s="635"/>
      <c r="D597" s="635"/>
      <c r="E597" s="642" t="s">
        <v>341</v>
      </c>
      <c r="F597" s="637"/>
      <c r="G597" s="638" t="e">
        <v>#N/A</v>
      </c>
      <c r="H597" s="3"/>
    </row>
    <row r="598" spans="1:11" ht="15" customHeight="1">
      <c r="A598" s="654" t="s">
        <v>2717</v>
      </c>
      <c r="B598" s="635" t="s">
        <v>1247</v>
      </c>
      <c r="C598" s="635" t="s">
        <v>92</v>
      </c>
      <c r="D598" s="635" t="s">
        <v>106</v>
      </c>
      <c r="E598" s="636" t="s">
        <v>303</v>
      </c>
      <c r="F598" s="637" t="s">
        <v>1313</v>
      </c>
      <c r="G598" s="638" t="s">
        <v>2</v>
      </c>
      <c r="H598" s="3"/>
    </row>
    <row r="599" spans="1:11" ht="15" customHeight="1">
      <c r="A599" s="655" t="s">
        <v>3292</v>
      </c>
      <c r="B599" s="935" t="s">
        <v>3291</v>
      </c>
      <c r="C599" s="635" t="s">
        <v>92</v>
      </c>
      <c r="D599" s="635"/>
      <c r="E599" s="642" t="s">
        <v>341</v>
      </c>
      <c r="F599" s="637"/>
      <c r="G599" s="638" t="e">
        <v>#N/A</v>
      </c>
      <c r="H599" s="3"/>
    </row>
    <row r="600" spans="1:11" ht="15" customHeight="1">
      <c r="A600" s="654" t="s">
        <v>2720</v>
      </c>
      <c r="B600" s="635" t="s">
        <v>1248</v>
      </c>
      <c r="C600" s="635" t="s">
        <v>152</v>
      </c>
      <c r="D600" s="635" t="s">
        <v>106</v>
      </c>
      <c r="E600" s="636" t="s">
        <v>303</v>
      </c>
      <c r="F600" s="637" t="s">
        <v>1313</v>
      </c>
      <c r="G600" s="638" t="s">
        <v>2</v>
      </c>
      <c r="H600" s="3"/>
      <c r="K600" s="3"/>
    </row>
    <row r="601" spans="1:11" ht="15" customHeight="1">
      <c r="A601" s="655" t="s">
        <v>1250</v>
      </c>
      <c r="B601" s="655" t="s">
        <v>1249</v>
      </c>
      <c r="C601" s="635" t="s">
        <v>152</v>
      </c>
      <c r="D601" s="635"/>
      <c r="E601" s="642" t="s">
        <v>341</v>
      </c>
      <c r="F601" s="637"/>
      <c r="G601" s="638" t="e">
        <v>#N/A</v>
      </c>
      <c r="H601" s="3"/>
    </row>
    <row r="602" spans="1:11" ht="15" customHeight="1">
      <c r="A602" s="654" t="s">
        <v>2723</v>
      </c>
      <c r="B602" s="635" t="s">
        <v>1251</v>
      </c>
      <c r="C602" s="635" t="s">
        <v>152</v>
      </c>
      <c r="D602" s="635" t="s">
        <v>106</v>
      </c>
      <c r="E602" s="636" t="s">
        <v>303</v>
      </c>
      <c r="F602" s="637" t="s">
        <v>1313</v>
      </c>
      <c r="G602" s="638" t="s">
        <v>2</v>
      </c>
      <c r="H602" s="3"/>
    </row>
    <row r="603" spans="1:11" ht="15" customHeight="1">
      <c r="A603" s="655" t="s">
        <v>1253</v>
      </c>
      <c r="B603" s="655" t="s">
        <v>1252</v>
      </c>
      <c r="C603" s="635" t="s">
        <v>152</v>
      </c>
      <c r="D603" s="635"/>
      <c r="E603" s="642" t="s">
        <v>341</v>
      </c>
      <c r="F603" s="637"/>
      <c r="G603" s="638" t="e">
        <v>#N/A</v>
      </c>
      <c r="H603" s="3"/>
    </row>
    <row r="604" spans="1:11" ht="15" customHeight="1">
      <c r="A604" s="654" t="s">
        <v>2726</v>
      </c>
      <c r="B604" s="635" t="s">
        <v>1346</v>
      </c>
      <c r="C604" s="635" t="s">
        <v>92</v>
      </c>
      <c r="D604" s="635" t="s">
        <v>149</v>
      </c>
      <c r="E604" s="636" t="s">
        <v>303</v>
      </c>
      <c r="F604" s="637"/>
      <c r="G604" s="638" t="s">
        <v>1099</v>
      </c>
      <c r="H604" s="3"/>
    </row>
    <row r="605" spans="1:11" ht="15" customHeight="1">
      <c r="A605" s="654" t="s">
        <v>3348</v>
      </c>
      <c r="B605" s="635" t="s">
        <v>1347</v>
      </c>
      <c r="C605" s="635" t="s">
        <v>152</v>
      </c>
      <c r="D605" s="635" t="s">
        <v>149</v>
      </c>
      <c r="E605" s="636" t="s">
        <v>303</v>
      </c>
      <c r="F605" s="637"/>
      <c r="G605" s="638" t="s">
        <v>1099</v>
      </c>
      <c r="H605" s="3"/>
    </row>
    <row r="606" spans="1:11" ht="15" customHeight="1">
      <c r="A606" s="654" t="s">
        <v>1255</v>
      </c>
      <c r="B606" s="635" t="s">
        <v>1257</v>
      </c>
      <c r="C606" s="635" t="s">
        <v>198</v>
      </c>
      <c r="D606" s="635" t="s">
        <v>216</v>
      </c>
      <c r="E606" s="636" t="s">
        <v>303</v>
      </c>
      <c r="F606" s="637"/>
      <c r="G606" s="638" t="s">
        <v>1099</v>
      </c>
      <c r="H606" s="3"/>
    </row>
    <row r="607" spans="1:11" ht="15" customHeight="1">
      <c r="A607" s="654" t="s">
        <v>3349</v>
      </c>
      <c r="B607" s="635" t="s">
        <v>1348</v>
      </c>
      <c r="C607" s="635" t="s">
        <v>198</v>
      </c>
      <c r="D607" s="635" t="s">
        <v>216</v>
      </c>
      <c r="E607" s="636" t="s">
        <v>303</v>
      </c>
      <c r="F607" s="637"/>
      <c r="G607" s="636" t="s">
        <v>1099</v>
      </c>
      <c r="H607" s="3"/>
    </row>
    <row r="608" spans="1:11" ht="15" customHeight="1">
      <c r="A608" s="654" t="s">
        <v>1260</v>
      </c>
      <c r="B608" s="936" t="s">
        <v>1258</v>
      </c>
      <c r="C608" s="635" t="s">
        <v>198</v>
      </c>
      <c r="D608" s="635" t="s">
        <v>223</v>
      </c>
      <c r="E608" s="636" t="s">
        <v>303</v>
      </c>
      <c r="F608" s="637"/>
      <c r="G608" s="638" t="s">
        <v>1099</v>
      </c>
      <c r="H608" s="3"/>
    </row>
    <row r="609" spans="1:8" ht="15" customHeight="1">
      <c r="A609" s="654" t="s">
        <v>2733</v>
      </c>
      <c r="B609" s="936" t="s">
        <v>1349</v>
      </c>
      <c r="C609" s="635" t="s">
        <v>198</v>
      </c>
      <c r="D609" s="635" t="s">
        <v>222</v>
      </c>
      <c r="E609" s="636" t="s">
        <v>303</v>
      </c>
      <c r="F609" s="637"/>
      <c r="G609" s="636" t="s">
        <v>1099</v>
      </c>
      <c r="H609" s="3"/>
    </row>
    <row r="610" spans="1:8" ht="15" customHeight="1">
      <c r="A610" s="654" t="s">
        <v>2736</v>
      </c>
      <c r="B610" s="635" t="s">
        <v>1261</v>
      </c>
      <c r="C610" s="635" t="s">
        <v>198</v>
      </c>
      <c r="D610" s="635" t="s">
        <v>223</v>
      </c>
      <c r="E610" s="636" t="s">
        <v>303</v>
      </c>
      <c r="F610" s="637"/>
      <c r="G610" s="638" t="s">
        <v>1099</v>
      </c>
      <c r="H610" s="3"/>
    </row>
    <row r="611" spans="1:8" ht="15" customHeight="1">
      <c r="A611" s="654" t="s">
        <v>3814</v>
      </c>
      <c r="B611" s="635" t="s">
        <v>3813</v>
      </c>
      <c r="C611" s="635" t="s">
        <v>1270</v>
      </c>
      <c r="D611" s="635" t="s">
        <v>3805</v>
      </c>
      <c r="E611" s="636" t="s">
        <v>303</v>
      </c>
      <c r="F611" s="637"/>
      <c r="G611" s="638" t="s">
        <v>1099</v>
      </c>
      <c r="H611" s="3"/>
    </row>
    <row r="612" spans="1:8" ht="15" customHeight="1">
      <c r="A612" s="654" t="s">
        <v>2739</v>
      </c>
      <c r="B612" s="635" t="s">
        <v>1350</v>
      </c>
      <c r="C612" s="635" t="s">
        <v>198</v>
      </c>
      <c r="D612" s="635" t="s">
        <v>142</v>
      </c>
      <c r="E612" s="636" t="s">
        <v>303</v>
      </c>
      <c r="F612" s="637"/>
      <c r="G612" s="636" t="s">
        <v>1099</v>
      </c>
      <c r="H612" s="3"/>
    </row>
    <row r="613" spans="1:8" ht="15" customHeight="1">
      <c r="A613" s="646" t="s">
        <v>3498</v>
      </c>
      <c r="B613" s="641" t="s">
        <v>3497</v>
      </c>
      <c r="C613" s="635" t="s">
        <v>161</v>
      </c>
      <c r="D613" s="635" t="s">
        <v>140</v>
      </c>
      <c r="E613" s="636" t="s">
        <v>303</v>
      </c>
      <c r="F613" s="636"/>
      <c r="G613" s="638" t="s">
        <v>1099</v>
      </c>
      <c r="H613" s="3"/>
    </row>
    <row r="614" spans="1:8" ht="15" customHeight="1">
      <c r="A614" s="995" t="s">
        <v>3822</v>
      </c>
      <c r="B614" s="996" t="s">
        <v>3821</v>
      </c>
      <c r="C614" s="635" t="s">
        <v>152</v>
      </c>
      <c r="D614" s="635" t="s">
        <v>153</v>
      </c>
      <c r="E614" s="636" t="s">
        <v>303</v>
      </c>
      <c r="F614" s="637"/>
      <c r="G614" s="636" t="s">
        <v>1055</v>
      </c>
      <c r="H614" s="3"/>
    </row>
    <row r="615" spans="1:8" ht="15" customHeight="1">
      <c r="A615" s="997" t="s">
        <v>3823</v>
      </c>
      <c r="B615" s="996" t="s">
        <v>1342</v>
      </c>
      <c r="C615" s="635" t="s">
        <v>176</v>
      </c>
      <c r="D615" s="635" t="s">
        <v>130</v>
      </c>
      <c r="E615" s="636" t="s">
        <v>303</v>
      </c>
      <c r="F615" s="637"/>
      <c r="G615" s="636" t="s">
        <v>1099</v>
      </c>
      <c r="H615" s="3"/>
    </row>
    <row r="616" spans="1:8" ht="15" customHeight="1">
      <c r="A616" s="641"/>
      <c r="B616" s="641"/>
      <c r="C616" s="635"/>
      <c r="D616" s="635"/>
      <c r="E616" s="636"/>
      <c r="F616" s="637"/>
      <c r="G616" s="636" t="e">
        <v>#N/A</v>
      </c>
      <c r="H616" s="3"/>
    </row>
    <row r="617" spans="1:8" ht="15" customHeight="1">
      <c r="A617" s="633"/>
      <c r="B617" s="644"/>
      <c r="C617" s="635"/>
      <c r="D617" s="635"/>
      <c r="E617" s="636"/>
      <c r="F617" s="637"/>
      <c r="G617" s="636" t="e">
        <v>#N/A</v>
      </c>
      <c r="H617" s="3"/>
    </row>
    <row r="618" spans="1:8" ht="15" customHeight="1">
      <c r="A618" s="641"/>
      <c r="B618" s="641"/>
      <c r="C618" s="635"/>
      <c r="D618" s="635"/>
      <c r="E618" s="636"/>
      <c r="F618" s="637"/>
      <c r="G618" s="636" t="e">
        <v>#N/A</v>
      </c>
      <c r="H618" s="3"/>
    </row>
    <row r="619" spans="1:8" ht="15" customHeight="1">
      <c r="A619" s="641"/>
      <c r="B619" s="641"/>
      <c r="C619" s="635"/>
      <c r="D619" s="635"/>
      <c r="E619" s="636"/>
      <c r="F619" s="637"/>
      <c r="G619" s="636" t="e">
        <v>#N/A</v>
      </c>
      <c r="H619" s="3"/>
    </row>
    <row r="620" spans="1:8" ht="15" customHeight="1">
      <c r="A620" s="646"/>
      <c r="B620" s="641"/>
      <c r="C620" s="635"/>
      <c r="D620" s="635"/>
      <c r="E620" s="636"/>
      <c r="F620" s="637"/>
      <c r="G620" s="636" t="e">
        <v>#N/A</v>
      </c>
      <c r="H620" s="3"/>
    </row>
    <row r="621" spans="1:8" ht="15" customHeight="1">
      <c r="A621" s="633"/>
      <c r="B621" s="644"/>
      <c r="C621" s="635"/>
      <c r="D621" s="635"/>
      <c r="E621" s="636"/>
      <c r="F621" s="637"/>
      <c r="G621" s="636" t="e">
        <v>#N/A</v>
      </c>
      <c r="H621" s="3"/>
    </row>
    <row r="622" spans="1:8" ht="15" customHeight="1">
      <c r="A622" s="645"/>
      <c r="B622" s="634"/>
      <c r="C622" s="635"/>
      <c r="D622" s="635"/>
      <c r="E622" s="636"/>
      <c r="F622" s="637"/>
      <c r="G622" s="636" t="e">
        <v>#N/A</v>
      </c>
      <c r="H622" s="3"/>
    </row>
    <row r="623" spans="1:8" ht="15" customHeight="1">
      <c r="A623" s="645"/>
      <c r="B623" s="634"/>
      <c r="C623" s="635"/>
      <c r="D623" s="635"/>
      <c r="E623" s="636"/>
      <c r="F623" s="637"/>
      <c r="G623" s="636" t="e">
        <v>#N/A</v>
      </c>
      <c r="H623" s="3"/>
    </row>
    <row r="624" spans="1:8" ht="15" customHeight="1">
      <c r="A624" s="633"/>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46"/>
      <c r="B627" s="641"/>
      <c r="C627" s="635"/>
      <c r="D627" s="635"/>
      <c r="E627" s="636"/>
      <c r="F627" s="637"/>
      <c r="G627" s="636" t="e">
        <v>#N/A</v>
      </c>
      <c r="H627" s="3"/>
    </row>
    <row r="628" spans="1:29" ht="15" customHeight="1">
      <c r="A628" s="646"/>
      <c r="B628" s="641"/>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33"/>
      <c r="B630" s="644"/>
      <c r="C630" s="635"/>
      <c r="D630" s="635"/>
      <c r="E630" s="636"/>
      <c r="F630" s="637"/>
      <c r="G630" s="636" t="e">
        <v>#N/A</v>
      </c>
      <c r="H630" s="3"/>
    </row>
    <row r="631" spans="1:29" ht="15" customHeight="1">
      <c r="A631" s="633"/>
      <c r="B631" s="644"/>
      <c r="C631" s="635"/>
      <c r="D631" s="635"/>
      <c r="E631" s="636"/>
      <c r="F631" s="637"/>
      <c r="G631" s="636" t="e">
        <v>#N/A</v>
      </c>
      <c r="H631" s="3"/>
    </row>
    <row r="632" spans="1:29" ht="15" customHeight="1">
      <c r="A632" s="647"/>
      <c r="B632" s="656"/>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row>
    <row r="635" spans="1:29" ht="15" customHeight="1">
      <c r="A635" s="633"/>
      <c r="B635" s="644"/>
      <c r="C635" s="635"/>
      <c r="D635" s="635"/>
      <c r="E635" s="636"/>
      <c r="F635" s="637"/>
      <c r="G635" s="636" t="e">
        <v>#N/A</v>
      </c>
      <c r="H635" s="3"/>
    </row>
    <row r="636" spans="1:29" ht="15" customHeight="1">
      <c r="A636" s="633"/>
      <c r="B636" s="644"/>
      <c r="C636" s="635"/>
      <c r="D636" s="635"/>
      <c r="E636" s="636"/>
      <c r="F636" s="637"/>
      <c r="G636" s="636" t="e">
        <v>#N/A</v>
      </c>
      <c r="H636" s="3"/>
      <c r="I636" s="3"/>
      <c r="J636" s="3"/>
      <c r="L636" s="3"/>
      <c r="M636" s="3"/>
      <c r="N636" s="3"/>
      <c r="O636" s="3"/>
      <c r="P636" s="3"/>
      <c r="Q636" s="3"/>
      <c r="R636" s="3"/>
      <c r="S636" s="3"/>
      <c r="T636" s="3"/>
      <c r="U636" s="3"/>
      <c r="V636" s="3"/>
      <c r="W636" s="3"/>
      <c r="X636" s="3"/>
      <c r="Y636" s="3"/>
      <c r="Z636" s="3"/>
      <c r="AA636" s="3"/>
      <c r="AB636" s="3"/>
      <c r="AC636" s="3"/>
    </row>
    <row r="637" spans="1:29" ht="15" customHeight="1">
      <c r="A637" s="644"/>
      <c r="B637" s="644"/>
      <c r="C637" s="635"/>
      <c r="D637" s="635"/>
      <c r="E637" s="636"/>
      <c r="F637" s="637"/>
      <c r="G637" s="636" t="e">
        <v>#N/A</v>
      </c>
      <c r="H637" s="3"/>
    </row>
    <row r="638" spans="1:29" ht="15" customHeight="1">
      <c r="A638" s="644"/>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row>
    <row r="642" spans="1:11" ht="15" customHeight="1">
      <c r="A642" s="633"/>
      <c r="B642" s="644"/>
      <c r="C642" s="635"/>
      <c r="D642" s="635"/>
      <c r="E642" s="636"/>
      <c r="F642" s="637"/>
      <c r="G642" s="636" t="e">
        <v>#N/A</v>
      </c>
      <c r="H642" s="3"/>
    </row>
    <row r="643" spans="1:11" ht="15" customHeight="1">
      <c r="A643" s="633"/>
      <c r="B643" s="644"/>
      <c r="C643" s="635"/>
      <c r="D643" s="635"/>
      <c r="E643" s="636"/>
      <c r="F643" s="637"/>
      <c r="G643" s="636" t="e">
        <v>#N/A</v>
      </c>
      <c r="H643" s="3"/>
      <c r="K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33"/>
      <c r="B655" s="644"/>
      <c r="C655" s="635"/>
      <c r="D655" s="635"/>
      <c r="E655" s="636"/>
      <c r="F655" s="637"/>
      <c r="G655" s="636" t="e">
        <v>#N/A</v>
      </c>
      <c r="H655" s="3"/>
    </row>
    <row r="656" spans="1:11" ht="15" customHeight="1">
      <c r="A656" s="633"/>
      <c r="B656" s="644"/>
      <c r="C656" s="635"/>
      <c r="D656" s="635"/>
      <c r="E656" s="636"/>
      <c r="F656" s="637"/>
      <c r="G656" s="636" t="e">
        <v>#N/A</v>
      </c>
      <c r="H656" s="3"/>
    </row>
    <row r="657" spans="1:29" ht="15" customHeight="1">
      <c r="A657" s="644"/>
      <c r="B657" s="644"/>
      <c r="C657" s="635"/>
      <c r="D657" s="635"/>
      <c r="E657" s="636"/>
      <c r="F657" s="637"/>
      <c r="G657" s="636" t="e">
        <v>#N/A</v>
      </c>
      <c r="H657" s="3"/>
    </row>
    <row r="658" spans="1:29" ht="15" customHeight="1">
      <c r="A658" s="644"/>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44"/>
      <c r="C660" s="635"/>
      <c r="D660" s="635"/>
      <c r="E660" s="636"/>
      <c r="F660" s="637"/>
      <c r="G660" s="636" t="e">
        <v>#N/A</v>
      </c>
      <c r="H660" s="3"/>
    </row>
    <row r="661" spans="1:29" ht="15" customHeight="1">
      <c r="A661" s="633"/>
      <c r="B661" s="644"/>
      <c r="C661" s="635"/>
      <c r="D661" s="635"/>
      <c r="E661" s="636"/>
      <c r="F661" s="637"/>
      <c r="G661" s="636" t="e">
        <v>#N/A</v>
      </c>
      <c r="H661" s="3"/>
    </row>
    <row r="662" spans="1:29" ht="15" customHeight="1">
      <c r="A662" s="633"/>
      <c r="B662" s="657"/>
      <c r="C662" s="649"/>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row>
    <row r="666" spans="1:29" ht="15" customHeight="1">
      <c r="A666" s="633"/>
      <c r="B666" s="644"/>
      <c r="C666" s="635"/>
      <c r="D666" s="635"/>
      <c r="E666" s="636"/>
      <c r="F666" s="637"/>
      <c r="G666" s="636" t="e">
        <v>#N/A</v>
      </c>
      <c r="H666" s="3"/>
    </row>
    <row r="667" spans="1:29" ht="15" customHeight="1">
      <c r="A667" s="633"/>
      <c r="B667" s="644"/>
      <c r="C667" s="635"/>
      <c r="D667" s="635"/>
      <c r="E667" s="636"/>
      <c r="F667" s="637"/>
      <c r="G667" s="636" t="e">
        <v>#N/A</v>
      </c>
      <c r="H667" s="3"/>
      <c r="I667" s="3"/>
      <c r="J667" s="3"/>
      <c r="L667" s="3"/>
      <c r="M667" s="3"/>
      <c r="N667" s="3"/>
      <c r="O667" s="3"/>
      <c r="P667" s="3"/>
      <c r="Q667" s="3"/>
      <c r="R667" s="3"/>
      <c r="S667" s="3"/>
      <c r="T667" s="3"/>
      <c r="U667" s="3"/>
      <c r="V667" s="3"/>
      <c r="W667" s="3"/>
      <c r="X667" s="3"/>
      <c r="Y667" s="3"/>
      <c r="Z667" s="3"/>
      <c r="AA667" s="3"/>
      <c r="AB667" s="3"/>
      <c r="AC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44"/>
      <c r="C688" s="635"/>
      <c r="D688" s="635"/>
      <c r="E688" s="636"/>
      <c r="F688" s="637"/>
      <c r="G688" s="636" t="e">
        <v>#N/A</v>
      </c>
      <c r="H688" s="3"/>
    </row>
    <row r="689" spans="1:29" ht="15" customHeight="1">
      <c r="A689" s="633"/>
      <c r="B689" s="644"/>
      <c r="C689" s="635"/>
      <c r="D689" s="635"/>
      <c r="E689" s="636"/>
      <c r="F689" s="637"/>
      <c r="G689" s="636" t="e">
        <v>#N/A</v>
      </c>
      <c r="H689" s="3"/>
    </row>
    <row r="690" spans="1:29" ht="15" customHeight="1">
      <c r="A690" s="633"/>
      <c r="B690" s="656"/>
      <c r="C690" s="635"/>
      <c r="D690" s="635"/>
      <c r="E690" s="636"/>
      <c r="F690" s="637"/>
      <c r="G690" s="636" t="e">
        <v>#N/A</v>
      </c>
      <c r="H690" s="3"/>
    </row>
    <row r="691" spans="1:29" ht="15" customHeight="1">
      <c r="A691" s="633"/>
      <c r="B691" s="656"/>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row>
    <row r="701" spans="1:29" ht="15" customHeight="1">
      <c r="A701" s="633"/>
      <c r="B701" s="644"/>
      <c r="C701" s="635"/>
      <c r="D701" s="635"/>
      <c r="E701" s="636"/>
      <c r="F701" s="637"/>
      <c r="G701" s="636" t="e">
        <v>#N/A</v>
      </c>
      <c r="H701" s="3"/>
    </row>
    <row r="702" spans="1:29" ht="15" customHeight="1">
      <c r="A702" s="633"/>
      <c r="B702" s="644"/>
      <c r="C702" s="635"/>
      <c r="D702" s="635"/>
      <c r="E702" s="636"/>
      <c r="F702" s="637"/>
      <c r="G702" s="636" t="e">
        <v>#N/A</v>
      </c>
      <c r="H702" s="3"/>
      <c r="I702" s="3"/>
      <c r="J702" s="3"/>
      <c r="L702" s="3"/>
      <c r="M702" s="3"/>
      <c r="N702" s="3"/>
      <c r="O702" s="3"/>
      <c r="P702" s="3"/>
      <c r="Q702" s="3"/>
      <c r="R702" s="3"/>
      <c r="S702" s="3"/>
      <c r="T702" s="3"/>
      <c r="U702" s="3"/>
      <c r="V702" s="3"/>
      <c r="W702" s="3"/>
      <c r="X702" s="3"/>
      <c r="Y702" s="3"/>
      <c r="Z702" s="3"/>
      <c r="AA702" s="3"/>
      <c r="AB702" s="3"/>
      <c r="AC702" s="3"/>
    </row>
    <row r="703" spans="1:29" ht="15" customHeight="1">
      <c r="A703" s="633"/>
      <c r="B703" s="644"/>
      <c r="C703" s="635"/>
      <c r="D703" s="635"/>
      <c r="E703" s="636"/>
      <c r="F703" s="637"/>
      <c r="G703" s="636" t="e">
        <v>#N/A</v>
      </c>
      <c r="H703" s="3"/>
    </row>
    <row r="704" spans="1:29" ht="15" customHeight="1">
      <c r="A704" s="633"/>
      <c r="B704" s="644"/>
      <c r="C704" s="635"/>
      <c r="D704" s="635"/>
      <c r="E704" s="636"/>
      <c r="F704" s="637"/>
      <c r="G704" s="636" t="e">
        <v>#N/A</v>
      </c>
      <c r="H704" s="3"/>
    </row>
    <row r="705" spans="1:29" ht="15" customHeight="1">
      <c r="A705" s="645"/>
      <c r="B705" s="634"/>
      <c r="C705" s="635"/>
      <c r="D705" s="635"/>
      <c r="E705" s="636"/>
      <c r="F705" s="637"/>
      <c r="G705" s="636" t="e">
        <v>#N/A</v>
      </c>
      <c r="H705" s="3"/>
    </row>
    <row r="706" spans="1:29" ht="15" customHeight="1">
      <c r="A706" s="633"/>
      <c r="B706" s="644"/>
      <c r="C706" s="635"/>
      <c r="D706" s="635"/>
      <c r="E706" s="636"/>
      <c r="F706" s="637"/>
      <c r="G706" s="636" t="e">
        <v>#N/A</v>
      </c>
      <c r="H706" s="3"/>
    </row>
    <row r="707" spans="1:29" ht="15" customHeight="1">
      <c r="A707" s="634"/>
      <c r="B707" s="634"/>
      <c r="C707" s="635"/>
      <c r="D707" s="635"/>
      <c r="E707" s="636"/>
      <c r="F707" s="637"/>
      <c r="G707" s="636" t="e">
        <v>#N/A</v>
      </c>
      <c r="H707" s="3"/>
    </row>
    <row r="708" spans="1:29" ht="15" customHeight="1">
      <c r="A708" s="644"/>
      <c r="B708" s="644"/>
      <c r="C708" s="635"/>
      <c r="D708" s="635"/>
      <c r="E708" s="636"/>
      <c r="F708" s="637"/>
      <c r="G708" s="636" t="e">
        <v>#N/A</v>
      </c>
      <c r="H708" s="3"/>
    </row>
    <row r="709" spans="1:29" ht="15" customHeight="1">
      <c r="A709" s="645"/>
      <c r="B709" s="634"/>
      <c r="C709" s="635"/>
      <c r="D709" s="635"/>
      <c r="E709" s="636"/>
      <c r="F709" s="637"/>
      <c r="G709" s="636" t="e">
        <v>#N/A</v>
      </c>
      <c r="H709" s="3"/>
    </row>
    <row r="710" spans="1:29" ht="15" customHeight="1">
      <c r="A710" s="644"/>
      <c r="B710" s="644"/>
      <c r="C710" s="635"/>
      <c r="D710" s="635"/>
      <c r="E710" s="636"/>
      <c r="F710" s="637"/>
      <c r="G710" s="636" t="e">
        <v>#N/A</v>
      </c>
      <c r="H710" s="3"/>
    </row>
    <row r="711" spans="1:29" ht="15" customHeight="1">
      <c r="A711" s="645"/>
      <c r="B711" s="634"/>
      <c r="C711" s="635"/>
      <c r="D711" s="635"/>
      <c r="E711" s="636"/>
      <c r="F711" s="637"/>
      <c r="G711" s="636" t="e">
        <v>#N/A</v>
      </c>
      <c r="H711" s="3"/>
    </row>
    <row r="712" spans="1:29" ht="15" customHeight="1">
      <c r="A712" s="644"/>
      <c r="B712" s="644"/>
      <c r="C712" s="635"/>
      <c r="D712" s="635"/>
      <c r="E712" s="636"/>
      <c r="F712" s="637"/>
      <c r="G712" s="636" t="e">
        <v>#N/A</v>
      </c>
      <c r="H712" s="3"/>
    </row>
    <row r="713" spans="1:29" ht="15" customHeight="1">
      <c r="A713" s="633"/>
      <c r="B713" s="644"/>
      <c r="C713" s="635"/>
      <c r="D713" s="635"/>
      <c r="E713" s="636"/>
      <c r="F713" s="637"/>
      <c r="G713" s="636" t="e">
        <v>#N/A</v>
      </c>
      <c r="H713" s="3"/>
    </row>
    <row r="714" spans="1:29" ht="15" customHeight="1">
      <c r="A714" s="633"/>
      <c r="B714" s="644"/>
      <c r="C714" s="635"/>
      <c r="D714" s="635"/>
      <c r="E714" s="636"/>
      <c r="F714" s="637"/>
      <c r="G714" s="636" t="e">
        <v>#N/A</v>
      </c>
      <c r="H714" s="3"/>
    </row>
    <row r="715" spans="1:29" ht="15" customHeight="1">
      <c r="A715" s="633"/>
      <c r="B715" s="644"/>
      <c r="C715" s="635"/>
      <c r="D715" s="635"/>
      <c r="E715" s="636"/>
      <c r="F715" s="637"/>
      <c r="G715" s="636"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44"/>
      <c r="B716" s="644"/>
      <c r="C716" s="635"/>
      <c r="D716" s="635"/>
      <c r="E716" s="636"/>
      <c r="F716" s="637"/>
      <c r="G716" s="636" t="e">
        <v>#N/A</v>
      </c>
      <c r="H716" s="3"/>
    </row>
    <row r="717" spans="1:29" ht="15" customHeight="1">
      <c r="A717" s="644"/>
      <c r="B717" s="644"/>
      <c r="C717" s="635"/>
      <c r="D717" s="635"/>
      <c r="E717" s="636"/>
      <c r="F717" s="637"/>
      <c r="G717" s="636" t="e">
        <v>#N/A</v>
      </c>
      <c r="H717" s="3"/>
      <c r="I717" s="3"/>
      <c r="J717" s="3"/>
      <c r="L717" s="3"/>
      <c r="M717" s="3"/>
      <c r="N717" s="3"/>
      <c r="O717" s="3"/>
      <c r="P717" s="3"/>
      <c r="Q717" s="3"/>
      <c r="R717" s="3"/>
      <c r="S717" s="3"/>
      <c r="T717" s="3"/>
      <c r="U717" s="3"/>
      <c r="V717" s="3"/>
      <c r="W717" s="3"/>
      <c r="X717" s="3"/>
      <c r="Y717" s="3"/>
      <c r="Z717" s="3"/>
      <c r="AA717" s="3"/>
      <c r="AB717" s="3"/>
      <c r="AC717" s="3"/>
    </row>
    <row r="718" spans="1:29" ht="15" customHeight="1">
      <c r="A718" s="633"/>
      <c r="B718" s="644"/>
      <c r="C718" s="635"/>
      <c r="D718" s="635"/>
      <c r="E718" s="636"/>
      <c r="F718" s="637"/>
      <c r="G718" s="636" t="e">
        <v>#N/A</v>
      </c>
      <c r="H718" s="3"/>
      <c r="K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33"/>
      <c r="B727" s="644"/>
      <c r="C727" s="635"/>
      <c r="D727" s="635"/>
      <c r="E727" s="636"/>
      <c r="F727" s="637"/>
      <c r="G727" s="636" t="e">
        <v>#N/A</v>
      </c>
      <c r="H727" s="3"/>
    </row>
    <row r="728" spans="1:8" ht="15" customHeight="1">
      <c r="A728" s="633"/>
      <c r="B728" s="644"/>
      <c r="C728" s="635"/>
      <c r="D728" s="635"/>
      <c r="E728" s="636"/>
      <c r="F728" s="637"/>
      <c r="G728" s="636" t="e">
        <v>#N/A</v>
      </c>
      <c r="H728" s="3"/>
    </row>
    <row r="729" spans="1:8" ht="15" customHeight="1">
      <c r="A729" s="658"/>
      <c r="B729" s="657"/>
      <c r="C729" s="649"/>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8" ht="15" customHeight="1">
      <c r="A737" s="633"/>
      <c r="B737" s="644"/>
      <c r="C737" s="635"/>
      <c r="D737" s="635"/>
      <c r="E737" s="636"/>
      <c r="F737" s="637"/>
      <c r="G737" s="636" t="e">
        <v>#N/A</v>
      </c>
      <c r="H737" s="3"/>
    </row>
    <row r="738" spans="1:8" ht="15" customHeight="1">
      <c r="A738" s="633"/>
      <c r="B738" s="644"/>
      <c r="C738" s="635"/>
      <c r="D738" s="635"/>
      <c r="E738" s="636"/>
      <c r="F738" s="637"/>
      <c r="G738" s="636" t="e">
        <v>#N/A</v>
      </c>
      <c r="H738" s="3"/>
    </row>
    <row r="739" spans="1:8" ht="15" customHeight="1">
      <c r="A739" s="658"/>
      <c r="B739" s="659"/>
      <c r="C739" s="635"/>
      <c r="D739" s="635"/>
      <c r="E739" s="636"/>
      <c r="F739" s="637"/>
      <c r="G739" s="636" t="e">
        <v>#N/A</v>
      </c>
      <c r="H739" s="3"/>
    </row>
    <row r="740" spans="1:8" ht="15" customHeight="1">
      <c r="A740" s="633"/>
      <c r="B740" s="641"/>
      <c r="C740" s="635"/>
      <c r="D740" s="635"/>
      <c r="E740" s="636"/>
      <c r="F740" s="637"/>
      <c r="G740" s="636" t="e">
        <v>#N/A</v>
      </c>
      <c r="H740" s="3"/>
    </row>
    <row r="741" spans="1:8" ht="15" customHeight="1">
      <c r="A741" s="633"/>
      <c r="B741" s="644"/>
      <c r="C741" s="635"/>
      <c r="D741" s="635"/>
      <c r="E741" s="636"/>
      <c r="F741" s="637"/>
      <c r="G741" s="636" t="e">
        <v>#N/A</v>
      </c>
      <c r="H741" s="3"/>
    </row>
    <row r="742" spans="1:8" ht="15" customHeight="1">
      <c r="A742" s="633"/>
      <c r="B742" s="644"/>
      <c r="C742" s="635"/>
      <c r="D742" s="635"/>
      <c r="E742" s="636"/>
      <c r="F742" s="637"/>
      <c r="G742" s="636" t="e">
        <v>#N/A</v>
      </c>
      <c r="H742" s="3"/>
    </row>
    <row r="743" spans="1:8" ht="15" customHeight="1">
      <c r="A743" s="633"/>
      <c r="B743" s="644"/>
      <c r="C743" s="635"/>
      <c r="D743" s="635"/>
      <c r="E743" s="636"/>
      <c r="F743" s="637"/>
      <c r="G743" s="636" t="e">
        <v>#N/A</v>
      </c>
      <c r="H743" s="3"/>
    </row>
    <row r="744" spans="1:8" ht="15" customHeight="1">
      <c r="A744" s="633"/>
      <c r="B744" s="644"/>
      <c r="C744" s="635"/>
      <c r="D744" s="635"/>
      <c r="E744" s="636"/>
      <c r="F744" s="637"/>
      <c r="G744" s="636" t="e">
        <v>#N/A</v>
      </c>
      <c r="H744" s="3"/>
    </row>
    <row r="745" spans="1:8" ht="15" customHeight="1">
      <c r="A745" s="633"/>
      <c r="B745" s="644"/>
      <c r="C745" s="635"/>
      <c r="D745" s="635"/>
      <c r="E745" s="636"/>
      <c r="F745" s="637"/>
      <c r="G745" s="636" t="e">
        <v>#N/A</v>
      </c>
      <c r="H745" s="3"/>
    </row>
    <row r="746" spans="1:8" ht="15" customHeight="1">
      <c r="A746" s="645"/>
      <c r="B746" s="634"/>
      <c r="C746" s="635"/>
      <c r="D746" s="635"/>
      <c r="E746" s="636"/>
      <c r="F746" s="637"/>
      <c r="G746" s="636" t="e">
        <v>#N/A</v>
      </c>
      <c r="H746" s="3"/>
    </row>
    <row r="747" spans="1:8" ht="15" customHeight="1">
      <c r="A747" s="633"/>
      <c r="B747" s="644"/>
      <c r="C747" s="635"/>
      <c r="D747" s="635"/>
      <c r="E747" s="636"/>
      <c r="F747" s="637"/>
      <c r="G747" s="636" t="e">
        <v>#N/A</v>
      </c>
      <c r="H747" s="3"/>
    </row>
    <row r="748" spans="1:8" ht="15" customHeight="1">
      <c r="A748" s="633"/>
      <c r="B748" s="644"/>
      <c r="C748" s="635"/>
      <c r="D748" s="635"/>
      <c r="E748" s="636"/>
      <c r="F748" s="637"/>
      <c r="G748" s="636" t="e">
        <v>#N/A</v>
      </c>
      <c r="H748" s="3"/>
    </row>
    <row r="749" spans="1:8" ht="15" customHeight="1">
      <c r="A749" s="633"/>
      <c r="B749" s="644"/>
      <c r="C749" s="635"/>
      <c r="D749" s="635"/>
      <c r="E749" s="636"/>
      <c r="F749" s="637"/>
      <c r="G749" s="636" t="e">
        <v>#N/A</v>
      </c>
      <c r="H749" s="3"/>
    </row>
    <row r="750" spans="1:8" ht="15" customHeight="1">
      <c r="A750" s="633"/>
      <c r="B750" s="644"/>
      <c r="C750" s="635"/>
      <c r="D750" s="635"/>
      <c r="E750" s="636"/>
      <c r="F750" s="637"/>
      <c r="G750" s="636" t="e">
        <v>#N/A</v>
      </c>
      <c r="H750" s="3"/>
    </row>
    <row r="751" spans="1:8" ht="15" customHeight="1">
      <c r="A751" s="633"/>
      <c r="B751" s="644"/>
      <c r="C751" s="635"/>
      <c r="D751" s="635"/>
      <c r="E751" s="636"/>
      <c r="F751" s="637"/>
      <c r="G751" s="636" t="e">
        <v>#N/A</v>
      </c>
      <c r="H751" s="3"/>
    </row>
    <row r="752" spans="1:8" ht="15" customHeight="1">
      <c r="A752" s="633"/>
      <c r="B752" s="644"/>
      <c r="C752" s="635"/>
      <c r="D752" s="635"/>
      <c r="E752" s="636"/>
      <c r="F752" s="637"/>
      <c r="G752" s="636" t="e">
        <v>#N/A</v>
      </c>
      <c r="H752" s="3"/>
    </row>
    <row r="753" spans="1:11" ht="15" customHeight="1">
      <c r="A753" s="633"/>
      <c r="B753" s="644"/>
      <c r="C753" s="635"/>
      <c r="D753" s="635"/>
      <c r="E753" s="636"/>
      <c r="F753" s="637"/>
      <c r="G753" s="636" t="e">
        <v>#N/A</v>
      </c>
      <c r="H753" s="3"/>
      <c r="K753" s="3"/>
    </row>
    <row r="754" spans="1:11" ht="15" customHeight="1">
      <c r="A754" s="633"/>
      <c r="B754" s="644"/>
      <c r="C754" s="635"/>
      <c r="D754" s="635"/>
      <c r="E754" s="636"/>
      <c r="F754" s="637"/>
      <c r="G754" s="636" t="e">
        <v>#N/A</v>
      </c>
      <c r="H754" s="3"/>
    </row>
    <row r="755" spans="1:11" ht="15" customHeight="1">
      <c r="A755" s="633"/>
      <c r="B755" s="657"/>
      <c r="C755" s="649"/>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33"/>
      <c r="B761" s="644"/>
      <c r="C761" s="635"/>
      <c r="D761" s="635"/>
      <c r="E761" s="636"/>
      <c r="F761" s="637"/>
      <c r="G761" s="636" t="e">
        <v>#N/A</v>
      </c>
      <c r="H761" s="3"/>
    </row>
    <row r="762" spans="1:11" ht="15" customHeight="1">
      <c r="A762" s="633"/>
      <c r="B762" s="644"/>
      <c r="C762" s="635"/>
      <c r="D762" s="635"/>
      <c r="E762" s="636"/>
      <c r="F762" s="637"/>
      <c r="G762" s="636" t="e">
        <v>#N/A</v>
      </c>
      <c r="H762" s="3"/>
    </row>
    <row r="763" spans="1:11" ht="15" customHeight="1">
      <c r="A763" s="644"/>
      <c r="B763" s="644"/>
      <c r="C763" s="635"/>
      <c r="D763" s="635"/>
      <c r="E763" s="636"/>
      <c r="F763" s="637"/>
      <c r="G763" s="636" t="e">
        <v>#N/A</v>
      </c>
      <c r="H763" s="3"/>
    </row>
    <row r="764" spans="1:11" ht="15" customHeight="1">
      <c r="A764" s="633"/>
      <c r="B764" s="644"/>
      <c r="C764" s="635"/>
      <c r="D764" s="635"/>
      <c r="E764" s="636"/>
      <c r="F764" s="637"/>
      <c r="G764" s="636" t="e">
        <v>#N/A</v>
      </c>
      <c r="H764" s="3"/>
    </row>
    <row r="765" spans="1:11" ht="15" customHeight="1">
      <c r="A765" s="633"/>
      <c r="B765" s="644"/>
      <c r="C765" s="635"/>
      <c r="D765" s="635"/>
      <c r="E765" s="636"/>
      <c r="F765" s="637"/>
      <c r="G765" s="636" t="e">
        <v>#N/A</v>
      </c>
      <c r="H765" s="3"/>
    </row>
    <row r="766" spans="1:11" ht="15" customHeight="1">
      <c r="A766" s="633"/>
      <c r="B766" s="644"/>
      <c r="C766" s="635"/>
      <c r="D766" s="635"/>
      <c r="E766" s="636"/>
      <c r="F766" s="637"/>
      <c r="G766" s="636" t="e">
        <v>#N/A</v>
      </c>
      <c r="H766" s="3"/>
      <c r="K766" s="3"/>
    </row>
    <row r="767" spans="1:11" ht="15" customHeight="1">
      <c r="A767" s="633"/>
      <c r="B767" s="644"/>
      <c r="C767" s="635"/>
      <c r="D767" s="635"/>
      <c r="E767" s="636"/>
      <c r="F767" s="637"/>
      <c r="G767" s="636" t="e">
        <v>#N/A</v>
      </c>
      <c r="H767" s="3"/>
    </row>
    <row r="768" spans="1:11" ht="15" customHeight="1">
      <c r="A768" s="633"/>
      <c r="B768" s="644"/>
      <c r="C768" s="635"/>
      <c r="D768" s="635"/>
      <c r="E768" s="636"/>
      <c r="F768" s="637"/>
      <c r="G768" s="636" t="e">
        <v>#N/A</v>
      </c>
      <c r="H768" s="3"/>
      <c r="K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row>
    <row r="774" spans="1:29" ht="15" customHeight="1">
      <c r="A774" s="633"/>
      <c r="B774" s="644"/>
      <c r="C774" s="635"/>
      <c r="D774" s="635"/>
      <c r="E774" s="636"/>
      <c r="F774" s="637"/>
      <c r="G774" s="636" t="e">
        <v>#N/A</v>
      </c>
      <c r="H774" s="3"/>
    </row>
    <row r="775" spans="1:29" ht="15" customHeight="1">
      <c r="A775" s="633"/>
      <c r="B775" s="644"/>
      <c r="C775" s="635"/>
      <c r="D775" s="635"/>
      <c r="E775" s="636"/>
      <c r="F775" s="637"/>
      <c r="G775" s="636" t="e">
        <v>#N/A</v>
      </c>
      <c r="H775" s="3"/>
      <c r="I775" s="3"/>
      <c r="J775" s="3"/>
      <c r="L775" s="3"/>
      <c r="M775" s="3"/>
      <c r="N775" s="3"/>
      <c r="O775" s="3"/>
      <c r="P775" s="3"/>
      <c r="Q775" s="3"/>
      <c r="R775" s="3"/>
      <c r="S775" s="3"/>
      <c r="T775" s="3"/>
      <c r="U775" s="3"/>
      <c r="V775" s="3"/>
      <c r="W775" s="3"/>
      <c r="X775" s="3"/>
      <c r="Y775" s="3"/>
      <c r="Z775" s="3"/>
      <c r="AA775" s="3"/>
      <c r="AB775" s="3"/>
      <c r="AC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33"/>
      <c r="B798" s="644"/>
      <c r="C798" s="635"/>
      <c r="D798" s="635"/>
      <c r="E798" s="636"/>
      <c r="F798" s="637"/>
      <c r="G798" s="636" t="e">
        <v>#N/A</v>
      </c>
      <c r="H798" s="3"/>
    </row>
    <row r="799" spans="1:8" ht="15" customHeight="1">
      <c r="A799" s="633"/>
      <c r="B799" s="644"/>
      <c r="C799" s="635"/>
      <c r="D799" s="635"/>
      <c r="E799" s="636"/>
      <c r="F799" s="637"/>
      <c r="G799" s="636" t="e">
        <v>#N/A</v>
      </c>
      <c r="H799" s="3"/>
    </row>
    <row r="800" spans="1:8" ht="15" customHeight="1">
      <c r="A800" s="644"/>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row>
    <row r="810" spans="1:29" ht="15" customHeight="1">
      <c r="A810" s="633"/>
      <c r="B810" s="644"/>
      <c r="C810" s="635"/>
      <c r="D810" s="635"/>
      <c r="E810" s="636"/>
      <c r="F810" s="637"/>
      <c r="G810" s="636" t="e">
        <v>#N/A</v>
      </c>
      <c r="H810" s="3"/>
    </row>
    <row r="811" spans="1:29" ht="15" customHeight="1">
      <c r="A811" s="633"/>
      <c r="B811" s="644"/>
      <c r="C811" s="635"/>
      <c r="D811" s="635"/>
      <c r="E811" s="636"/>
      <c r="F811" s="637"/>
      <c r="G811" s="636" t="e">
        <v>#N/A</v>
      </c>
      <c r="H811" s="3"/>
      <c r="I811" s="3"/>
      <c r="J811" s="3"/>
      <c r="L811" s="3"/>
      <c r="M811" s="3"/>
      <c r="N811" s="3"/>
      <c r="O811" s="3"/>
      <c r="P811" s="3"/>
      <c r="Q811" s="3"/>
      <c r="R811" s="3"/>
      <c r="S811" s="3"/>
      <c r="T811" s="3"/>
      <c r="U811" s="3"/>
      <c r="V811" s="3"/>
      <c r="W811" s="3"/>
      <c r="X811" s="3"/>
      <c r="Y811" s="3"/>
      <c r="Z811" s="3"/>
      <c r="AA811" s="3"/>
      <c r="AB811" s="3"/>
      <c r="AC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row>
    <row r="817" spans="1:29" ht="15" customHeight="1">
      <c r="A817" s="633"/>
      <c r="B817" s="644"/>
      <c r="C817" s="635"/>
      <c r="D817" s="635"/>
      <c r="E817" s="636"/>
      <c r="F817" s="637"/>
      <c r="G817" s="636" t="e">
        <v>#N/A</v>
      </c>
      <c r="H817" s="3"/>
    </row>
    <row r="818" spans="1:29" ht="15" customHeight="1">
      <c r="A818" s="633"/>
      <c r="B818" s="644"/>
      <c r="C818" s="635"/>
      <c r="D818" s="635"/>
      <c r="E818" s="636"/>
      <c r="F818" s="637"/>
      <c r="G818" s="636" t="e">
        <v>#N/A</v>
      </c>
      <c r="H818" s="3"/>
      <c r="K818" s="3"/>
    </row>
    <row r="819" spans="1:29" ht="15" customHeight="1">
      <c r="A819" s="633"/>
      <c r="B819" s="644"/>
      <c r="C819" s="635"/>
      <c r="D819" s="635"/>
      <c r="E819" s="636"/>
      <c r="F819" s="637"/>
      <c r="G819" s="636" t="e">
        <v>#N/A</v>
      </c>
      <c r="H819" s="3"/>
    </row>
    <row r="820" spans="1:29" ht="15" customHeight="1">
      <c r="A820" s="633"/>
      <c r="B820" s="644"/>
      <c r="C820" s="635"/>
      <c r="D820" s="635"/>
      <c r="E820" s="636"/>
      <c r="F820" s="637"/>
      <c r="G820" s="636" t="e">
        <v>#N/A</v>
      </c>
      <c r="H820" s="3"/>
    </row>
    <row r="821" spans="1:29" ht="15" customHeight="1">
      <c r="A821" s="633"/>
      <c r="B821" s="644"/>
      <c r="C821" s="635"/>
      <c r="D821" s="635"/>
      <c r="E821" s="636"/>
      <c r="F821" s="637"/>
      <c r="G821" s="636" t="e">
        <v>#N/A</v>
      </c>
      <c r="H821" s="3"/>
    </row>
    <row r="822" spans="1:29" ht="15" customHeight="1">
      <c r="A822" s="633"/>
      <c r="B822" s="659"/>
      <c r="C822" s="635"/>
      <c r="D822" s="635"/>
      <c r="E822" s="636"/>
      <c r="F822" s="637"/>
      <c r="G822" s="636" t="e">
        <v>#N/A</v>
      </c>
      <c r="H822" s="3"/>
    </row>
    <row r="823" spans="1:29" ht="15" customHeight="1">
      <c r="A823" s="633"/>
      <c r="B823" s="644"/>
      <c r="C823" s="635"/>
      <c r="D823" s="635"/>
      <c r="E823" s="636"/>
      <c r="F823" s="637"/>
      <c r="G823" s="636" t="e">
        <v>#N/A</v>
      </c>
      <c r="H823" s="4"/>
    </row>
    <row r="824" spans="1:29" ht="15" customHeight="1">
      <c r="A824" s="633"/>
      <c r="B824" s="644"/>
      <c r="C824" s="635"/>
      <c r="D824" s="635"/>
      <c r="E824" s="636"/>
      <c r="F824" s="637"/>
      <c r="G824" s="636" t="e">
        <v>#N/A</v>
      </c>
      <c r="H824" s="4"/>
    </row>
    <row r="825" spans="1:29" ht="15" customHeight="1">
      <c r="A825" s="633"/>
      <c r="B825" s="644"/>
      <c r="C825" s="635"/>
      <c r="D825" s="635"/>
      <c r="E825" s="636"/>
      <c r="F825" s="637"/>
      <c r="G825" s="636" t="e">
        <v>#N/A</v>
      </c>
      <c r="H825" s="3"/>
    </row>
    <row r="826" spans="1:29" ht="15" customHeight="1">
      <c r="A826" s="633"/>
      <c r="B826" s="644"/>
      <c r="C826" s="635"/>
      <c r="D826" s="635"/>
      <c r="E826" s="636"/>
      <c r="F826" s="637"/>
      <c r="G826" s="636" t="e">
        <v>#N/A</v>
      </c>
      <c r="H826" s="3"/>
    </row>
    <row r="827" spans="1:29" ht="15" customHeight="1">
      <c r="A827" s="633"/>
      <c r="B827" s="644"/>
      <c r="C827" s="635"/>
      <c r="D827" s="635"/>
      <c r="E827" s="636"/>
      <c r="F827" s="637"/>
      <c r="G827" s="636" t="e">
        <v>#N/A</v>
      </c>
      <c r="H827" s="3"/>
      <c r="I827" s="3"/>
      <c r="J827" s="3"/>
      <c r="K827" s="3"/>
      <c r="L827" s="3"/>
      <c r="M827" s="3"/>
      <c r="N827" s="3"/>
      <c r="O827" s="3"/>
      <c r="P827" s="3"/>
      <c r="Q827" s="3"/>
      <c r="R827" s="3"/>
      <c r="S827" s="3"/>
      <c r="T827" s="3"/>
      <c r="U827" s="3"/>
      <c r="V827" s="3"/>
      <c r="W827" s="3"/>
      <c r="X827" s="3"/>
      <c r="Y827" s="3"/>
      <c r="Z827" s="3"/>
      <c r="AA827" s="3"/>
      <c r="AB827" s="3"/>
      <c r="AC827" s="3"/>
    </row>
    <row r="828" spans="1:29" ht="15" customHeight="1">
      <c r="A828" s="633"/>
      <c r="B828" s="644"/>
      <c r="C828" s="635"/>
      <c r="D828" s="635"/>
      <c r="E828" s="636"/>
      <c r="F828" s="637"/>
      <c r="G828" s="636" t="e">
        <v>#N/A</v>
      </c>
      <c r="H828" s="3"/>
      <c r="I828" s="3"/>
      <c r="J828" s="3"/>
      <c r="L828" s="3"/>
      <c r="M828" s="3"/>
      <c r="N828" s="3"/>
      <c r="O828" s="3"/>
      <c r="P828" s="3"/>
      <c r="Q828" s="3"/>
      <c r="R828" s="3"/>
      <c r="S828" s="3"/>
      <c r="T828" s="3"/>
      <c r="U828" s="3"/>
      <c r="V828" s="3"/>
      <c r="W828" s="3"/>
      <c r="X828" s="3"/>
      <c r="Y828" s="3"/>
      <c r="Z828" s="3"/>
      <c r="AA828" s="3"/>
      <c r="AB828" s="3"/>
      <c r="AC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33"/>
      <c r="B831" s="644"/>
      <c r="C831" s="635"/>
      <c r="D831" s="635"/>
      <c r="E831" s="636"/>
      <c r="F831" s="637"/>
      <c r="G831" s="636" t="e">
        <v>#N/A</v>
      </c>
      <c r="H831" s="3"/>
    </row>
    <row r="832" spans="1:29" ht="15" customHeight="1">
      <c r="A832" s="633"/>
      <c r="B832" s="644"/>
      <c r="C832" s="635"/>
      <c r="D832" s="635"/>
      <c r="E832" s="636"/>
      <c r="F832" s="637"/>
      <c r="G832" s="636" t="e">
        <v>#N/A</v>
      </c>
      <c r="H832" s="3"/>
    </row>
    <row r="833" spans="1:29" ht="15" customHeight="1">
      <c r="A833" s="644"/>
      <c r="B833" s="644"/>
      <c r="C833" s="635"/>
      <c r="D833" s="635"/>
      <c r="E833" s="636"/>
      <c r="F833" s="637"/>
      <c r="G833" s="636" t="e">
        <v>#N/A</v>
      </c>
      <c r="H833" s="33"/>
    </row>
    <row r="834" spans="1:29" ht="15" customHeight="1">
      <c r="A834" s="644"/>
      <c r="B834" s="644"/>
      <c r="C834" s="635"/>
      <c r="D834" s="635"/>
      <c r="E834" s="636"/>
      <c r="F834" s="637"/>
      <c r="G834" s="636" t="e">
        <v>#N/A</v>
      </c>
      <c r="H834" s="33"/>
      <c r="I834" s="3"/>
      <c r="J834" s="3"/>
      <c r="L834" s="3"/>
      <c r="M834" s="3"/>
      <c r="N834" s="3"/>
      <c r="O834" s="3"/>
      <c r="P834" s="3"/>
      <c r="Q834" s="3"/>
      <c r="R834" s="3"/>
      <c r="S834" s="3"/>
      <c r="T834" s="3"/>
      <c r="U834" s="3"/>
      <c r="V834" s="3"/>
      <c r="W834" s="3"/>
      <c r="X834" s="3"/>
      <c r="Y834" s="3"/>
      <c r="Z834" s="3"/>
      <c r="AA834" s="3"/>
      <c r="AB834" s="3"/>
      <c r="AC834" s="3"/>
    </row>
    <row r="835" spans="1:29" ht="15" customHeight="1">
      <c r="A835" s="633"/>
      <c r="B835" s="644"/>
      <c r="C835" s="635"/>
      <c r="D835" s="635"/>
      <c r="E835" s="636"/>
      <c r="F835" s="637"/>
      <c r="G835" s="636" t="e">
        <v>#N/A</v>
      </c>
      <c r="H835" s="33"/>
    </row>
    <row r="836" spans="1:29" ht="15" customHeight="1">
      <c r="A836" s="633"/>
      <c r="B836" s="644"/>
      <c r="C836" s="635"/>
      <c r="D836" s="635"/>
      <c r="E836" s="636"/>
      <c r="F836" s="637"/>
      <c r="G836" s="636" t="e">
        <v>#N/A</v>
      </c>
      <c r="H836" s="33"/>
    </row>
    <row r="837" spans="1:29" ht="15" customHeight="1">
      <c r="A837" s="633"/>
      <c r="B837" s="644"/>
      <c r="C837" s="635"/>
      <c r="D837" s="635"/>
      <c r="E837" s="636"/>
      <c r="F837" s="637"/>
      <c r="G837" s="636" t="e">
        <v>#N/A</v>
      </c>
      <c r="H837" s="33"/>
    </row>
    <row r="838" spans="1:29" ht="15" customHeight="1">
      <c r="A838" s="633"/>
      <c r="B838" s="644"/>
      <c r="C838" s="635"/>
      <c r="D838" s="635"/>
      <c r="E838" s="636"/>
      <c r="F838" s="637"/>
      <c r="G838" s="636" t="e">
        <v>#N/A</v>
      </c>
      <c r="H838" s="33"/>
    </row>
    <row r="839" spans="1:29" ht="15" customHeight="1">
      <c r="A839" s="633"/>
      <c r="B839" s="644"/>
      <c r="C839" s="635"/>
      <c r="D839" s="635"/>
      <c r="E839" s="636"/>
      <c r="F839" s="637"/>
      <c r="G839" s="636" t="e">
        <v>#N/A</v>
      </c>
      <c r="H839" s="33"/>
    </row>
    <row r="840" spans="1:29" ht="15" customHeight="1">
      <c r="A840" s="633"/>
      <c r="B840" s="644"/>
      <c r="C840" s="635"/>
      <c r="D840" s="635"/>
      <c r="E840" s="636"/>
      <c r="F840" s="637"/>
      <c r="G840" s="636" t="e">
        <v>#N/A</v>
      </c>
      <c r="H840" s="33"/>
    </row>
    <row r="841" spans="1:29" ht="15" customHeight="1">
      <c r="A841" s="633"/>
      <c r="B841" s="657"/>
      <c r="C841" s="649"/>
      <c r="D841" s="635"/>
      <c r="E841" s="636"/>
      <c r="F841" s="637"/>
      <c r="G841" s="636" t="e">
        <v>#N/A</v>
      </c>
      <c r="H841" s="33"/>
    </row>
    <row r="842" spans="1:29" ht="15" customHeight="1">
      <c r="A842" s="633"/>
      <c r="B842" s="644"/>
      <c r="C842" s="635"/>
      <c r="D842" s="635"/>
      <c r="E842" s="636"/>
      <c r="F842" s="637"/>
      <c r="G842" s="636" t="e">
        <v>#N/A</v>
      </c>
      <c r="H842" s="33"/>
    </row>
    <row r="843" spans="1:29" ht="15" customHeight="1">
      <c r="A843" s="633"/>
      <c r="B843" s="644"/>
      <c r="C843" s="635"/>
      <c r="D843" s="635"/>
      <c r="E843" s="636"/>
      <c r="F843" s="637"/>
      <c r="G843" s="636" t="e">
        <v>#N/A</v>
      </c>
      <c r="H843" s="33"/>
    </row>
    <row r="844" spans="1:29" ht="15" customHeight="1">
      <c r="A844" s="633"/>
      <c r="B844" s="644"/>
      <c r="C844" s="635"/>
      <c r="D844" s="635"/>
      <c r="E844" s="636"/>
      <c r="F844" s="637"/>
      <c r="G844" s="636" t="e">
        <v>#N/A</v>
      </c>
      <c r="H844" s="33"/>
    </row>
    <row r="845" spans="1:29" ht="15" customHeight="1">
      <c r="A845" s="633"/>
      <c r="B845" s="644"/>
      <c r="C845" s="635"/>
      <c r="D845" s="635"/>
      <c r="E845" s="636"/>
      <c r="F845" s="637"/>
      <c r="G845" s="636" t="e">
        <v>#N/A</v>
      </c>
      <c r="H845" s="33"/>
    </row>
    <row r="846" spans="1:29" ht="15" customHeight="1">
      <c r="A846" s="633"/>
      <c r="B846" s="644"/>
      <c r="C846" s="635"/>
      <c r="D846" s="635"/>
      <c r="E846" s="636"/>
      <c r="F846" s="637"/>
      <c r="G846" s="636" t="e">
        <v>#N/A</v>
      </c>
      <c r="H846" s="3"/>
    </row>
    <row r="847" spans="1:29" ht="15" customHeight="1">
      <c r="A847" s="633"/>
      <c r="B847" s="644"/>
      <c r="C847" s="635"/>
      <c r="D847" s="635"/>
      <c r="E847" s="636"/>
      <c r="F847" s="637"/>
      <c r="G847" s="636" t="e">
        <v>#N/A</v>
      </c>
      <c r="H847" s="3"/>
    </row>
    <row r="848" spans="1:29"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
    </row>
    <row r="855" spans="1:8" ht="15" customHeight="1">
      <c r="A855" s="633"/>
      <c r="B855" s="644"/>
      <c r="C855" s="635"/>
      <c r="D855" s="635"/>
      <c r="E855" s="636"/>
      <c r="F855" s="637"/>
      <c r="G855" s="636" t="e">
        <v>#N/A</v>
      </c>
      <c r="H855" s="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33"/>
      <c r="B861" s="644"/>
      <c r="C861" s="635"/>
      <c r="D861" s="635"/>
      <c r="E861" s="636"/>
      <c r="F861" s="637"/>
      <c r="G861" s="636" t="e">
        <v>#N/A</v>
      </c>
      <c r="H861" s="33"/>
    </row>
    <row r="862" spans="1:8" ht="15" customHeight="1">
      <c r="A862" s="633"/>
      <c r="B862" s="644"/>
      <c r="C862" s="635"/>
      <c r="D862" s="635"/>
      <c r="E862" s="636"/>
      <c r="F862" s="637"/>
      <c r="G862" s="636" t="e">
        <v>#N/A</v>
      </c>
      <c r="H862" s="33"/>
    </row>
    <row r="863" spans="1:8" ht="15" customHeight="1">
      <c r="A863" s="658"/>
      <c r="B863" s="656"/>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33"/>
      <c r="B866" s="644"/>
      <c r="C866" s="635"/>
      <c r="D866" s="635"/>
      <c r="E866" s="636"/>
      <c r="F866" s="637"/>
      <c r="G866" s="636" t="e">
        <v>#N/A</v>
      </c>
      <c r="H866" s="33"/>
    </row>
    <row r="867" spans="1:11" ht="15" customHeight="1">
      <c r="A867" s="633"/>
      <c r="B867" s="644"/>
      <c r="C867" s="635"/>
      <c r="D867" s="635"/>
      <c r="E867" s="636"/>
      <c r="F867" s="637"/>
      <c r="G867" s="636" t="e">
        <v>#N/A</v>
      </c>
      <c r="H867" s="33"/>
    </row>
    <row r="868" spans="1:11" ht="15" customHeight="1">
      <c r="A868" s="644"/>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row>
    <row r="877" spans="1:11" ht="15" customHeight="1">
      <c r="A877" s="633"/>
      <c r="B877" s="644"/>
      <c r="C877" s="635"/>
      <c r="D877" s="635"/>
      <c r="E877" s="636"/>
      <c r="F877" s="637"/>
      <c r="G877" s="636" t="e">
        <v>#N/A</v>
      </c>
      <c r="H877" s="33"/>
    </row>
    <row r="878" spans="1:11" ht="15" customHeight="1">
      <c r="A878" s="633"/>
      <c r="B878" s="644"/>
      <c r="C878" s="635"/>
      <c r="D878" s="635"/>
      <c r="E878" s="636"/>
      <c r="F878" s="637"/>
      <c r="G878" s="636" t="e">
        <v>#N/A</v>
      </c>
      <c r="H878" s="33"/>
      <c r="K878" s="3"/>
    </row>
    <row r="879" spans="1:11" ht="15" customHeight="1">
      <c r="A879" s="633"/>
      <c r="B879" s="644"/>
      <c r="C879" s="635"/>
      <c r="D879" s="635"/>
      <c r="E879" s="636"/>
      <c r="F879" s="637"/>
      <c r="G879" s="636" t="e">
        <v>#N/A</v>
      </c>
      <c r="H879" s="33"/>
      <c r="K879" s="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row>
    <row r="882" spans="1:29" ht="15" customHeight="1">
      <c r="A882" s="633"/>
      <c r="B882" s="644"/>
      <c r="C882" s="635"/>
      <c r="D882" s="635"/>
      <c r="E882" s="636"/>
      <c r="F882" s="637"/>
      <c r="G882" s="636" t="e">
        <v>#N/A</v>
      </c>
      <c r="H882" s="33"/>
    </row>
    <row r="883" spans="1:29" ht="15" customHeight="1">
      <c r="A883" s="633"/>
      <c r="B883" s="644"/>
      <c r="C883" s="635"/>
      <c r="D883" s="635"/>
      <c r="E883" s="636"/>
      <c r="F883" s="637"/>
      <c r="G883" s="636" t="e">
        <v>#N/A</v>
      </c>
      <c r="H883" s="33"/>
      <c r="I883" s="3"/>
      <c r="J883" s="3"/>
      <c r="L883" s="3"/>
      <c r="M883" s="3"/>
      <c r="N883" s="3"/>
      <c r="O883" s="3"/>
      <c r="P883" s="3"/>
      <c r="Q883" s="3"/>
      <c r="R883" s="3"/>
      <c r="S883" s="3"/>
      <c r="T883" s="3"/>
      <c r="U883" s="3"/>
      <c r="V883" s="3"/>
      <c r="W883" s="3"/>
      <c r="X883" s="3"/>
      <c r="Y883" s="3"/>
      <c r="Z883" s="3"/>
      <c r="AA883" s="3"/>
      <c r="AB883" s="3"/>
      <c r="AC883" s="3"/>
    </row>
    <row r="884" spans="1:29" ht="15" customHeight="1">
      <c r="A884" s="633"/>
      <c r="B884" s="644"/>
      <c r="C884" s="635"/>
      <c r="D884" s="635"/>
      <c r="E884" s="636"/>
      <c r="F884" s="637"/>
      <c r="G884" s="636" t="e">
        <v>#N/A</v>
      </c>
      <c r="H884" s="33"/>
    </row>
    <row r="885" spans="1:29" ht="15" customHeight="1">
      <c r="A885" s="633"/>
      <c r="B885" s="644"/>
      <c r="C885" s="635"/>
      <c r="D885" s="635"/>
      <c r="E885" s="636"/>
      <c r="F885" s="637"/>
      <c r="G885" s="636" t="e">
        <v>#N/A</v>
      </c>
      <c r="H885" s="33"/>
      <c r="K885" s="3"/>
    </row>
    <row r="886" spans="1:29" ht="15" customHeight="1">
      <c r="A886" s="633"/>
      <c r="B886" s="644"/>
      <c r="C886" s="635"/>
      <c r="D886" s="635"/>
      <c r="E886" s="636"/>
      <c r="F886" s="637"/>
      <c r="G886" s="636" t="e">
        <v>#N/A</v>
      </c>
      <c r="H886" s="33"/>
    </row>
    <row r="887" spans="1:29" ht="15" customHeight="1">
      <c r="A887" s="633"/>
      <c r="B887" s="644"/>
      <c r="C887" s="635"/>
      <c r="D887" s="635"/>
      <c r="E887" s="636"/>
      <c r="F887" s="637"/>
      <c r="G887" s="636" t="e">
        <v>#N/A</v>
      </c>
      <c r="H887" s="33"/>
    </row>
    <row r="888" spans="1:29" ht="15" customHeight="1">
      <c r="A888" s="633"/>
      <c r="B888" s="644"/>
      <c r="C888" s="635"/>
      <c r="D888" s="635"/>
      <c r="E888" s="636"/>
      <c r="F888" s="637"/>
      <c r="G888" s="636" t="e">
        <v>#N/A</v>
      </c>
      <c r="H888" s="33"/>
    </row>
    <row r="889" spans="1:29" ht="15" customHeight="1">
      <c r="A889" s="644"/>
      <c r="B889" s="644"/>
      <c r="C889" s="635"/>
      <c r="D889" s="635"/>
      <c r="E889" s="636"/>
      <c r="F889" s="637"/>
      <c r="G889" s="636" t="e">
        <v>#N/A</v>
      </c>
      <c r="H889" s="33"/>
    </row>
    <row r="890" spans="1:29" ht="15" customHeight="1">
      <c r="A890" s="633"/>
      <c r="B890" s="644"/>
      <c r="C890" s="635"/>
      <c r="D890" s="635"/>
      <c r="E890" s="636"/>
      <c r="F890" s="637"/>
      <c r="G890" s="636" t="e">
        <v>#N/A</v>
      </c>
      <c r="H890" s="33"/>
      <c r="K890" s="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33"/>
      <c r="B898" s="644"/>
      <c r="C898" s="635"/>
      <c r="D898" s="635"/>
      <c r="E898" s="636"/>
      <c r="F898" s="637"/>
      <c r="G898" s="636" t="e">
        <v>#N/A</v>
      </c>
      <c r="H898" s="33"/>
    </row>
    <row r="899" spans="1:8" ht="15" customHeight="1">
      <c r="A899" s="633"/>
      <c r="B899" s="644"/>
      <c r="C899" s="635"/>
      <c r="D899" s="635"/>
      <c r="E899" s="636"/>
      <c r="F899" s="637"/>
      <c r="G899" s="636" t="e">
        <v>#N/A</v>
      </c>
      <c r="H899" s="33"/>
    </row>
    <row r="900" spans="1:8" ht="15" customHeight="1">
      <c r="A900" s="644"/>
      <c r="B900" s="644"/>
      <c r="C900" s="635"/>
      <c r="D900" s="635"/>
      <c r="E900" s="636"/>
      <c r="F900" s="637"/>
      <c r="G900" s="636" t="e">
        <v>#N/A</v>
      </c>
      <c r="H900" s="33"/>
    </row>
    <row r="901" spans="1:8" ht="15" customHeight="1">
      <c r="A901" s="644"/>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v>#N/A</v>
      </c>
      <c r="H913" s="33"/>
    </row>
    <row r="914" spans="1:8" ht="15" customHeight="1">
      <c r="A914" s="633"/>
      <c r="B914" s="644"/>
      <c r="C914" s="635"/>
      <c r="D914" s="635"/>
      <c r="E914" s="636"/>
      <c r="F914" s="637"/>
      <c r="G914" s="636" t="e">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33"/>
    </row>
    <row r="922" spans="1:8" ht="15" customHeight="1">
      <c r="A922" s="633"/>
      <c r="B922" s="644"/>
      <c r="C922" s="635"/>
      <c r="D922" s="635"/>
      <c r="E922" s="636"/>
      <c r="F922" s="637"/>
      <c r="G922" s="636" t="e">
        <f>+VLOOKUP(Data_Validation!$A922,BV_Data_An_Cour!$L:$Q,6,0)</f>
        <v>#N/A</v>
      </c>
      <c r="H922" s="33"/>
    </row>
    <row r="923" spans="1:8" ht="15" customHeight="1">
      <c r="A923" s="633"/>
      <c r="B923" s="644"/>
      <c r="C923" s="635"/>
      <c r="D923" s="635"/>
      <c r="E923" s="636"/>
      <c r="F923" s="637"/>
      <c r="G923" s="636" t="e">
        <f>+VLOOKUP(Data_Validation!$A923,BV_Data_An_Cour!$L:$Q,6,0)</f>
        <v>#N/A</v>
      </c>
      <c r="H923" s="4"/>
    </row>
    <row r="924" spans="1:8" ht="15" customHeight="1">
      <c r="A924" s="645"/>
      <c r="B924" s="634"/>
      <c r="C924" s="635"/>
      <c r="D924" s="635"/>
      <c r="E924" s="636"/>
      <c r="F924" s="637"/>
      <c r="G924" s="636" t="e">
        <f>+VLOOKUP(Data_Validation!$A924,BV_Data_An_Cour!$L:$Q,6,0)</f>
        <v>#N/A</v>
      </c>
      <c r="H924" s="4"/>
    </row>
    <row r="925" spans="1:8" ht="15" customHeight="1">
      <c r="A925" s="644"/>
      <c r="B925" s="644"/>
      <c r="C925" s="635"/>
      <c r="D925" s="635"/>
      <c r="E925" s="636"/>
      <c r="F925" s="637"/>
      <c r="G925" s="636" t="e">
        <f>+VLOOKUP(Data_Validation!$A925,BV_Data_An_Cour!$L:$Q,6,0)</f>
        <v>#N/A</v>
      </c>
      <c r="H925" s="4"/>
    </row>
    <row r="926" spans="1:8" ht="15" customHeight="1">
      <c r="A926" s="644"/>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row>
    <row r="930" spans="1:29" ht="15" customHeight="1">
      <c r="A930" s="633"/>
      <c r="B930" s="644"/>
      <c r="C930" s="635"/>
      <c r="D930" s="635"/>
      <c r="E930" s="636"/>
      <c r="F930" s="637"/>
      <c r="G930" s="636" t="e">
        <f>+VLOOKUP(Data_Validation!$A930,BV_Data_An_Cour!$L:$Q,6,0)</f>
        <v>#N/A</v>
      </c>
      <c r="H930" s="4"/>
    </row>
    <row r="931" spans="1:29" ht="15" customHeight="1">
      <c r="A931" s="633"/>
      <c r="B931" s="644"/>
      <c r="C931" s="635"/>
      <c r="D931" s="635"/>
      <c r="E931" s="636"/>
      <c r="F931" s="637"/>
      <c r="G931" s="636" t="e">
        <f>+VLOOKUP(Data_Validation!$A931,BV_Data_An_Cour!$L:$Q,6,0)</f>
        <v>#N/A</v>
      </c>
      <c r="H931" s="4"/>
      <c r="I931" s="3"/>
      <c r="J931" s="3"/>
      <c r="L931" s="3"/>
      <c r="M931" s="3"/>
      <c r="N931" s="3"/>
      <c r="O931" s="3"/>
      <c r="P931" s="3"/>
      <c r="Q931" s="3"/>
      <c r="R931" s="3"/>
      <c r="S931" s="3"/>
      <c r="T931" s="3"/>
      <c r="U931" s="3"/>
      <c r="V931" s="3"/>
      <c r="W931" s="3"/>
      <c r="X931" s="3"/>
      <c r="Y931" s="3"/>
      <c r="Z931" s="3"/>
      <c r="AA931" s="3"/>
      <c r="AB931" s="3"/>
      <c r="AC931" s="3"/>
    </row>
    <row r="932" spans="1:29" ht="15" customHeight="1">
      <c r="A932" s="645"/>
      <c r="B932" s="634"/>
      <c r="C932" s="635"/>
      <c r="D932" s="635"/>
      <c r="E932" s="642"/>
      <c r="F932" s="642"/>
      <c r="G932" s="636" t="e">
        <f>+VLOOKUP(Data_Validation!$A932,BV_Data_An_Cour!$L:$Q,6,0)</f>
        <v>#N/A</v>
      </c>
      <c r="H932" s="4"/>
    </row>
    <row r="933" spans="1:29" ht="15" customHeight="1">
      <c r="A933" s="633"/>
      <c r="B933" s="644"/>
      <c r="C933" s="635"/>
      <c r="D933" s="635"/>
      <c r="E933" s="636"/>
      <c r="F933" s="637"/>
      <c r="G933" s="636" t="e">
        <f>+VLOOKUP(Data_Validation!$A933,BV_Data_An_Cour!$L:$Q,6,0)</f>
        <v>#N/A</v>
      </c>
      <c r="H933" s="4"/>
    </row>
    <row r="934" spans="1:29" ht="15" customHeight="1">
      <c r="A934" s="645"/>
      <c r="B934" s="634"/>
      <c r="C934" s="635"/>
      <c r="D934" s="635"/>
      <c r="E934" s="642"/>
      <c r="F934" s="642"/>
      <c r="G934" s="636" t="e">
        <f>+VLOOKUP(Data_Validation!$A934,BV_Data_An_Cour!$L:$Q,6,0)</f>
        <v>#N/A</v>
      </c>
      <c r="H934" s="4"/>
    </row>
    <row r="935" spans="1:29" ht="15" customHeight="1">
      <c r="A935" s="633"/>
      <c r="B935" s="644"/>
      <c r="C935" s="635"/>
      <c r="D935" s="635"/>
      <c r="E935" s="636"/>
      <c r="F935" s="637"/>
      <c r="G935" s="636" t="e">
        <f>+VLOOKUP(Data_Validation!$A935,BV_Data_An_Cour!$L:$Q,6,0)</f>
        <v>#N/A</v>
      </c>
      <c r="H935" s="4"/>
    </row>
    <row r="936" spans="1:29" ht="15" customHeight="1">
      <c r="A936" s="633"/>
      <c r="B936" s="644"/>
      <c r="C936" s="635"/>
      <c r="D936" s="635"/>
      <c r="E936" s="636"/>
      <c r="F936" s="637"/>
      <c r="G936" s="636" t="e">
        <f>+VLOOKUP(Data_Validation!$A936,BV_Data_An_Cour!$L:$Q,6,0)</f>
        <v>#N/A</v>
      </c>
      <c r="H936" s="4"/>
    </row>
    <row r="937" spans="1:29" ht="15" customHeight="1">
      <c r="A937" s="645"/>
      <c r="B937" s="634"/>
      <c r="C937" s="635"/>
      <c r="D937" s="635"/>
      <c r="E937" s="642"/>
      <c r="F937" s="642"/>
      <c r="G937" s="636" t="e">
        <f>+VLOOKUP(Data_Validation!$A937,BV_Data_An_Cour!$L:$Q,6,0)</f>
        <v>#N/A</v>
      </c>
      <c r="H937" s="3"/>
    </row>
    <row r="938" spans="1:29" ht="15" customHeight="1">
      <c r="A938" s="644"/>
      <c r="B938" s="644"/>
      <c r="C938" s="635"/>
      <c r="D938" s="635"/>
      <c r="E938" s="636"/>
      <c r="F938" s="637"/>
      <c r="G938" s="636" t="e">
        <f>+VLOOKUP(Data_Validation!$A938,BV_Data_An_Cour!$L:$Q,6,0)</f>
        <v>#N/A</v>
      </c>
      <c r="H938" s="3"/>
    </row>
    <row r="939" spans="1:29" ht="15" customHeight="1">
      <c r="A939" s="645"/>
      <c r="B939" s="634"/>
      <c r="C939" s="635"/>
      <c r="D939" s="635"/>
      <c r="E939" s="642"/>
      <c r="F939" s="642"/>
      <c r="G939" s="636" t="e">
        <f>+VLOOKUP(Data_Validation!$A939,BV_Data_An_Cour!$L:$Q,6,0)</f>
        <v>#N/A</v>
      </c>
      <c r="H939" s="3"/>
    </row>
    <row r="940" spans="1:29" ht="15" customHeight="1">
      <c r="A940" s="633"/>
      <c r="B940" s="644"/>
      <c r="C940" s="635"/>
      <c r="D940" s="635"/>
      <c r="E940" s="636"/>
      <c r="F940" s="637"/>
      <c r="G940" s="636" t="e">
        <f>+VLOOKUP(Data_Validation!$A940,BV_Data_An_Cour!$L:$Q,6,0)</f>
        <v>#N/A</v>
      </c>
      <c r="H940" s="3"/>
    </row>
    <row r="941" spans="1:29" ht="15" customHeight="1">
      <c r="A941" s="645"/>
      <c r="B941" s="634"/>
      <c r="C941" s="635"/>
      <c r="D941" s="635"/>
      <c r="E941" s="642"/>
      <c r="F941" s="642"/>
      <c r="G941" s="636" t="e">
        <f>+VLOOKUP(Data_Validation!$A941,BV_Data_An_Cour!$L:$Q,6,0)</f>
        <v>#N/A</v>
      </c>
      <c r="H941" s="3"/>
    </row>
    <row r="942" spans="1:29" ht="15" customHeight="1">
      <c r="A942" s="633"/>
      <c r="B942" s="644"/>
      <c r="C942" s="635"/>
      <c r="D942" s="635"/>
      <c r="E942" s="636"/>
      <c r="F942" s="637"/>
      <c r="G942" s="636" t="e">
        <f>+VLOOKUP(Data_Validation!$A942,BV_Data_An_Cour!$L:$Q,6,0)</f>
        <v>#N/A</v>
      </c>
      <c r="H942" s="3"/>
      <c r="I942" s="3"/>
      <c r="J942" s="3"/>
      <c r="L942" s="3"/>
      <c r="M942" s="3"/>
      <c r="N942" s="3"/>
      <c r="O942" s="3"/>
      <c r="P942" s="3"/>
      <c r="Q942" s="3"/>
      <c r="R942" s="3"/>
      <c r="S942" s="3"/>
      <c r="T942" s="3"/>
      <c r="U942" s="3"/>
      <c r="V942" s="3"/>
      <c r="W942" s="3"/>
      <c r="X942" s="3"/>
      <c r="Y942" s="3"/>
      <c r="Z942" s="3"/>
      <c r="AA942" s="3"/>
      <c r="AB942" s="3"/>
      <c r="AC942" s="3"/>
    </row>
    <row r="943" spans="1:29" ht="15" customHeight="1">
      <c r="A943" s="645"/>
      <c r="B943" s="634"/>
      <c r="C943" s="635"/>
      <c r="D943" s="635"/>
      <c r="E943" s="642"/>
      <c r="F943" s="642"/>
      <c r="G943" s="636" t="e">
        <f>+VLOOKUP(Data_Validation!$A943,BV_Data_An_Cour!$L:$Q,6,0)</f>
        <v>#N/A</v>
      </c>
      <c r="H943" s="3"/>
    </row>
    <row r="944" spans="1:29" ht="15" customHeight="1">
      <c r="A944" s="633"/>
      <c r="B944" s="644"/>
      <c r="C944" s="635"/>
      <c r="D944" s="635"/>
      <c r="E944" s="636"/>
      <c r="F944" s="637"/>
      <c r="G944" s="636" t="e">
        <f>+VLOOKUP(Data_Validation!$A944,BV_Data_An_Cour!$L:$Q,6,0)</f>
        <v>#N/A</v>
      </c>
      <c r="H944" s="3"/>
    </row>
    <row r="945" spans="1:29" ht="15" customHeight="1">
      <c r="A945" s="645"/>
      <c r="B945" s="634"/>
      <c r="C945" s="635"/>
      <c r="D945" s="635"/>
      <c r="E945" s="642"/>
      <c r="F945" s="642"/>
      <c r="G945" s="636" t="e">
        <f>+VLOOKUP(Data_Validation!$A945,BV_Data_An_Cour!$L:$Q,6,0)</f>
        <v>#N/A</v>
      </c>
      <c r="H945" s="3"/>
    </row>
    <row r="946" spans="1:29" ht="15" customHeight="1">
      <c r="A946" s="633"/>
      <c r="B946" s="644"/>
      <c r="C946" s="635"/>
      <c r="D946" s="635"/>
      <c r="E946" s="636"/>
      <c r="F946" s="637"/>
      <c r="G946" s="636" t="e">
        <f>+VLOOKUP(Data_Validation!$A946,BV_Data_An_Cour!$L:$Q,6,0)</f>
        <v>#N/A</v>
      </c>
      <c r="H946" s="3"/>
    </row>
    <row r="947" spans="1:29" ht="15" customHeight="1">
      <c r="A947" s="645"/>
      <c r="B947" s="634"/>
      <c r="C947" s="635"/>
      <c r="D947" s="635"/>
      <c r="E947" s="642"/>
      <c r="F947" s="642"/>
      <c r="G947" s="636" t="e">
        <f>+VLOOKUP(Data_Validation!$A947,BV_Data_An_Cour!$L:$Q,6,0)</f>
        <v>#N/A</v>
      </c>
      <c r="H947" s="3"/>
    </row>
    <row r="948" spans="1:29" ht="15" customHeight="1">
      <c r="A948" s="644"/>
      <c r="B948" s="644"/>
      <c r="C948" s="635"/>
      <c r="D948" s="635"/>
      <c r="E948" s="636"/>
      <c r="F948" s="637"/>
      <c r="G948" s="636" t="e">
        <f>+VLOOKUP(Data_Validation!$A948,BV_Data_An_Cour!$L:$Q,6,0)</f>
        <v>#N/A</v>
      </c>
      <c r="H948" s="3"/>
      <c r="I948" s="3"/>
      <c r="J948" s="3"/>
      <c r="L948" s="3"/>
      <c r="M948" s="3"/>
      <c r="N948" s="3"/>
      <c r="O948" s="3"/>
      <c r="P948" s="3"/>
      <c r="Q948" s="3"/>
      <c r="R948" s="3"/>
      <c r="S948" s="3"/>
      <c r="T948" s="3"/>
      <c r="U948" s="3"/>
      <c r="V948" s="3"/>
      <c r="W948" s="3"/>
      <c r="X948" s="3"/>
      <c r="Y948" s="3"/>
      <c r="Z948" s="3"/>
      <c r="AA948" s="3"/>
      <c r="AB948" s="3"/>
      <c r="AC948" s="3"/>
    </row>
    <row r="949" spans="1:29" ht="15" customHeight="1">
      <c r="A949" s="644"/>
      <c r="B949" s="644"/>
      <c r="C949" s="635"/>
      <c r="D949" s="635"/>
      <c r="E949" s="636"/>
      <c r="F949" s="637"/>
      <c r="G949" s="636" t="e">
        <f>+VLOOKUP(Data_Validation!$A949,BV_Data_An_Cour!$L:$Q,6,0)</f>
        <v>#N/A</v>
      </c>
      <c r="H949" s="3"/>
    </row>
    <row r="950" spans="1:29" ht="15" customHeight="1">
      <c r="A950" s="644"/>
      <c r="B950" s="644"/>
      <c r="C950" s="635"/>
      <c r="D950" s="635"/>
      <c r="E950" s="636"/>
      <c r="F950" s="637"/>
      <c r="G950" s="636" t="e">
        <f>+VLOOKUP(Data_Validation!$A950,BV_Data_An_Cour!$L:$Q,6,0)</f>
        <v>#N/A</v>
      </c>
      <c r="H950" s="3"/>
    </row>
    <row r="951" spans="1:29" ht="15" customHeight="1">
      <c r="A951" s="644"/>
      <c r="B951" s="644"/>
      <c r="C951" s="635"/>
      <c r="D951" s="635"/>
      <c r="E951" s="636"/>
      <c r="F951" s="637"/>
      <c r="G951" s="636" t="e">
        <f>+VLOOKUP(Data_Validation!$A951,BV_Data_An_Cour!$L:$Q,6,0)</f>
        <v>#N/A</v>
      </c>
      <c r="H951" s="3"/>
      <c r="I951" s="3"/>
      <c r="J951" s="3"/>
      <c r="L951" s="3"/>
      <c r="M951" s="3"/>
      <c r="N951" s="3"/>
      <c r="O951" s="3"/>
      <c r="P951" s="3"/>
      <c r="Q951" s="3"/>
      <c r="R951" s="3"/>
      <c r="S951" s="3"/>
      <c r="T951" s="3"/>
      <c r="U951" s="3"/>
      <c r="V951" s="3"/>
      <c r="W951" s="3"/>
      <c r="X951" s="3"/>
      <c r="Y951" s="3"/>
      <c r="Z951" s="3"/>
      <c r="AA951" s="3"/>
      <c r="AB951" s="3"/>
      <c r="AC951" s="3"/>
    </row>
    <row r="952" spans="1:29" ht="15" customHeight="1">
      <c r="A952" s="644"/>
      <c r="B952" s="644"/>
      <c r="C952" s="635"/>
      <c r="D952" s="635"/>
      <c r="E952" s="636"/>
      <c r="F952" s="637"/>
      <c r="G952" s="636" t="e">
        <f>+VLOOKUP(Data_Validation!$A952,BV_Data_An_Cour!$L:$Q,6,0)</f>
        <v>#N/A</v>
      </c>
      <c r="H952" s="3"/>
    </row>
    <row r="953" spans="1:29" ht="15" customHeight="1">
      <c r="A953" s="644"/>
      <c r="B953" s="644"/>
      <c r="C953" s="635"/>
      <c r="D953" s="635"/>
      <c r="E953" s="636"/>
      <c r="F953" s="637"/>
      <c r="G953" s="636" t="e">
        <f>+VLOOKUP(Data_Validation!$A953,BV_Data_An_Cour!$L:$Q,6,0)</f>
        <v>#N/A</v>
      </c>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33"/>
      <c r="B959" s="641"/>
      <c r="C959" s="635"/>
      <c r="D959" s="635"/>
      <c r="E959" s="636"/>
      <c r="F959" s="637"/>
      <c r="G959" s="636"/>
      <c r="H959" s="3"/>
    </row>
    <row r="960" spans="1:29" ht="15" customHeight="1">
      <c r="A960" s="633"/>
      <c r="B960" s="641"/>
      <c r="C960" s="635"/>
      <c r="D960" s="635"/>
      <c r="E960" s="636"/>
      <c r="F960" s="637"/>
      <c r="G960" s="636"/>
      <c r="H960" s="3"/>
    </row>
    <row r="961" spans="1:8" ht="15" customHeight="1">
      <c r="A961" s="647"/>
      <c r="B961" s="651"/>
      <c r="C961" s="649"/>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33"/>
      <c r="B971" s="641"/>
      <c r="C971" s="635"/>
      <c r="D971" s="635"/>
      <c r="E971" s="636"/>
      <c r="F971" s="637"/>
      <c r="G971" s="636"/>
      <c r="H971" s="3"/>
    </row>
    <row r="972" spans="1:8" ht="15" customHeight="1">
      <c r="A972" s="633"/>
      <c r="B972" s="641"/>
      <c r="C972" s="635"/>
      <c r="D972" s="635"/>
      <c r="E972" s="636"/>
      <c r="F972" s="637"/>
      <c r="G972" s="636"/>
      <c r="H972" s="3"/>
    </row>
    <row r="973" spans="1:8" ht="15" customHeight="1">
      <c r="A973" s="660"/>
      <c r="B973" s="641"/>
      <c r="C973" s="635"/>
      <c r="D973" s="635"/>
      <c r="E973" s="636"/>
      <c r="F973" s="637"/>
      <c r="G973" s="636"/>
      <c r="H973" s="3"/>
    </row>
    <row r="974" spans="1:8" ht="15" customHeight="1">
      <c r="A974" s="660"/>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33"/>
      <c r="B976" s="641"/>
      <c r="C976" s="635"/>
      <c r="D976" s="635"/>
      <c r="E976" s="636"/>
      <c r="F976" s="637"/>
      <c r="G976" s="636"/>
      <c r="H976" s="3"/>
    </row>
    <row r="977" spans="1:11" ht="15" customHeight="1">
      <c r="A977" s="633"/>
      <c r="B977" s="641"/>
      <c r="C977" s="635"/>
      <c r="D977" s="635"/>
      <c r="E977" s="636"/>
      <c r="F977" s="637"/>
      <c r="G977" s="636"/>
      <c r="H977" s="3"/>
    </row>
    <row r="978" spans="1:11" ht="15" customHeight="1">
      <c r="A978" s="658"/>
      <c r="B978" s="66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row>
    <row r="981" spans="1:11" ht="15" customHeight="1">
      <c r="A981" s="633"/>
      <c r="B981" s="641"/>
      <c r="C981" s="635"/>
      <c r="D981" s="635"/>
      <c r="E981" s="636"/>
      <c r="F981" s="637"/>
      <c r="G981" s="636"/>
      <c r="H981" s="3"/>
    </row>
    <row r="982" spans="1:11" ht="15" customHeight="1">
      <c r="A982" s="633"/>
      <c r="B982" s="641"/>
      <c r="C982" s="635"/>
      <c r="D982" s="635"/>
      <c r="E982" s="636"/>
      <c r="F982" s="637"/>
      <c r="G982" s="636"/>
      <c r="H982" s="3"/>
      <c r="K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41"/>
      <c r="C986" s="635"/>
      <c r="D986" s="635"/>
      <c r="E986" s="636"/>
      <c r="F986" s="637"/>
      <c r="G986" s="636"/>
      <c r="H986" s="3"/>
    </row>
    <row r="987" spans="1:11" ht="15" customHeight="1">
      <c r="A987" s="633"/>
      <c r="B987" s="641"/>
      <c r="C987" s="635"/>
      <c r="D987" s="635"/>
      <c r="E987" s="636"/>
      <c r="F987" s="637"/>
      <c r="G987" s="636"/>
      <c r="H987" s="3"/>
    </row>
    <row r="988" spans="1:11" ht="15" customHeight="1">
      <c r="A988" s="633"/>
      <c r="B988" s="635"/>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row>
    <row r="992" spans="1:11" ht="15" customHeight="1">
      <c r="A992" s="633"/>
      <c r="B992" s="641"/>
      <c r="C992" s="635"/>
      <c r="D992" s="635"/>
      <c r="E992" s="636"/>
      <c r="F992" s="637"/>
      <c r="G992" s="636"/>
      <c r="H992" s="3"/>
    </row>
    <row r="993" spans="1:11" ht="15" customHeight="1">
      <c r="A993" s="633"/>
      <c r="B993" s="641"/>
      <c r="C993" s="635"/>
      <c r="D993" s="635"/>
      <c r="E993" s="636"/>
      <c r="F993" s="637"/>
      <c r="G993" s="636"/>
      <c r="H993" s="3"/>
      <c r="K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row>
    <row r="998" spans="1:11" ht="15" customHeight="1">
      <c r="A998" s="633"/>
      <c r="B998" s="641"/>
      <c r="C998" s="635"/>
      <c r="D998" s="635"/>
      <c r="E998" s="636"/>
      <c r="F998" s="637"/>
      <c r="G998" s="636"/>
      <c r="H998" s="3"/>
    </row>
    <row r="999" spans="1:11" ht="15" customHeight="1">
      <c r="A999" s="633"/>
      <c r="B999" s="641"/>
      <c r="C999" s="635"/>
      <c r="D999" s="635"/>
      <c r="E999" s="636"/>
      <c r="F999" s="637"/>
      <c r="G999" s="636"/>
      <c r="H999" s="3"/>
      <c r="K999" s="3"/>
    </row>
    <row r="1000" spans="1:11" ht="15" customHeight="1">
      <c r="A1000" s="633"/>
      <c r="B1000" s="641"/>
      <c r="C1000" s="635"/>
      <c r="D1000" s="635"/>
      <c r="E1000" s="636"/>
      <c r="F1000" s="637"/>
      <c r="G1000" s="636"/>
      <c r="H1000" s="3"/>
    </row>
    <row r="1001" spans="1:11" ht="15" customHeight="1">
      <c r="A1001" s="633"/>
      <c r="B1001" s="641"/>
      <c r="C1001" s="635"/>
      <c r="D1001" s="635"/>
      <c r="E1001" s="636"/>
      <c r="F1001" s="637"/>
      <c r="G1001" s="636"/>
      <c r="H1001" s="3"/>
    </row>
    <row r="1002" spans="1:11" ht="15" customHeight="1">
      <c r="A1002" s="633"/>
      <c r="B1002" s="641"/>
      <c r="C1002" s="635"/>
      <c r="D1002" s="635"/>
      <c r="E1002" s="636"/>
      <c r="F1002" s="637"/>
      <c r="G1002" s="636"/>
      <c r="H1002" s="3"/>
      <c r="K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row>
    <row r="1011" spans="1:29" ht="15" customHeight="1">
      <c r="A1011" s="633"/>
      <c r="B1011" s="641"/>
      <c r="C1011" s="635"/>
      <c r="D1011" s="635"/>
      <c r="E1011" s="636"/>
      <c r="F1011" s="637"/>
      <c r="G1011" s="636"/>
      <c r="H1011" s="3"/>
    </row>
    <row r="1012" spans="1:29" ht="15" customHeight="1">
      <c r="A1012" s="633"/>
      <c r="B1012" s="641"/>
      <c r="C1012" s="635"/>
      <c r="D1012" s="635"/>
      <c r="E1012" s="636"/>
      <c r="F1012" s="637"/>
      <c r="G1012" s="636"/>
      <c r="H1012" s="3"/>
      <c r="I1012" s="3"/>
      <c r="J1012" s="3"/>
      <c r="L1012" s="3"/>
      <c r="M1012" s="3"/>
      <c r="N1012" s="3"/>
      <c r="O1012" s="3"/>
      <c r="P1012" s="3"/>
      <c r="Q1012" s="3"/>
      <c r="R1012" s="3"/>
      <c r="S1012" s="3"/>
      <c r="T1012" s="3"/>
      <c r="U1012" s="3"/>
      <c r="V1012" s="3"/>
      <c r="W1012" s="3"/>
      <c r="X1012" s="3"/>
      <c r="Y1012" s="3"/>
      <c r="Z1012" s="3"/>
      <c r="AA1012" s="3"/>
      <c r="AB1012" s="3"/>
      <c r="AC1012" s="3"/>
    </row>
    <row r="1013" spans="1:29" ht="15" customHeight="1">
      <c r="A1013" s="633"/>
      <c r="B1013" s="641"/>
      <c r="C1013" s="635"/>
      <c r="D1013" s="635"/>
      <c r="E1013" s="636"/>
      <c r="F1013" s="637"/>
      <c r="G1013" s="636"/>
      <c r="H1013" s="3"/>
    </row>
    <row r="1014" spans="1:29" ht="15" customHeight="1">
      <c r="A1014" s="633"/>
      <c r="B1014" s="641"/>
      <c r="C1014" s="635"/>
      <c r="D1014" s="635"/>
      <c r="E1014" s="636"/>
      <c r="F1014" s="637"/>
      <c r="G1014" s="636"/>
      <c r="H1014" s="3"/>
    </row>
    <row r="1015" spans="1:29" ht="15" customHeight="1">
      <c r="A1015" s="662"/>
      <c r="B1015" s="663"/>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row>
    <row r="1022" spans="1:29" ht="15" customHeight="1">
      <c r="A1022" s="633"/>
      <c r="B1022" s="641"/>
      <c r="C1022" s="635"/>
      <c r="D1022" s="635"/>
      <c r="E1022" s="636"/>
      <c r="F1022" s="637"/>
      <c r="G1022" s="636"/>
      <c r="H1022" s="3"/>
    </row>
    <row r="1023" spans="1:29" ht="15" customHeight="1">
      <c r="A1023" s="633"/>
      <c r="B1023" s="641"/>
      <c r="C1023" s="635"/>
      <c r="D1023" s="635"/>
      <c r="E1023" s="636"/>
      <c r="F1023" s="637"/>
      <c r="G1023" s="636"/>
      <c r="H1023" s="3"/>
      <c r="M1023" s="3"/>
      <c r="N1023" s="3"/>
      <c r="O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33"/>
      <c r="B1030" s="641"/>
      <c r="C1030" s="635"/>
      <c r="D1030" s="635"/>
      <c r="E1030" s="636"/>
      <c r="F1030" s="637"/>
      <c r="G1030" s="636"/>
      <c r="H1030" s="3"/>
    </row>
    <row r="1031" spans="1:8" ht="15" customHeight="1">
      <c r="A1031" s="633"/>
      <c r="B1031" s="641"/>
      <c r="C1031" s="635"/>
      <c r="D1031" s="635"/>
      <c r="E1031" s="636"/>
      <c r="F1031" s="637"/>
      <c r="G1031" s="636"/>
      <c r="H1031" s="3"/>
    </row>
    <row r="1032" spans="1:8" ht="15" customHeight="1">
      <c r="A1032" s="662"/>
      <c r="B1032" s="663"/>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row>
    <row r="1047" spans="1:29" ht="15" customHeight="1">
      <c r="A1047" s="633"/>
      <c r="B1047" s="641"/>
      <c r="C1047" s="635"/>
      <c r="D1047" s="635"/>
      <c r="E1047" s="636"/>
      <c r="F1047" s="637"/>
      <c r="G1047" s="636"/>
      <c r="H1047" s="3"/>
    </row>
    <row r="1048" spans="1:29" ht="15" customHeight="1">
      <c r="A1048" s="633"/>
      <c r="B1048" s="641"/>
      <c r="C1048" s="635"/>
      <c r="D1048" s="635"/>
      <c r="E1048" s="636"/>
      <c r="F1048" s="637"/>
      <c r="G1048" s="636"/>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33"/>
      <c r="B1049" s="641"/>
      <c r="C1049" s="635"/>
      <c r="D1049" s="635"/>
      <c r="E1049" s="636"/>
      <c r="F1049" s="637"/>
      <c r="G1049" s="636"/>
      <c r="H1049" s="3"/>
    </row>
    <row r="1050" spans="1:29" ht="15" customHeight="1">
      <c r="A1050" s="633"/>
      <c r="B1050" s="635"/>
      <c r="C1050" s="635"/>
      <c r="D1050" s="635"/>
      <c r="E1050" s="636"/>
      <c r="F1050" s="637"/>
      <c r="G1050" s="636"/>
      <c r="H1050" s="3"/>
    </row>
    <row r="1051" spans="1:29" ht="15" customHeight="1">
      <c r="A1051" s="633"/>
      <c r="B1051" s="641"/>
      <c r="C1051" s="635"/>
      <c r="D1051" s="635"/>
      <c r="E1051" s="636"/>
      <c r="F1051" s="637"/>
      <c r="G1051" s="636"/>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33"/>
      <c r="B1052" s="641"/>
      <c r="C1052" s="635"/>
      <c r="D1052" s="635"/>
      <c r="E1052" s="636"/>
      <c r="F1052" s="637"/>
      <c r="G1052" s="636"/>
      <c r="H1052" s="3"/>
      <c r="I1052" s="3"/>
      <c r="J1052" s="3"/>
      <c r="L1052" s="3"/>
      <c r="M1052" s="3"/>
      <c r="N1052" s="3"/>
      <c r="O1052" s="3"/>
      <c r="P1052" s="3"/>
      <c r="Q1052" s="3"/>
      <c r="R1052" s="3"/>
      <c r="S1052" s="3"/>
      <c r="T1052" s="3"/>
      <c r="U1052" s="3"/>
      <c r="V1052" s="3"/>
      <c r="W1052" s="3"/>
      <c r="X1052" s="3"/>
      <c r="Y1052" s="3"/>
      <c r="Z1052" s="3"/>
      <c r="AA1052" s="3"/>
      <c r="AB1052" s="3"/>
      <c r="AC1052" s="3"/>
    </row>
    <row r="1053" spans="1:29" ht="15" customHeight="1">
      <c r="A1053" s="664"/>
      <c r="B1053" s="665"/>
      <c r="C1053" s="666"/>
      <c r="D1053" s="666"/>
      <c r="E1053" s="636"/>
      <c r="F1053" s="637"/>
      <c r="G1053" s="636"/>
      <c r="H1053" s="3"/>
    </row>
    <row r="1054" spans="1:29" ht="15" customHeight="1">
      <c r="A1054" s="633"/>
      <c r="B1054" s="641"/>
      <c r="C1054" s="635"/>
      <c r="D1054" s="635"/>
      <c r="E1054" s="636"/>
      <c r="F1054" s="637"/>
      <c r="G1054" s="636"/>
      <c r="H1054" s="3"/>
    </row>
    <row r="1055" spans="1:29" ht="15" customHeight="1">
      <c r="A1055" s="633"/>
      <c r="B1055" s="641"/>
      <c r="C1055" s="635"/>
      <c r="D1055" s="635"/>
      <c r="E1055" s="636"/>
      <c r="F1055" s="637"/>
      <c r="G1055" s="636"/>
      <c r="H1055" s="3"/>
      <c r="K1055" s="3"/>
    </row>
    <row r="1056" spans="1:29" ht="15" customHeight="1">
      <c r="A1056" s="633"/>
      <c r="B1056" s="641"/>
      <c r="C1056" s="635"/>
      <c r="D1056" s="635"/>
      <c r="E1056" s="636"/>
      <c r="F1056" s="637"/>
      <c r="G1056" s="636"/>
      <c r="H1056" s="3"/>
    </row>
    <row r="1057" spans="1:29" ht="15" customHeight="1">
      <c r="A1057" s="633"/>
      <c r="B1057" s="641"/>
      <c r="C1057" s="635"/>
      <c r="D1057" s="635"/>
      <c r="E1057" s="636"/>
      <c r="F1057" s="637"/>
      <c r="G1057" s="636"/>
      <c r="H1057" s="3"/>
    </row>
    <row r="1058" spans="1:29" ht="15" customHeight="1">
      <c r="A1058" s="633"/>
      <c r="B1058" s="641"/>
      <c r="C1058" s="635"/>
      <c r="D1058" s="635"/>
      <c r="E1058" s="636"/>
      <c r="F1058" s="637"/>
      <c r="G1058" s="636"/>
      <c r="H1058" s="3"/>
      <c r="I1058" s="3"/>
      <c r="J1058" s="3"/>
      <c r="L1058" s="3"/>
      <c r="M1058" s="3"/>
      <c r="N1058" s="3"/>
      <c r="O1058" s="3"/>
      <c r="P1058" s="3"/>
      <c r="Q1058" s="3"/>
      <c r="R1058" s="3"/>
      <c r="S1058" s="3"/>
      <c r="T1058" s="3"/>
      <c r="U1058" s="3"/>
      <c r="V1058" s="3"/>
      <c r="W1058" s="3"/>
      <c r="X1058" s="3"/>
      <c r="Y1058" s="3"/>
      <c r="Z1058" s="3"/>
      <c r="AA1058" s="3"/>
      <c r="AB1058" s="3"/>
      <c r="AC1058" s="3"/>
    </row>
    <row r="1059" spans="1:29" ht="15" customHeight="1">
      <c r="A1059" s="633"/>
      <c r="B1059" s="641"/>
      <c r="C1059" s="635"/>
      <c r="D1059" s="635"/>
      <c r="E1059" s="636"/>
      <c r="F1059" s="637"/>
      <c r="G1059" s="636"/>
      <c r="H1059" s="3"/>
    </row>
    <row r="1060" spans="1:29" ht="15" customHeight="1">
      <c r="A1060" s="633"/>
      <c r="B1060" s="641"/>
      <c r="C1060" s="635"/>
      <c r="D1060" s="635"/>
      <c r="E1060" s="636"/>
      <c r="F1060" s="637"/>
      <c r="G1060" s="636"/>
      <c r="H1060" s="3"/>
    </row>
    <row r="1061" spans="1:29" ht="15" customHeight="1">
      <c r="A1061" s="633"/>
      <c r="B1061" s="641"/>
      <c r="C1061" s="635"/>
      <c r="D1061" s="635"/>
      <c r="E1061" s="636"/>
      <c r="F1061" s="637"/>
      <c r="G1061" s="636"/>
      <c r="H1061" s="3"/>
    </row>
    <row r="1062" spans="1:29" ht="15" customHeight="1">
      <c r="A1062" s="633"/>
      <c r="B1062" s="641"/>
      <c r="C1062" s="635"/>
      <c r="D1062" s="635"/>
      <c r="E1062" s="636"/>
      <c r="F1062" s="637"/>
      <c r="G1062" s="636"/>
      <c r="H1062" s="3"/>
    </row>
    <row r="1063" spans="1:29" ht="15" customHeight="1">
      <c r="A1063" s="633"/>
      <c r="B1063" s="641"/>
      <c r="C1063" s="635"/>
      <c r="D1063" s="635"/>
      <c r="E1063" s="636"/>
      <c r="F1063" s="637"/>
      <c r="G1063" s="636"/>
      <c r="H1063" s="3"/>
      <c r="K1063" s="3"/>
    </row>
    <row r="1064" spans="1:29" ht="15" customHeight="1">
      <c r="A1064" s="633"/>
      <c r="B1064" s="641"/>
      <c r="C1064" s="635"/>
      <c r="D1064" s="635"/>
      <c r="E1064" s="636"/>
      <c r="F1064" s="637"/>
      <c r="G1064" s="636"/>
      <c r="H1064" s="3"/>
    </row>
    <row r="1065" spans="1:29" ht="15" customHeight="1">
      <c r="A1065" s="633"/>
      <c r="B1065" s="641"/>
      <c r="C1065" s="635"/>
      <c r="D1065" s="635"/>
      <c r="E1065" s="636"/>
      <c r="F1065" s="637"/>
      <c r="G1065" s="636"/>
      <c r="H1065" s="3"/>
    </row>
    <row r="1066" spans="1:29" ht="15" customHeight="1">
      <c r="A1066" s="633"/>
      <c r="B1066" s="641"/>
      <c r="C1066" s="635"/>
      <c r="D1066" s="635"/>
      <c r="E1066" s="636"/>
      <c r="F1066" s="637"/>
      <c r="G1066" s="636"/>
      <c r="H1066" s="3"/>
    </row>
    <row r="1067" spans="1:29" ht="15" customHeight="1">
      <c r="A1067" s="633"/>
      <c r="B1067" s="641"/>
      <c r="C1067" s="635"/>
      <c r="D1067" s="635"/>
      <c r="E1067" s="636"/>
      <c r="F1067" s="637"/>
      <c r="G1067" s="636"/>
      <c r="H1067" s="3"/>
    </row>
    <row r="1068" spans="1:29" ht="15" customHeight="1">
      <c r="A1068" s="633"/>
      <c r="B1068" s="641"/>
      <c r="C1068" s="635"/>
      <c r="D1068" s="635"/>
      <c r="E1068" s="636"/>
      <c r="F1068" s="637"/>
      <c r="G1068" s="636"/>
      <c r="H1068" s="3"/>
    </row>
    <row r="1069" spans="1:29" ht="15" customHeight="1">
      <c r="A1069" s="633"/>
      <c r="B1069" s="641"/>
      <c r="C1069" s="635"/>
      <c r="D1069" s="635"/>
      <c r="E1069" s="636"/>
      <c r="F1069" s="637"/>
      <c r="G1069" s="636"/>
      <c r="H1069" s="3"/>
    </row>
    <row r="1070" spans="1:29" ht="15" customHeight="1">
      <c r="A1070" s="633"/>
      <c r="B1070" s="641"/>
      <c r="C1070" s="635"/>
      <c r="D1070" s="635"/>
      <c r="E1070" s="636"/>
      <c r="F1070" s="637"/>
      <c r="G1070" s="636"/>
      <c r="H1070" s="3"/>
    </row>
    <row r="1071" spans="1:29" ht="15" customHeight="1">
      <c r="A1071" s="633"/>
      <c r="B1071" s="641"/>
      <c r="C1071" s="635"/>
      <c r="D1071" s="635"/>
      <c r="E1071" s="636"/>
      <c r="F1071" s="637"/>
      <c r="G1071" s="636"/>
      <c r="H1071" s="3"/>
    </row>
    <row r="1072" spans="1:29"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33"/>
      <c r="B1084" s="641"/>
      <c r="C1084" s="635"/>
      <c r="D1084" s="635"/>
      <c r="E1084" s="636"/>
      <c r="F1084" s="637"/>
      <c r="G1084" s="636"/>
      <c r="H1084" s="3"/>
    </row>
    <row r="1085" spans="1:8" ht="15" customHeight="1">
      <c r="A1085" s="633"/>
      <c r="B1085" s="641"/>
      <c r="C1085" s="635"/>
      <c r="D1085" s="635"/>
      <c r="E1085" s="636"/>
      <c r="F1085" s="637"/>
      <c r="G1085" s="636"/>
      <c r="H1085" s="3"/>
    </row>
    <row r="1086" spans="1:8" ht="15" customHeight="1">
      <c r="A1086" s="658"/>
      <c r="B1086" s="651"/>
      <c r="C1086" s="649"/>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row>
    <row r="1101" spans="1:11" ht="15" customHeight="1">
      <c r="A1101" s="633"/>
      <c r="B1101" s="641"/>
      <c r="C1101" s="635"/>
      <c r="D1101" s="635"/>
      <c r="E1101" s="636"/>
      <c r="F1101" s="637"/>
      <c r="G1101" s="636"/>
      <c r="H1101" s="3"/>
    </row>
    <row r="1102" spans="1:11" ht="15" customHeight="1">
      <c r="A1102" s="633"/>
      <c r="B1102" s="641"/>
      <c r="C1102" s="635"/>
      <c r="D1102" s="635"/>
      <c r="E1102" s="636"/>
      <c r="F1102" s="637"/>
      <c r="G1102" s="636"/>
      <c r="H1102" s="3"/>
      <c r="K1102" s="3"/>
    </row>
    <row r="1103" spans="1:11" ht="15" customHeight="1">
      <c r="A1103" s="633"/>
      <c r="B1103" s="641"/>
      <c r="C1103" s="635"/>
      <c r="D1103" s="635"/>
      <c r="E1103" s="636"/>
      <c r="F1103" s="637"/>
      <c r="G1103" s="636"/>
      <c r="H1103" s="3"/>
      <c r="K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 customHeight="1">
      <c r="A1106" s="633"/>
      <c r="B1106" s="641"/>
      <c r="C1106" s="635"/>
      <c r="D1106" s="635"/>
      <c r="E1106" s="636"/>
      <c r="F1106" s="637"/>
      <c r="G1106" s="636"/>
      <c r="H1106" s="3"/>
    </row>
    <row r="1107" spans="1:29" ht="15" customHeight="1">
      <c r="A1107" s="633"/>
      <c r="B1107" s="641"/>
      <c r="C1107" s="635"/>
      <c r="D1107" s="635"/>
      <c r="E1107" s="636"/>
      <c r="F1107" s="637"/>
      <c r="G1107" s="636"/>
      <c r="H1107" s="3"/>
    </row>
    <row r="1108" spans="1:29" ht="15.75" customHeight="1">
      <c r="A1108" s="633"/>
      <c r="B1108" s="641"/>
      <c r="C1108" s="635"/>
      <c r="D1108" s="635"/>
      <c r="E1108" s="636"/>
      <c r="F1108" s="637"/>
      <c r="G1108" s="636"/>
      <c r="H1108" s="3"/>
    </row>
    <row r="1109" spans="1:29" ht="15.75" customHeight="1">
      <c r="A1109" s="633"/>
      <c r="B1109" s="663"/>
      <c r="C1109" s="635"/>
      <c r="D1109" s="635"/>
      <c r="E1109" s="636"/>
      <c r="F1109" s="637"/>
      <c r="G1109" s="636"/>
      <c r="H1109" s="3"/>
      <c r="K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row>
    <row r="1114" spans="1:29" ht="15.75" customHeight="1">
      <c r="A1114" s="633"/>
      <c r="B1114" s="641"/>
      <c r="C1114" s="635"/>
      <c r="D1114" s="635"/>
      <c r="E1114" s="636"/>
      <c r="F1114" s="637"/>
      <c r="G1114" s="636"/>
      <c r="H1114" s="3"/>
    </row>
    <row r="1115" spans="1:29" ht="15.75" customHeight="1">
      <c r="A1115" s="633"/>
      <c r="B1115" s="641"/>
      <c r="C1115" s="635"/>
      <c r="D1115" s="635"/>
      <c r="E1115" s="636"/>
      <c r="F1115" s="637"/>
      <c r="G1115" s="636"/>
      <c r="H1115" s="3"/>
      <c r="I1115" s="3"/>
      <c r="J1115" s="3"/>
      <c r="L1115" s="3"/>
      <c r="M1115" s="3"/>
      <c r="N1115" s="3"/>
      <c r="O1115" s="3"/>
      <c r="P1115" s="3"/>
      <c r="Q1115" s="3"/>
      <c r="R1115" s="3"/>
      <c r="S1115" s="3"/>
      <c r="T1115" s="3"/>
      <c r="U1115" s="3"/>
      <c r="V1115" s="3"/>
      <c r="W1115" s="3"/>
      <c r="X1115" s="3"/>
      <c r="Y1115" s="3"/>
      <c r="Z1115" s="3"/>
      <c r="AA1115" s="3"/>
      <c r="AB1115" s="3"/>
      <c r="AC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row>
    <row r="1121" spans="1:11" ht="15.75" customHeight="1">
      <c r="A1121" s="633"/>
      <c r="B1121" s="641"/>
      <c r="C1121" s="635"/>
      <c r="D1121" s="635"/>
      <c r="E1121" s="636"/>
      <c r="F1121" s="637"/>
      <c r="G1121" s="636"/>
      <c r="H1121" s="3"/>
    </row>
    <row r="1122" spans="1:11" ht="15.75" customHeight="1">
      <c r="A1122" s="633"/>
      <c r="B1122" s="641"/>
      <c r="C1122" s="635"/>
      <c r="D1122" s="635"/>
      <c r="E1122" s="636"/>
      <c r="F1122" s="637"/>
      <c r="G1122" s="636"/>
      <c r="H1122" s="3"/>
      <c r="K1122" s="3"/>
    </row>
    <row r="1123" spans="1:11" ht="15.75" customHeight="1">
      <c r="A1123" s="633"/>
      <c r="B1123" s="641"/>
      <c r="C1123" s="635"/>
      <c r="D1123" s="635"/>
      <c r="E1123" s="636"/>
      <c r="F1123" s="637"/>
      <c r="G1123" s="636"/>
      <c r="H1123" s="3"/>
    </row>
    <row r="1124" spans="1:11" ht="15.75" customHeight="1">
      <c r="A1124" s="633"/>
      <c r="B1124" s="641"/>
      <c r="C1124" s="635"/>
      <c r="D1124" s="635"/>
      <c r="E1124" s="636"/>
      <c r="F1124" s="637"/>
      <c r="G1124" s="636"/>
      <c r="H1124" s="3"/>
    </row>
    <row r="1125" spans="1:11" ht="15.75" customHeight="1">
      <c r="A1125" s="633"/>
      <c r="B1125" s="641"/>
      <c r="C1125" s="635"/>
      <c r="D1125" s="635"/>
      <c r="E1125" s="636"/>
      <c r="F1125" s="637"/>
      <c r="G1125" s="636"/>
      <c r="H1125" s="3"/>
    </row>
    <row r="1126" spans="1:11" ht="15.75" customHeight="1">
      <c r="A1126" s="633"/>
      <c r="B1126" s="641"/>
      <c r="C1126" s="635"/>
      <c r="D1126" s="635"/>
      <c r="E1126" s="636"/>
      <c r="F1126" s="637"/>
      <c r="G1126" s="636"/>
      <c r="H1126" s="3"/>
    </row>
    <row r="1127" spans="1:11" ht="15.75" customHeight="1">
      <c r="A1127" s="633"/>
      <c r="B1127" s="641"/>
      <c r="C1127" s="635"/>
      <c r="D1127" s="635"/>
      <c r="E1127" s="636"/>
      <c r="F1127" s="637"/>
      <c r="G1127" s="636"/>
      <c r="H1127" s="3"/>
    </row>
    <row r="1128" spans="1:11" ht="15.75" customHeight="1">
      <c r="A1128" s="633"/>
      <c r="B1128" s="641"/>
      <c r="C1128" s="635"/>
      <c r="D1128" s="635"/>
      <c r="E1128" s="636"/>
      <c r="F1128" s="637"/>
      <c r="G1128" s="636"/>
      <c r="H1128" s="3"/>
    </row>
    <row r="1129" spans="1:11" ht="15.75" customHeight="1">
      <c r="A1129" s="633"/>
      <c r="B1129" s="641"/>
      <c r="C1129" s="635"/>
      <c r="D1129" s="635"/>
      <c r="E1129" s="636"/>
      <c r="F1129" s="637"/>
      <c r="G1129" s="636"/>
      <c r="H1129" s="3"/>
    </row>
    <row r="1130" spans="1:11" ht="15.75" customHeight="1">
      <c r="A1130" s="633"/>
      <c r="B1130" s="641"/>
      <c r="C1130" s="635"/>
      <c r="D1130" s="635"/>
      <c r="E1130" s="636"/>
      <c r="F1130" s="637"/>
      <c r="G1130" s="636"/>
      <c r="H1130" s="3"/>
    </row>
    <row r="1131" spans="1:11" ht="15.75" customHeight="1">
      <c r="A1131" s="633"/>
      <c r="B1131" s="641"/>
      <c r="C1131" s="635"/>
      <c r="D1131" s="635"/>
      <c r="E1131" s="636"/>
      <c r="F1131" s="637"/>
      <c r="G1131" s="636"/>
      <c r="H1131" s="3"/>
    </row>
    <row r="1132" spans="1:11" ht="15.75" customHeight="1">
      <c r="A1132" s="633"/>
      <c r="B1132" s="641"/>
      <c r="C1132" s="635"/>
      <c r="D1132" s="635"/>
      <c r="E1132" s="636"/>
      <c r="F1132" s="637"/>
      <c r="G1132" s="636"/>
      <c r="H1132" s="3"/>
    </row>
    <row r="1133" spans="1:11" ht="15.75" customHeight="1">
      <c r="A1133" s="633"/>
      <c r="B1133" s="641"/>
      <c r="C1133" s="635"/>
      <c r="D1133" s="635"/>
      <c r="E1133" s="636"/>
      <c r="F1133" s="637"/>
      <c r="G1133" s="636"/>
      <c r="H1133" s="3"/>
    </row>
    <row r="1134" spans="1:11" ht="15.75" customHeight="1">
      <c r="A1134" s="633"/>
      <c r="B1134" s="641"/>
      <c r="C1134" s="635"/>
      <c r="D1134" s="635"/>
      <c r="E1134" s="636"/>
      <c r="F1134" s="637"/>
      <c r="G1134" s="636"/>
      <c r="H1134" s="3"/>
    </row>
    <row r="1135" spans="1:11" ht="15.75" customHeight="1">
      <c r="A1135" s="633"/>
      <c r="B1135" s="641"/>
      <c r="C1135" s="635"/>
      <c r="D1135" s="635"/>
      <c r="E1135" s="636"/>
      <c r="F1135" s="637"/>
      <c r="G1135" s="636"/>
      <c r="H1135" s="3"/>
    </row>
    <row r="1136" spans="1:11"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33"/>
      <c r="B1138" s="641"/>
      <c r="C1138" s="635"/>
      <c r="D1138" s="635"/>
      <c r="E1138" s="636"/>
      <c r="F1138" s="637"/>
      <c r="G1138" s="636"/>
      <c r="H1138" s="4"/>
    </row>
    <row r="1139" spans="1:8" ht="15" customHeight="1">
      <c r="A1139" s="633"/>
      <c r="B1139" s="641"/>
      <c r="C1139" s="635"/>
      <c r="D1139" s="635"/>
      <c r="E1139" s="636"/>
      <c r="F1139" s="637"/>
      <c r="G1139" s="636"/>
      <c r="H1139" s="4"/>
    </row>
    <row r="1140" spans="1:8" ht="15" customHeight="1">
      <c r="A1140" s="658"/>
      <c r="B1140" s="635"/>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33"/>
      <c r="B1148" s="641"/>
      <c r="C1148" s="635"/>
      <c r="D1148" s="635"/>
      <c r="E1148" s="636"/>
      <c r="F1148" s="637"/>
      <c r="G1148" s="636"/>
      <c r="H1148" s="4"/>
    </row>
    <row r="1149" spans="1:8" ht="15" customHeight="1">
      <c r="A1149" s="633"/>
      <c r="B1149" s="641"/>
      <c r="C1149" s="635"/>
      <c r="D1149" s="635"/>
      <c r="E1149" s="636"/>
      <c r="F1149" s="637"/>
      <c r="G1149" s="636"/>
      <c r="H1149" s="4"/>
    </row>
    <row r="1150" spans="1:8" ht="15" customHeight="1">
      <c r="A1150" s="660"/>
      <c r="B1150" s="641"/>
      <c r="C1150" s="635"/>
      <c r="D1150" s="635"/>
      <c r="E1150" s="636"/>
      <c r="F1150" s="637"/>
      <c r="G1150" s="636"/>
    </row>
  </sheetData>
  <autoFilter ref="A1:G953" xr:uid="{00000000-0009-0000-0000-00000F000000}">
    <sortState xmlns:xlrd2="http://schemas.microsoft.com/office/spreadsheetml/2017/richdata2" ref="A2:G953">
      <sortCondition ref="A1:A953"/>
    </sortState>
  </autoFilter>
  <dataValidations count="3">
    <dataValidation type="list" allowBlank="1" showErrorMessage="1" sqref="D1" xr:uid="{2861EBD2-54EA-48B5-8435-6DF8231D6DC1}">
      <formula1>$K$1:$K$162</formula1>
    </dataValidation>
    <dataValidation type="list" allowBlank="1" showErrorMessage="1" sqref="D2:D237 D240:D338 D340:D1150" xr:uid="{00000000-0002-0000-0F00-000000000000}">
      <formula1>$K$3:$K$162</formula1>
    </dataValidation>
    <dataValidation type="list" allowBlank="1" showErrorMessage="1" sqref="C2:C1150" xr:uid="{00000000-0002-0000-0F00-000002000000}">
      <formula1>$I$1:$I$13</formula1>
    </dataValidation>
  </dataValidations>
  <hyperlinks>
    <hyperlink ref="A41" r:id="rId1" xr:uid="{2D07D2A1-B77F-42D8-8AFC-BC5E197F2306}"/>
    <hyperlink ref="A205" r:id="rId2" xr:uid="{9EB86107-39DD-4A3D-AA5C-CC656EB6D19B}"/>
    <hyperlink ref="A210" r:id="rId3" xr:uid="{7520A0BC-3CF3-4738-8429-9D6BBB68AE1A}"/>
    <hyperlink ref="A269" r:id="rId4" xr:uid="{2B003E87-7DD5-4CF8-91E3-A153C1B6AD80}"/>
    <hyperlink ref="A290" r:id="rId5" xr:uid="{A09A5D51-F7B6-4970-80FB-37310E0BBB9D}"/>
    <hyperlink ref="A271" r:id="rId6" xr:uid="{B6A3DC63-CADA-4A8D-915E-9EF10C316FBB}"/>
    <hyperlink ref="A222" r:id="rId7" xr:uid="{3D7AD0D7-3265-469D-B8DD-1CC6DD5CB140}"/>
    <hyperlink ref="A260" r:id="rId8" xr:uid="{6E898DC2-660D-4271-921E-EC496DB18992}"/>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654</v>
      </c>
      <c r="C1" s="949" t="s">
        <v>658</v>
      </c>
      <c r="D1" s="949" t="s">
        <v>659</v>
      </c>
      <c r="E1" s="949" t="s">
        <v>660</v>
      </c>
      <c r="F1" s="948" t="s">
        <v>655</v>
      </c>
      <c r="G1" s="948" t="s">
        <v>656</v>
      </c>
      <c r="H1" s="948" t="s">
        <v>657</v>
      </c>
      <c r="I1" s="949" t="s">
        <v>3356</v>
      </c>
      <c r="J1" s="949" t="s">
        <v>3357</v>
      </c>
      <c r="K1" s="949"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row>
    <row r="2" spans="1:24" ht="15" customHeight="1">
      <c r="A2" s="950" t="s">
        <v>665</v>
      </c>
      <c r="B2" s="950" t="s">
        <v>1383</v>
      </c>
      <c r="C2" s="951"/>
      <c r="D2" s="951"/>
      <c r="E2" s="951"/>
      <c r="F2" s="950" t="s">
        <v>2</v>
      </c>
      <c r="G2" s="950" t="s">
        <v>3266</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Q65" si="1">+F2</f>
        <v>1-Mémo</v>
      </c>
      <c r="R2" s="609" t="str">
        <f t="shared" ref="R2:R65" si="2">+G2</f>
        <v>1</v>
      </c>
      <c r="S2" s="610">
        <f t="shared" ref="S2:S65" si="3">+H2</f>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666</v>
      </c>
      <c r="B3" s="950" t="s">
        <v>1583</v>
      </c>
      <c r="C3" s="951"/>
      <c r="D3" s="951"/>
      <c r="E3" s="951"/>
      <c r="F3" s="950" t="s">
        <v>2</v>
      </c>
      <c r="G3" s="950" t="s">
        <v>3266</v>
      </c>
      <c r="H3" s="951"/>
      <c r="I3" s="952">
        <v>81087.95</v>
      </c>
      <c r="J3" s="952">
        <v>0</v>
      </c>
      <c r="K3" s="952">
        <v>81087.95</v>
      </c>
      <c r="L3" s="609" t="str">
        <f t="shared" ref="L3:L66" si="4">TEXT(B3,0)</f>
        <v>20</v>
      </c>
      <c r="M3" s="610" t="str">
        <f t="shared" si="0"/>
        <v>PROFIT/PERTES FEVRIER</v>
      </c>
      <c r="N3" s="611">
        <f>+IF(OR($Q3=Parametres!$G$2,$Q3=Parametres!$G$3),I3,C3)</f>
        <v>81087.95</v>
      </c>
      <c r="O3" s="615">
        <f>+IF(OR($Q3=Parametres!$G$2,$Q3=Parametres!$G$3),J3,D3)</f>
        <v>0</v>
      </c>
      <c r="P3" s="611">
        <f>+IF(OR($Q3=Parametres!$G$2,$Q3=Parametres!$G$3),K3,E3)</f>
        <v>81087.95</v>
      </c>
      <c r="Q3" s="610" t="str">
        <f t="shared" si="1"/>
        <v>1-Mémo</v>
      </c>
      <c r="R3" s="609" t="str">
        <f t="shared" si="2"/>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667</v>
      </c>
      <c r="B4" s="950" t="s">
        <v>693</v>
      </c>
      <c r="C4" s="951"/>
      <c r="D4" s="951"/>
      <c r="E4" s="951"/>
      <c r="F4" s="950" t="s">
        <v>2</v>
      </c>
      <c r="G4" s="950" t="s">
        <v>3266</v>
      </c>
      <c r="H4" s="951"/>
      <c r="I4" s="952">
        <v>198702.43</v>
      </c>
      <c r="J4" s="952">
        <v>0</v>
      </c>
      <c r="K4" s="952">
        <v>198702.43</v>
      </c>
      <c r="L4" s="609" t="str">
        <f t="shared" si="4"/>
        <v>30</v>
      </c>
      <c r="M4" s="610" t="str">
        <f t="shared" si="0"/>
        <v>PROFIT/PERTES MARS</v>
      </c>
      <c r="N4" s="611">
        <f>+IF(OR($Q4=Parametres!$G$2,$Q4=Parametres!$G$3),I4,C4)</f>
        <v>198702.43</v>
      </c>
      <c r="O4" s="615">
        <f>+IF(OR($Q4=Parametres!$G$2,$Q4=Parametres!$G$3),J4,D4)</f>
        <v>0</v>
      </c>
      <c r="P4" s="611">
        <f>+IF(OR($Q4=Parametres!$G$2,$Q4=Parametres!$G$3),K4,E4)</f>
        <v>198702.43</v>
      </c>
      <c r="Q4" s="610" t="str">
        <f t="shared" si="1"/>
        <v>1-Mémo</v>
      </c>
      <c r="R4" s="609" t="str">
        <f t="shared" si="2"/>
        <v>1</v>
      </c>
      <c r="S4" s="610">
        <f t="shared" si="3"/>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668</v>
      </c>
      <c r="B5" s="950" t="s">
        <v>706</v>
      </c>
      <c r="C5" s="951"/>
      <c r="D5" s="951"/>
      <c r="E5" s="951"/>
      <c r="F5" s="950" t="s">
        <v>2</v>
      </c>
      <c r="G5" s="950" t="s">
        <v>3266</v>
      </c>
      <c r="H5" s="951"/>
      <c r="I5" s="952">
        <v>148007</v>
      </c>
      <c r="J5" s="952">
        <v>0</v>
      </c>
      <c r="K5" s="952">
        <v>148007</v>
      </c>
      <c r="L5" s="609" t="str">
        <f t="shared" si="4"/>
        <v>40</v>
      </c>
      <c r="M5" s="610" t="str">
        <f t="shared" si="0"/>
        <v>PROFIT/PERTES AVRIL</v>
      </c>
      <c r="N5" s="611">
        <f>+IF(OR($Q5=Parametres!$G$2,$Q5=Parametres!$G$3),I5,C5)</f>
        <v>148007</v>
      </c>
      <c r="O5" s="615">
        <f>+IF(OR($Q5=Parametres!$G$2,$Q5=Parametres!$G$3),J5,D5)</f>
        <v>0</v>
      </c>
      <c r="P5" s="611">
        <f>+IF(OR($Q5=Parametres!$G$2,$Q5=Parametres!$G$3),K5,E5)</f>
        <v>148007</v>
      </c>
      <c r="Q5" s="610" t="str">
        <f t="shared" si="1"/>
        <v>1-Mémo</v>
      </c>
      <c r="R5" s="609" t="str">
        <f t="shared" si="2"/>
        <v>1</v>
      </c>
      <c r="S5" s="610">
        <f t="shared" si="3"/>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669</v>
      </c>
      <c r="B6" s="950" t="s">
        <v>730</v>
      </c>
      <c r="C6" s="951"/>
      <c r="D6" s="951"/>
      <c r="E6" s="951"/>
      <c r="F6" s="950" t="s">
        <v>2</v>
      </c>
      <c r="G6" s="950" t="s">
        <v>3266</v>
      </c>
      <c r="H6" s="951"/>
      <c r="I6" s="952">
        <v>213696.9</v>
      </c>
      <c r="J6" s="952">
        <v>0</v>
      </c>
      <c r="K6" s="952">
        <v>213696.9</v>
      </c>
      <c r="L6" s="609" t="str">
        <f t="shared" si="4"/>
        <v>50</v>
      </c>
      <c r="M6" s="610" t="str">
        <f t="shared" si="0"/>
        <v>PROFIT/PERTES MAI</v>
      </c>
      <c r="N6" s="611">
        <f>+IF(OR($Q6=Parametres!$G$2,$Q6=Parametres!$G$3),I6,C6)</f>
        <v>213696.9</v>
      </c>
      <c r="O6" s="611">
        <f>+IF(OR($Q6=Parametres!$G$2,$Q6=Parametres!$G$3),J6,D6)</f>
        <v>0</v>
      </c>
      <c r="P6" s="611">
        <f>+IF(OR($Q6=Parametres!$G$2,$Q6=Parametres!$G$3),K6,E6)</f>
        <v>213696.9</v>
      </c>
      <c r="Q6" s="610" t="str">
        <f t="shared" si="1"/>
        <v>1-Mémo</v>
      </c>
      <c r="R6" s="609" t="str">
        <f t="shared" si="2"/>
        <v>1</v>
      </c>
      <c r="S6" s="610">
        <f t="shared" si="3"/>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670</v>
      </c>
      <c r="B7" s="950" t="s">
        <v>2185</v>
      </c>
      <c r="C7" s="951"/>
      <c r="D7" s="951"/>
      <c r="E7" s="951"/>
      <c r="F7" s="950" t="s">
        <v>2</v>
      </c>
      <c r="G7" s="950" t="s">
        <v>3266</v>
      </c>
      <c r="H7" s="951"/>
      <c r="I7" s="952">
        <v>260095.67</v>
      </c>
      <c r="J7" s="952">
        <v>0</v>
      </c>
      <c r="K7" s="952">
        <v>260095.67</v>
      </c>
      <c r="L7" s="609" t="str">
        <f t="shared" si="4"/>
        <v>60</v>
      </c>
      <c r="M7" s="610" t="str">
        <f t="shared" si="0"/>
        <v>PROFIT/PERTES JUIN</v>
      </c>
      <c r="N7" s="611">
        <f>+IF(OR($Q7=Parametres!$G$2,$Q7=Parametres!$G$3),I7,C7)</f>
        <v>260095.67</v>
      </c>
      <c r="O7" s="615">
        <f>+IF(OR($Q7=Parametres!$G$2,$Q7=Parametres!$G$3),J7,D7)</f>
        <v>0</v>
      </c>
      <c r="P7" s="611">
        <f>+IF(OR($Q7=Parametres!$G$2,$Q7=Parametres!$G$3),K7,E7)</f>
        <v>260095.67</v>
      </c>
      <c r="Q7" s="610" t="str">
        <f t="shared" si="1"/>
        <v>1-Mémo</v>
      </c>
      <c r="R7" s="609" t="str">
        <f t="shared" si="2"/>
        <v>1</v>
      </c>
      <c r="S7" s="610">
        <f t="shared" si="3"/>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671</v>
      </c>
      <c r="B8" s="950" t="s">
        <v>2687</v>
      </c>
      <c r="C8" s="951"/>
      <c r="D8" s="951"/>
      <c r="E8" s="951"/>
      <c r="F8" s="950" t="s">
        <v>2</v>
      </c>
      <c r="G8" s="950" t="s">
        <v>3266</v>
      </c>
      <c r="H8" s="951"/>
      <c r="I8" s="952">
        <v>247076.44</v>
      </c>
      <c r="J8" s="952">
        <v>0</v>
      </c>
      <c r="K8" s="952">
        <v>247076.44</v>
      </c>
      <c r="L8" s="609" t="str">
        <f t="shared" si="4"/>
        <v>70</v>
      </c>
      <c r="M8" s="610" t="str">
        <f t="shared" si="0"/>
        <v>PROFIT/PERTES JUILLET</v>
      </c>
      <c r="N8" s="611">
        <f>+IF(OR($Q8=Parametres!$G$2,$Q8=Parametres!$G$3),I8,C8)</f>
        <v>247076.44</v>
      </c>
      <c r="O8" s="615">
        <f>+IF(OR($Q8=Parametres!$G$2,$Q8=Parametres!$G$3),J8,D8)</f>
        <v>0</v>
      </c>
      <c r="P8" s="611">
        <f>+IF(OR($Q8=Parametres!$G$2,$Q8=Parametres!$G$3),K8,E8)</f>
        <v>247076.44</v>
      </c>
      <c r="Q8" s="610" t="str">
        <f t="shared" si="1"/>
        <v>1-Mémo</v>
      </c>
      <c r="R8" s="609" t="str">
        <f t="shared" si="2"/>
        <v>1</v>
      </c>
      <c r="S8" s="610">
        <f t="shared" si="3"/>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672</v>
      </c>
      <c r="B9" s="950" t="s">
        <v>2690</v>
      </c>
      <c r="C9" s="951"/>
      <c r="D9" s="951"/>
      <c r="E9" s="951"/>
      <c r="F9" s="950" t="s">
        <v>2</v>
      </c>
      <c r="G9" s="950" t="s">
        <v>3266</v>
      </c>
      <c r="H9" s="951"/>
      <c r="I9" s="952">
        <v>342752.56</v>
      </c>
      <c r="J9" s="952">
        <v>0</v>
      </c>
      <c r="K9" s="952">
        <v>342752.56</v>
      </c>
      <c r="L9" s="609" t="str">
        <f t="shared" si="4"/>
        <v>80</v>
      </c>
      <c r="M9" s="610" t="str">
        <f t="shared" si="0"/>
        <v>PROFIT/PERTES AOUT</v>
      </c>
      <c r="N9" s="611">
        <f>+IF(OR($Q9=Parametres!$G$2,$Q9=Parametres!$G$3),I9,C9)</f>
        <v>342752.56</v>
      </c>
      <c r="O9" s="615">
        <f>+IF(OR($Q9=Parametres!$G$2,$Q9=Parametres!$G$3),J9,D9)</f>
        <v>0</v>
      </c>
      <c r="P9" s="611">
        <f>+IF(OR($Q9=Parametres!$G$2,$Q9=Parametres!$G$3),K9,E9)</f>
        <v>342752.56</v>
      </c>
      <c r="Q9" s="610" t="str">
        <f t="shared" si="1"/>
        <v>1-Mémo</v>
      </c>
      <c r="R9" s="609" t="str">
        <f t="shared" si="2"/>
        <v>1</v>
      </c>
      <c r="S9" s="610">
        <f t="shared" si="3"/>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673</v>
      </c>
      <c r="B10" s="950" t="s">
        <v>2693</v>
      </c>
      <c r="C10" s="951"/>
      <c r="D10" s="951"/>
      <c r="E10" s="951"/>
      <c r="F10" s="950" t="s">
        <v>2</v>
      </c>
      <c r="G10" s="950" t="s">
        <v>3266</v>
      </c>
      <c r="H10" s="951"/>
      <c r="I10" s="952">
        <v>186502.97</v>
      </c>
      <c r="J10" s="952">
        <v>0</v>
      </c>
      <c r="K10" s="952">
        <v>186502.97</v>
      </c>
      <c r="L10" s="609" t="str">
        <f t="shared" si="4"/>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si="1"/>
        <v>1-Mémo</v>
      </c>
      <c r="R10" s="609" t="str">
        <f t="shared" si="2"/>
        <v>1</v>
      </c>
      <c r="S10" s="610">
        <f t="shared" si="3"/>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674</v>
      </c>
      <c r="B11" s="950" t="s">
        <v>1386</v>
      </c>
      <c r="C11" s="951"/>
      <c r="D11" s="951"/>
      <c r="E11" s="951"/>
      <c r="F11" s="950" t="s">
        <v>2</v>
      </c>
      <c r="G11" s="950" t="s">
        <v>3266</v>
      </c>
      <c r="H11" s="951"/>
      <c r="I11" s="952">
        <v>202788.53</v>
      </c>
      <c r="J11" s="952">
        <v>0</v>
      </c>
      <c r="K11" s="952">
        <v>202788.53</v>
      </c>
      <c r="L11" s="609" t="str">
        <f t="shared" si="4"/>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si="1"/>
        <v>1-Mémo</v>
      </c>
      <c r="R11" s="609" t="str">
        <f t="shared" si="2"/>
        <v>1</v>
      </c>
      <c r="S11" s="610">
        <f t="shared" si="3"/>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675</v>
      </c>
      <c r="B12" s="950" t="s">
        <v>1389</v>
      </c>
      <c r="C12" s="951"/>
      <c r="D12" s="951"/>
      <c r="E12" s="951"/>
      <c r="F12" s="950" t="s">
        <v>2</v>
      </c>
      <c r="G12" s="950" t="s">
        <v>3266</v>
      </c>
      <c r="H12" s="951"/>
      <c r="I12" s="952">
        <v>222887.14</v>
      </c>
      <c r="J12" s="952">
        <v>0</v>
      </c>
      <c r="K12" s="952">
        <v>222887.14</v>
      </c>
      <c r="L12" s="609" t="str">
        <f t="shared" si="4"/>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si="1"/>
        <v>1-Mémo</v>
      </c>
      <c r="R12" s="609" t="str">
        <f t="shared" si="2"/>
        <v>1</v>
      </c>
      <c r="S12" s="610">
        <f t="shared" si="3"/>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676</v>
      </c>
      <c r="B13" s="950" t="s">
        <v>3296</v>
      </c>
      <c r="C13" s="951"/>
      <c r="D13" s="951"/>
      <c r="E13" s="951"/>
      <c r="F13" s="950" t="s">
        <v>2</v>
      </c>
      <c r="G13" s="950" t="s">
        <v>3266</v>
      </c>
      <c r="H13" s="951"/>
      <c r="I13" s="952">
        <v>0</v>
      </c>
      <c r="J13" s="952">
        <v>-43030.16</v>
      </c>
      <c r="K13" s="952">
        <v>-43030.16</v>
      </c>
      <c r="L13" s="609" t="str">
        <f t="shared" si="4"/>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si="1"/>
        <v>1-Mémo</v>
      </c>
      <c r="R13" s="609" t="str">
        <f t="shared" si="2"/>
        <v>1</v>
      </c>
      <c r="S13" s="610">
        <f t="shared" si="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677</v>
      </c>
      <c r="B14" s="950" t="s">
        <v>1619</v>
      </c>
      <c r="C14" s="951"/>
      <c r="D14" s="951"/>
      <c r="E14" s="951"/>
      <c r="F14" s="950" t="s">
        <v>2</v>
      </c>
      <c r="G14" s="950" t="s">
        <v>3267</v>
      </c>
      <c r="H14" s="951"/>
      <c r="I14" s="952">
        <v>6.63</v>
      </c>
      <c r="J14" s="952">
        <v>0.41</v>
      </c>
      <c r="K14" s="952">
        <v>7.04</v>
      </c>
      <c r="L14" s="609" t="str">
        <f t="shared" si="4"/>
        <v>229</v>
      </c>
      <c r="M14" s="610" t="str">
        <f t="shared" si="0"/>
        <v>CUMUL. VIS. CARR. VW</v>
      </c>
      <c r="N14" s="611">
        <f>+IF(OR($Q14=Parametres!$G$2,$Q14=Parametres!$G$3),I14,C14)</f>
        <v>6.63</v>
      </c>
      <c r="O14" s="615">
        <f>+IF(OR($Q14=Parametres!$G$2,$Q14=Parametres!$G$3),J14,D14)</f>
        <v>0.41</v>
      </c>
      <c r="P14" s="611">
        <f>+IF(OR($Q14=Parametres!$G$2,$Q14=Parametres!$G$3),K14,E14)</f>
        <v>7.04</v>
      </c>
      <c r="Q14" s="610" t="str">
        <f t="shared" si="1"/>
        <v>1-Mémo</v>
      </c>
      <c r="R14" s="609" t="str">
        <f t="shared" si="2"/>
        <v>23</v>
      </c>
      <c r="S14" s="610">
        <f t="shared" si="3"/>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678</v>
      </c>
      <c r="B15" s="950" t="s">
        <v>1635</v>
      </c>
      <c r="C15" s="951"/>
      <c r="D15" s="951"/>
      <c r="E15" s="951"/>
      <c r="F15" s="950" t="s">
        <v>2</v>
      </c>
      <c r="G15" s="950" t="s">
        <v>3267</v>
      </c>
      <c r="H15" s="951"/>
      <c r="I15" s="952">
        <v>100.49</v>
      </c>
      <c r="J15" s="952">
        <v>7.1</v>
      </c>
      <c r="K15" s="952">
        <v>107.59</v>
      </c>
      <c r="L15" s="609" t="str">
        <f t="shared" si="4"/>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si="1"/>
        <v>1-Mémo</v>
      </c>
      <c r="R15" s="609" t="str">
        <f t="shared" si="2"/>
        <v>23</v>
      </c>
      <c r="S15" s="610">
        <f t="shared" si="3"/>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679</v>
      </c>
      <c r="B16" s="950" t="s">
        <v>1643</v>
      </c>
      <c r="C16" s="951"/>
      <c r="D16" s="951"/>
      <c r="E16" s="951"/>
      <c r="F16" s="950" t="s">
        <v>2</v>
      </c>
      <c r="G16" s="950" t="s">
        <v>3267</v>
      </c>
      <c r="H16" s="951"/>
      <c r="I16" s="952">
        <v>195.46</v>
      </c>
      <c r="J16" s="952">
        <v>15.69</v>
      </c>
      <c r="K16" s="952">
        <v>211.15</v>
      </c>
      <c r="L16" s="609" t="str">
        <f t="shared" si="4"/>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si="1"/>
        <v>1-Mémo</v>
      </c>
      <c r="R16" s="609" t="str">
        <f t="shared" si="2"/>
        <v>23</v>
      </c>
      <c r="S16" s="610">
        <f t="shared" si="3"/>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680</v>
      </c>
      <c r="B17" s="950" t="s">
        <v>1655</v>
      </c>
      <c r="C17" s="951"/>
      <c r="D17" s="951"/>
      <c r="E17" s="951"/>
      <c r="F17" s="950" t="s">
        <v>2</v>
      </c>
      <c r="G17" s="950" t="s">
        <v>3267</v>
      </c>
      <c r="H17" s="951"/>
      <c r="I17" s="952">
        <v>194.4</v>
      </c>
      <c r="J17" s="952">
        <v>15.8</v>
      </c>
      <c r="K17" s="952">
        <v>210.2</v>
      </c>
      <c r="L17" s="609" t="str">
        <f t="shared" si="4"/>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si="1"/>
        <v>1-Mémo</v>
      </c>
      <c r="R17" s="609" t="str">
        <f t="shared" si="2"/>
        <v>23</v>
      </c>
      <c r="S17" s="610">
        <f t="shared" si="3"/>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681</v>
      </c>
      <c r="B18" s="950" t="s">
        <v>1658</v>
      </c>
      <c r="C18" s="951"/>
      <c r="D18" s="951"/>
      <c r="E18" s="951"/>
      <c r="F18" s="950" t="s">
        <v>2</v>
      </c>
      <c r="G18" s="950" t="s">
        <v>3267</v>
      </c>
      <c r="H18" s="951"/>
      <c r="I18" s="952">
        <v>221.17</v>
      </c>
      <c r="J18" s="952">
        <v>16.760000000000002</v>
      </c>
      <c r="K18" s="952">
        <v>237.93</v>
      </c>
      <c r="L18" s="609" t="str">
        <f t="shared" si="4"/>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si="1"/>
        <v>1-Mémo</v>
      </c>
      <c r="R18" s="609" t="str">
        <f t="shared" si="2"/>
        <v>23</v>
      </c>
      <c r="S18" s="610">
        <f t="shared" si="3"/>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3602</v>
      </c>
      <c r="B19" s="950" t="s">
        <v>1663</v>
      </c>
      <c r="C19" s="951"/>
      <c r="D19" s="951"/>
      <c r="E19" s="951"/>
      <c r="F19" s="950" t="s">
        <v>2</v>
      </c>
      <c r="G19" s="950" t="s">
        <v>3268</v>
      </c>
      <c r="H19" s="951"/>
      <c r="I19" s="952">
        <v>134.94999999999999</v>
      </c>
      <c r="J19" s="952">
        <v>0</v>
      </c>
      <c r="K19" s="952">
        <v>134.94999999999999</v>
      </c>
      <c r="L19" s="609" t="str">
        <f t="shared" si="4"/>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si="1"/>
        <v>1-Mémo</v>
      </c>
      <c r="R19" s="609" t="str">
        <f t="shared" si="2"/>
        <v>24</v>
      </c>
      <c r="S19" s="610">
        <f t="shared" si="3"/>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3603</v>
      </c>
      <c r="B20" s="950" t="s">
        <v>1666</v>
      </c>
      <c r="C20" s="951"/>
      <c r="D20" s="951"/>
      <c r="E20" s="951"/>
      <c r="F20" s="950" t="s">
        <v>2</v>
      </c>
      <c r="G20" s="950" t="s">
        <v>3268</v>
      </c>
      <c r="H20" s="951"/>
      <c r="I20" s="952">
        <v>123.64</v>
      </c>
      <c r="J20" s="952">
        <v>0</v>
      </c>
      <c r="K20" s="952">
        <v>123.64</v>
      </c>
      <c r="L20" s="609" t="str">
        <f t="shared" si="4"/>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si="1"/>
        <v>1-Mémo</v>
      </c>
      <c r="R20" s="609" t="str">
        <f t="shared" si="2"/>
        <v>24</v>
      </c>
      <c r="S20" s="610">
        <f t="shared" si="3"/>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3604</v>
      </c>
      <c r="B21" s="950" t="s">
        <v>1669</v>
      </c>
      <c r="C21" s="951"/>
      <c r="D21" s="951"/>
      <c r="E21" s="951"/>
      <c r="F21" s="950" t="s">
        <v>2</v>
      </c>
      <c r="G21" s="950" t="s">
        <v>3268</v>
      </c>
      <c r="H21" s="951"/>
      <c r="I21" s="952">
        <v>134.94999999999999</v>
      </c>
      <c r="J21" s="952">
        <v>0</v>
      </c>
      <c r="K21" s="952">
        <v>134.94999999999999</v>
      </c>
      <c r="L21" s="609" t="str">
        <f t="shared" si="4"/>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si="1"/>
        <v>1-Mémo</v>
      </c>
      <c r="R21" s="609" t="str">
        <f t="shared" si="2"/>
        <v>24</v>
      </c>
      <c r="S21" s="610">
        <f t="shared" si="3"/>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3605</v>
      </c>
      <c r="B22" s="950" t="s">
        <v>1672</v>
      </c>
      <c r="C22" s="951"/>
      <c r="D22" s="951"/>
      <c r="E22" s="951"/>
      <c r="F22" s="950" t="s">
        <v>2</v>
      </c>
      <c r="G22" s="950" t="s">
        <v>3268</v>
      </c>
      <c r="H22" s="951"/>
      <c r="I22" s="952">
        <v>65</v>
      </c>
      <c r="J22" s="952">
        <v>0</v>
      </c>
      <c r="K22" s="952">
        <v>65</v>
      </c>
      <c r="L22" s="609" t="str">
        <f t="shared" si="4"/>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si="1"/>
        <v>1-Mémo</v>
      </c>
      <c r="R22" s="609" t="str">
        <f t="shared" si="2"/>
        <v>24</v>
      </c>
      <c r="S22" s="610">
        <f t="shared" si="3"/>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686</v>
      </c>
      <c r="B23" s="950" t="s">
        <v>687</v>
      </c>
      <c r="C23" s="951"/>
      <c r="D23" s="951"/>
      <c r="E23" s="951"/>
      <c r="F23" s="950" t="s">
        <v>2</v>
      </c>
      <c r="G23" s="950" t="s">
        <v>687</v>
      </c>
      <c r="H23" s="951"/>
      <c r="I23" s="952">
        <v>0.08</v>
      </c>
      <c r="J23" s="952">
        <v>0</v>
      </c>
      <c r="K23" s="952">
        <v>0.08</v>
      </c>
      <c r="L23" s="609" t="str">
        <f t="shared" si="4"/>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si="1"/>
        <v>1-Mémo</v>
      </c>
      <c r="R23" s="609" t="str">
        <f t="shared" si="2"/>
        <v>255</v>
      </c>
      <c r="S23" s="610">
        <f t="shared" si="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3606</v>
      </c>
      <c r="B24" s="950" t="s">
        <v>689</v>
      </c>
      <c r="C24" s="951"/>
      <c r="D24" s="951"/>
      <c r="E24" s="951"/>
      <c r="F24" s="950" t="s">
        <v>2</v>
      </c>
      <c r="G24" s="950" t="s">
        <v>689</v>
      </c>
      <c r="H24" s="951"/>
      <c r="I24" s="952">
        <v>10846.7</v>
      </c>
      <c r="J24" s="952">
        <v>869.43</v>
      </c>
      <c r="K24" s="952">
        <v>11716.13</v>
      </c>
      <c r="L24" s="609" t="str">
        <f t="shared" si="4"/>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si="1"/>
        <v>1-Mémo</v>
      </c>
      <c r="R24" s="609" t="str">
        <f t="shared" si="2"/>
        <v>257</v>
      </c>
      <c r="S24" s="610">
        <f t="shared" si="3"/>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3607</v>
      </c>
      <c r="B25" s="950" t="s">
        <v>1695</v>
      </c>
      <c r="C25" s="951"/>
      <c r="D25" s="951"/>
      <c r="E25" s="951"/>
      <c r="F25" s="950" t="s">
        <v>2</v>
      </c>
      <c r="G25" s="950" t="s">
        <v>689</v>
      </c>
      <c r="H25" s="951"/>
      <c r="I25" s="952">
        <v>4067.18</v>
      </c>
      <c r="J25" s="952">
        <v>317.7</v>
      </c>
      <c r="K25" s="952">
        <v>4384.88</v>
      </c>
      <c r="L25" s="609" t="str">
        <f t="shared" si="4"/>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si="1"/>
        <v>1-Mémo</v>
      </c>
      <c r="R25" s="609" t="str">
        <f t="shared" si="2"/>
        <v>257</v>
      </c>
      <c r="S25" s="610">
        <f t="shared" si="3"/>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3608</v>
      </c>
      <c r="B26" s="950" t="s">
        <v>1698</v>
      </c>
      <c r="C26" s="951"/>
      <c r="D26" s="951"/>
      <c r="E26" s="951"/>
      <c r="F26" s="950" t="s">
        <v>2</v>
      </c>
      <c r="G26" s="950" t="s">
        <v>689</v>
      </c>
      <c r="H26" s="951"/>
      <c r="I26" s="952">
        <v>4526.6099999999997</v>
      </c>
      <c r="J26" s="952">
        <v>393.3</v>
      </c>
      <c r="K26" s="952">
        <v>4919.91</v>
      </c>
      <c r="L26" s="609" t="str">
        <f t="shared" si="4"/>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si="1"/>
        <v>1-Mémo</v>
      </c>
      <c r="R26" s="609" t="str">
        <f t="shared" si="2"/>
        <v>257</v>
      </c>
      <c r="S26" s="610">
        <f t="shared" si="3"/>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692</v>
      </c>
      <c r="B27" s="950" t="s">
        <v>1708</v>
      </c>
      <c r="C27" s="951"/>
      <c r="D27" s="951"/>
      <c r="E27" s="951"/>
      <c r="F27" s="950" t="s">
        <v>2</v>
      </c>
      <c r="G27" s="950" t="s">
        <v>693</v>
      </c>
      <c r="H27" s="951"/>
      <c r="I27" s="952">
        <v>-59153.9</v>
      </c>
      <c r="J27" s="952">
        <v>-5635.67</v>
      </c>
      <c r="K27" s="952">
        <v>-64789.57</v>
      </c>
      <c r="L27" s="609" t="str">
        <f t="shared" si="4"/>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si="1"/>
        <v>1-Mémo</v>
      </c>
      <c r="R27" s="609" t="str">
        <f t="shared" si="2"/>
        <v>30</v>
      </c>
      <c r="S27" s="610">
        <f t="shared" si="3"/>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694</v>
      </c>
      <c r="B28" s="950" t="s">
        <v>1719</v>
      </c>
      <c r="C28" s="951"/>
      <c r="D28" s="951"/>
      <c r="E28" s="951"/>
      <c r="F28" s="950" t="s">
        <v>2</v>
      </c>
      <c r="G28" s="950" t="s">
        <v>693</v>
      </c>
      <c r="H28" s="951"/>
      <c r="I28" s="952">
        <v>252014.04</v>
      </c>
      <c r="J28" s="952">
        <v>52287.59</v>
      </c>
      <c r="K28" s="952">
        <v>304301.63</v>
      </c>
      <c r="L28" s="609" t="str">
        <f t="shared" si="4"/>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si="1"/>
        <v>1-Mémo</v>
      </c>
      <c r="R28" s="609" t="str">
        <f t="shared" si="2"/>
        <v>30</v>
      </c>
      <c r="S28" s="610">
        <f t="shared" si="3"/>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695</v>
      </c>
      <c r="B29" s="950" t="s">
        <v>1722</v>
      </c>
      <c r="C29" s="951"/>
      <c r="D29" s="951"/>
      <c r="E29" s="951"/>
      <c r="F29" s="950" t="s">
        <v>2</v>
      </c>
      <c r="G29" s="950" t="s">
        <v>693</v>
      </c>
      <c r="H29" s="951"/>
      <c r="I29" s="952">
        <v>205860.44</v>
      </c>
      <c r="J29" s="952">
        <v>0</v>
      </c>
      <c r="K29" s="952">
        <v>205860.44</v>
      </c>
      <c r="L29" s="609" t="str">
        <f t="shared" si="4"/>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si="1"/>
        <v>1-Mémo</v>
      </c>
      <c r="R29" s="609" t="str">
        <f t="shared" si="2"/>
        <v>30</v>
      </c>
      <c r="S29" s="610">
        <f t="shared" si="3"/>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696</v>
      </c>
      <c r="B30" s="950" t="s">
        <v>1725</v>
      </c>
      <c r="C30" s="951"/>
      <c r="D30" s="951"/>
      <c r="E30" s="951"/>
      <c r="F30" s="950" t="s">
        <v>2</v>
      </c>
      <c r="G30" s="950" t="s">
        <v>693</v>
      </c>
      <c r="H30" s="951"/>
      <c r="I30" s="952">
        <v>-29803.37</v>
      </c>
      <c r="J30" s="952">
        <v>-19709.400000000001</v>
      </c>
      <c r="K30" s="952">
        <v>-49512.77</v>
      </c>
      <c r="L30" s="609" t="str">
        <f t="shared" si="4"/>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si="1"/>
        <v>1-Mémo</v>
      </c>
      <c r="R30" s="609" t="str">
        <f t="shared" si="2"/>
        <v>30</v>
      </c>
      <c r="S30" s="610">
        <f t="shared" si="3"/>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697</v>
      </c>
      <c r="B31" s="950" t="s">
        <v>1728</v>
      </c>
      <c r="C31" s="951"/>
      <c r="D31" s="951"/>
      <c r="E31" s="951"/>
      <c r="F31" s="950" t="s">
        <v>2</v>
      </c>
      <c r="G31" s="950" t="s">
        <v>3269</v>
      </c>
      <c r="H31" s="951"/>
      <c r="I31" s="952">
        <v>-103418.86</v>
      </c>
      <c r="J31" s="952">
        <v>-27590.15</v>
      </c>
      <c r="K31" s="952">
        <v>-131009.01</v>
      </c>
      <c r="L31" s="609" t="str">
        <f t="shared" si="4"/>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si="1"/>
        <v>1-Mémo</v>
      </c>
      <c r="R31" s="609" t="str">
        <f t="shared" si="2"/>
        <v>31</v>
      </c>
      <c r="S31" s="610">
        <f t="shared" si="3"/>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698</v>
      </c>
      <c r="B32" s="950" t="s">
        <v>1731</v>
      </c>
      <c r="C32" s="951"/>
      <c r="D32" s="951"/>
      <c r="E32" s="951"/>
      <c r="F32" s="950" t="s">
        <v>2</v>
      </c>
      <c r="G32" s="950" t="s">
        <v>3269</v>
      </c>
      <c r="H32" s="951"/>
      <c r="I32" s="952">
        <v>161196.84</v>
      </c>
      <c r="J32" s="952">
        <v>32051.62</v>
      </c>
      <c r="K32" s="952">
        <v>193248.46</v>
      </c>
      <c r="L32" s="609" t="str">
        <f t="shared" si="4"/>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si="1"/>
        <v>1-Mémo</v>
      </c>
      <c r="R32" s="609" t="str">
        <f t="shared" si="2"/>
        <v>31</v>
      </c>
      <c r="S32" s="610">
        <f t="shared" si="3"/>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699</v>
      </c>
      <c r="B33" s="950" t="s">
        <v>1734</v>
      </c>
      <c r="C33" s="951"/>
      <c r="D33" s="951"/>
      <c r="E33" s="951"/>
      <c r="F33" s="950" t="s">
        <v>2</v>
      </c>
      <c r="G33" s="950" t="s">
        <v>3269</v>
      </c>
      <c r="H33" s="951"/>
      <c r="I33" s="952">
        <v>431440.53</v>
      </c>
      <c r="J33" s="952">
        <v>4077.44</v>
      </c>
      <c r="K33" s="952">
        <v>435517.97</v>
      </c>
      <c r="L33" s="609" t="str">
        <f t="shared" si="4"/>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si="1"/>
        <v>1-Mémo</v>
      </c>
      <c r="R33" s="609" t="str">
        <f t="shared" si="2"/>
        <v>31</v>
      </c>
      <c r="S33" s="610">
        <f t="shared" si="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700</v>
      </c>
      <c r="B34" s="950" t="s">
        <v>1737</v>
      </c>
      <c r="C34" s="951"/>
      <c r="D34" s="951"/>
      <c r="E34" s="951"/>
      <c r="F34" s="950" t="s">
        <v>2</v>
      </c>
      <c r="G34" s="950" t="s">
        <v>3269</v>
      </c>
      <c r="H34" s="951"/>
      <c r="I34" s="952">
        <v>-108476.78</v>
      </c>
      <c r="J34" s="952">
        <v>-34124.26</v>
      </c>
      <c r="K34" s="952">
        <v>-142601.04</v>
      </c>
      <c r="L34" s="609" t="str">
        <f t="shared" si="4"/>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si="1"/>
        <v>1-Mémo</v>
      </c>
      <c r="R34" s="609" t="str">
        <f t="shared" si="2"/>
        <v>31</v>
      </c>
      <c r="S34" s="610">
        <f t="shared" si="3"/>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701</v>
      </c>
      <c r="B35" s="950" t="s">
        <v>1743</v>
      </c>
      <c r="C35" s="951"/>
      <c r="D35" s="951"/>
      <c r="E35" s="951"/>
      <c r="F35" s="950" t="s">
        <v>2</v>
      </c>
      <c r="G35" s="950" t="s">
        <v>3270</v>
      </c>
      <c r="H35" s="951"/>
      <c r="I35" s="952">
        <v>1.88</v>
      </c>
      <c r="J35" s="952">
        <v>0.13</v>
      </c>
      <c r="K35" s="952">
        <v>2.0099999999999998</v>
      </c>
      <c r="L35" s="609" t="str">
        <f t="shared" si="4"/>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si="1"/>
        <v>1-Mémo</v>
      </c>
      <c r="R35" s="609" t="str">
        <f t="shared" si="2"/>
        <v>35</v>
      </c>
      <c r="S35" s="610">
        <f t="shared" si="3"/>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702</v>
      </c>
      <c r="B36" s="950" t="s">
        <v>1746</v>
      </c>
      <c r="C36" s="951"/>
      <c r="D36" s="951"/>
      <c r="E36" s="951"/>
      <c r="F36" s="950" t="s">
        <v>2</v>
      </c>
      <c r="G36" s="950" t="s">
        <v>3271</v>
      </c>
      <c r="H36" s="951"/>
      <c r="I36" s="952">
        <v>5170572.37</v>
      </c>
      <c r="J36" s="952">
        <v>348236.13</v>
      </c>
      <c r="K36" s="952">
        <v>5518808.5</v>
      </c>
      <c r="L36" s="609" t="str">
        <f t="shared" si="4"/>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si="1"/>
        <v>1-Mémo</v>
      </c>
      <c r="R36" s="609" t="str">
        <f t="shared" si="2"/>
        <v>36</v>
      </c>
      <c r="S36" s="610">
        <f t="shared" si="3"/>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703</v>
      </c>
      <c r="B37" s="950" t="s">
        <v>1749</v>
      </c>
      <c r="C37" s="951"/>
      <c r="D37" s="951"/>
      <c r="E37" s="951"/>
      <c r="F37" s="950" t="s">
        <v>2</v>
      </c>
      <c r="G37" s="950" t="s">
        <v>3272</v>
      </c>
      <c r="H37" s="951"/>
      <c r="I37" s="952">
        <v>425000</v>
      </c>
      <c r="J37" s="952">
        <v>0</v>
      </c>
      <c r="K37" s="952">
        <v>425000</v>
      </c>
      <c r="L37" s="609" t="str">
        <f t="shared" si="4"/>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si="1"/>
        <v>1-Mémo</v>
      </c>
      <c r="R37" s="609" t="str">
        <f t="shared" si="2"/>
        <v>37</v>
      </c>
      <c r="S37" s="610">
        <f t="shared" si="3"/>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704</v>
      </c>
      <c r="B38" s="950" t="s">
        <v>1752</v>
      </c>
      <c r="C38" s="951"/>
      <c r="D38" s="951"/>
      <c r="E38" s="951"/>
      <c r="F38" s="950" t="s">
        <v>2</v>
      </c>
      <c r="G38" s="950" t="s">
        <v>3272</v>
      </c>
      <c r="H38" s="951"/>
      <c r="I38" s="952">
        <v>737500</v>
      </c>
      <c r="J38" s="952">
        <v>0</v>
      </c>
      <c r="K38" s="952">
        <v>737500</v>
      </c>
      <c r="L38" s="609" t="str">
        <f t="shared" si="4"/>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si="1"/>
        <v>1-Mémo</v>
      </c>
      <c r="R38" s="609" t="str">
        <f t="shared" si="2"/>
        <v>37</v>
      </c>
      <c r="S38" s="610">
        <f t="shared" si="3"/>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705</v>
      </c>
      <c r="B39" s="950" t="s">
        <v>1757</v>
      </c>
      <c r="C39" s="951"/>
      <c r="D39" s="951"/>
      <c r="E39" s="951"/>
      <c r="F39" s="950" t="s">
        <v>2</v>
      </c>
      <c r="G39" s="950" t="s">
        <v>706</v>
      </c>
      <c r="H39" s="951"/>
      <c r="I39" s="952">
        <v>0.47</v>
      </c>
      <c r="J39" s="952">
        <v>0</v>
      </c>
      <c r="K39" s="952">
        <v>0.47</v>
      </c>
      <c r="L39" s="609" t="str">
        <f t="shared" si="4"/>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si="1"/>
        <v>1-Mémo</v>
      </c>
      <c r="R39" s="609" t="str">
        <f t="shared" si="2"/>
        <v>40</v>
      </c>
      <c r="S39" s="610">
        <f t="shared" si="3"/>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707</v>
      </c>
      <c r="B40" s="950" t="s">
        <v>1760</v>
      </c>
      <c r="C40" s="951"/>
      <c r="D40" s="951"/>
      <c r="E40" s="951"/>
      <c r="F40" s="950" t="s">
        <v>2</v>
      </c>
      <c r="G40" s="950" t="s">
        <v>706</v>
      </c>
      <c r="H40" s="951"/>
      <c r="I40" s="952">
        <v>0.26</v>
      </c>
      <c r="J40" s="952">
        <v>0</v>
      </c>
      <c r="K40" s="952">
        <v>0.26</v>
      </c>
      <c r="L40" s="609" t="str">
        <f t="shared" si="4"/>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si="1"/>
        <v>1-Mémo</v>
      </c>
      <c r="R40" s="609" t="str">
        <f t="shared" si="2"/>
        <v>40</v>
      </c>
      <c r="S40" s="610">
        <f t="shared" si="3"/>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708</v>
      </c>
      <c r="B41" s="950" t="s">
        <v>1763</v>
      </c>
      <c r="C41" s="951"/>
      <c r="D41" s="951"/>
      <c r="E41" s="951"/>
      <c r="F41" s="950" t="s">
        <v>2</v>
      </c>
      <c r="G41" s="950" t="s">
        <v>706</v>
      </c>
      <c r="H41" s="951"/>
      <c r="I41" s="952">
        <v>0.28999999999999998</v>
      </c>
      <c r="J41" s="952">
        <v>0</v>
      </c>
      <c r="K41" s="952">
        <v>0.28999999999999998</v>
      </c>
      <c r="L41" s="609" t="str">
        <f t="shared" si="4"/>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si="1"/>
        <v>1-Mémo</v>
      </c>
      <c r="R41" s="609" t="str">
        <f t="shared" si="2"/>
        <v>40</v>
      </c>
      <c r="S41" s="610">
        <f t="shared" si="3"/>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709</v>
      </c>
      <c r="B42" s="950" t="s">
        <v>1766</v>
      </c>
      <c r="C42" s="951"/>
      <c r="D42" s="951"/>
      <c r="E42" s="951"/>
      <c r="F42" s="950" t="s">
        <v>2</v>
      </c>
      <c r="G42" s="950" t="s">
        <v>706</v>
      </c>
      <c r="H42" s="951"/>
      <c r="I42" s="952">
        <v>0.33</v>
      </c>
      <c r="J42" s="952">
        <v>0</v>
      </c>
      <c r="K42" s="952">
        <v>0.33</v>
      </c>
      <c r="L42" s="609" t="str">
        <f t="shared" si="4"/>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si="1"/>
        <v>1-Mémo</v>
      </c>
      <c r="R42" s="609" t="str">
        <f t="shared" si="2"/>
        <v>40</v>
      </c>
      <c r="S42" s="610">
        <f t="shared" si="3"/>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710</v>
      </c>
      <c r="B43" s="950" t="s">
        <v>1769</v>
      </c>
      <c r="C43" s="951"/>
      <c r="D43" s="951"/>
      <c r="E43" s="951"/>
      <c r="F43" s="950" t="s">
        <v>2</v>
      </c>
      <c r="G43" s="950" t="s">
        <v>706</v>
      </c>
      <c r="H43" s="951"/>
      <c r="I43" s="952">
        <v>0.46</v>
      </c>
      <c r="J43" s="952">
        <v>0</v>
      </c>
      <c r="K43" s="952">
        <v>0.46</v>
      </c>
      <c r="L43" s="609" t="str">
        <f t="shared" si="4"/>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si="1"/>
        <v>1-Mémo</v>
      </c>
      <c r="R43" s="609" t="str">
        <f t="shared" si="2"/>
        <v>40</v>
      </c>
      <c r="S43" s="610">
        <f t="shared" si="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711</v>
      </c>
      <c r="B44" s="950" t="s">
        <v>1772</v>
      </c>
      <c r="C44" s="951"/>
      <c r="D44" s="951"/>
      <c r="E44" s="951"/>
      <c r="F44" s="950" t="s">
        <v>2</v>
      </c>
      <c r="G44" s="950" t="s">
        <v>706</v>
      </c>
      <c r="H44" s="951"/>
      <c r="I44" s="952">
        <v>0.56000000000000005</v>
      </c>
      <c r="J44" s="952">
        <v>0</v>
      </c>
      <c r="K44" s="952">
        <v>0.56000000000000005</v>
      </c>
      <c r="L44" s="609" t="str">
        <f t="shared" si="4"/>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si="1"/>
        <v>1-Mémo</v>
      </c>
      <c r="R44" s="609" t="str">
        <f t="shared" si="2"/>
        <v>40</v>
      </c>
      <c r="S44" s="610">
        <f t="shared" si="3"/>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712</v>
      </c>
      <c r="B45" s="950" t="s">
        <v>1775</v>
      </c>
      <c r="C45" s="951"/>
      <c r="D45" s="951"/>
      <c r="E45" s="951"/>
      <c r="F45" s="950" t="s">
        <v>2</v>
      </c>
      <c r="G45" s="950" t="s">
        <v>706</v>
      </c>
      <c r="H45" s="951"/>
      <c r="I45" s="952">
        <v>0.55000000000000004</v>
      </c>
      <c r="J45" s="952">
        <v>0</v>
      </c>
      <c r="K45" s="952">
        <v>0.55000000000000004</v>
      </c>
      <c r="L45" s="609" t="str">
        <f t="shared" si="4"/>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si="1"/>
        <v>1-Mémo</v>
      </c>
      <c r="R45" s="609" t="str">
        <f t="shared" si="2"/>
        <v>40</v>
      </c>
      <c r="S45" s="610">
        <f t="shared" si="3"/>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713</v>
      </c>
      <c r="B46" s="950" t="s">
        <v>1778</v>
      </c>
      <c r="C46" s="951"/>
      <c r="D46" s="951"/>
      <c r="E46" s="951"/>
      <c r="F46" s="950" t="s">
        <v>2</v>
      </c>
      <c r="G46" s="950" t="s">
        <v>706</v>
      </c>
      <c r="H46" s="951"/>
      <c r="I46" s="952">
        <v>0.77</v>
      </c>
      <c r="J46" s="952">
        <v>0</v>
      </c>
      <c r="K46" s="952">
        <v>0.77</v>
      </c>
      <c r="L46" s="609" t="str">
        <f t="shared" si="4"/>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si="1"/>
        <v>1-Mémo</v>
      </c>
      <c r="R46" s="609" t="str">
        <f t="shared" si="2"/>
        <v>40</v>
      </c>
      <c r="S46" s="610">
        <f t="shared" si="3"/>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714</v>
      </c>
      <c r="B47" s="950" t="s">
        <v>1781</v>
      </c>
      <c r="C47" s="951"/>
      <c r="D47" s="951"/>
      <c r="E47" s="951"/>
      <c r="F47" s="950" t="s">
        <v>2</v>
      </c>
      <c r="G47" s="950" t="s">
        <v>706</v>
      </c>
      <c r="H47" s="951"/>
      <c r="I47" s="952">
        <v>0.53</v>
      </c>
      <c r="J47" s="952">
        <v>0</v>
      </c>
      <c r="K47" s="952">
        <v>0.53</v>
      </c>
      <c r="L47" s="609" t="str">
        <f t="shared" si="4"/>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si="1"/>
        <v>1-Mémo</v>
      </c>
      <c r="R47" s="609" t="str">
        <f t="shared" si="2"/>
        <v>40</v>
      </c>
      <c r="S47" s="610">
        <f t="shared" si="3"/>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715</v>
      </c>
      <c r="B48" s="950" t="s">
        <v>1784</v>
      </c>
      <c r="C48" s="951"/>
      <c r="D48" s="951"/>
      <c r="E48" s="951"/>
      <c r="F48" s="950" t="s">
        <v>2</v>
      </c>
      <c r="G48" s="950" t="s">
        <v>706</v>
      </c>
      <c r="H48" s="951"/>
      <c r="I48" s="952">
        <v>0.53</v>
      </c>
      <c r="J48" s="952">
        <v>0</v>
      </c>
      <c r="K48" s="952">
        <v>0.53</v>
      </c>
      <c r="L48" s="609" t="str">
        <f t="shared" si="4"/>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si="1"/>
        <v>1-Mémo</v>
      </c>
      <c r="R48" s="609" t="str">
        <f t="shared" si="2"/>
        <v>40</v>
      </c>
      <c r="S48" s="610">
        <f t="shared" si="3"/>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716</v>
      </c>
      <c r="B49" s="950" t="s">
        <v>923</v>
      </c>
      <c r="C49" s="951"/>
      <c r="D49" s="951"/>
      <c r="E49" s="951"/>
      <c r="F49" s="950" t="s">
        <v>2</v>
      </c>
      <c r="G49" s="950" t="s">
        <v>706</v>
      </c>
      <c r="H49" s="951"/>
      <c r="I49" s="952">
        <v>0.42</v>
      </c>
      <c r="J49" s="952">
        <v>0</v>
      </c>
      <c r="K49" s="952">
        <v>0.42</v>
      </c>
      <c r="L49" s="609" t="str">
        <f t="shared" si="4"/>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si="1"/>
        <v>1-Mémo</v>
      </c>
      <c r="R49" s="609" t="str">
        <f t="shared" si="2"/>
        <v>40</v>
      </c>
      <c r="S49" s="610">
        <f t="shared" si="3"/>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717</v>
      </c>
      <c r="B50" s="950" t="s">
        <v>3297</v>
      </c>
      <c r="C50" s="951"/>
      <c r="D50" s="951"/>
      <c r="E50" s="951"/>
      <c r="F50" s="950" t="s">
        <v>2</v>
      </c>
      <c r="G50" s="950" t="s">
        <v>706</v>
      </c>
      <c r="H50" s="951"/>
      <c r="I50" s="952">
        <v>0</v>
      </c>
      <c r="J50" s="952">
        <v>0.37</v>
      </c>
      <c r="K50" s="952">
        <v>0.37</v>
      </c>
      <c r="L50" s="609" t="str">
        <f t="shared" si="4"/>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si="1"/>
        <v>1-Mémo</v>
      </c>
      <c r="R50" s="609" t="str">
        <f t="shared" si="2"/>
        <v>40</v>
      </c>
      <c r="S50" s="610">
        <f t="shared" si="3"/>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718</v>
      </c>
      <c r="B51" s="950" t="s">
        <v>1850</v>
      </c>
      <c r="C51" s="951"/>
      <c r="D51" s="951"/>
      <c r="E51" s="951"/>
      <c r="F51" s="950" t="s">
        <v>2</v>
      </c>
      <c r="G51" s="950" t="s">
        <v>3273</v>
      </c>
      <c r="H51" s="951"/>
      <c r="I51" s="952">
        <v>0.18</v>
      </c>
      <c r="J51" s="952">
        <v>0</v>
      </c>
      <c r="K51" s="952">
        <v>0.18</v>
      </c>
      <c r="L51" s="609" t="str">
        <f t="shared" si="4"/>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si="1"/>
        <v>1-Mémo</v>
      </c>
      <c r="R51" s="609" t="str">
        <f t="shared" si="2"/>
        <v>42</v>
      </c>
      <c r="S51" s="610">
        <f t="shared" si="3"/>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719</v>
      </c>
      <c r="B52" s="950" t="s">
        <v>1857</v>
      </c>
      <c r="C52" s="951"/>
      <c r="D52" s="951"/>
      <c r="E52" s="951"/>
      <c r="F52" s="950" t="s">
        <v>2</v>
      </c>
      <c r="G52" s="950" t="s">
        <v>3273</v>
      </c>
      <c r="H52" s="951"/>
      <c r="I52" s="952">
        <v>0.34</v>
      </c>
      <c r="J52" s="952">
        <v>0</v>
      </c>
      <c r="K52" s="952">
        <v>0.34</v>
      </c>
      <c r="L52" s="609" t="str">
        <f t="shared" si="4"/>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si="1"/>
        <v>1-Mémo</v>
      </c>
      <c r="R52" s="609" t="str">
        <f t="shared" si="2"/>
        <v>42</v>
      </c>
      <c r="S52" s="610">
        <f t="shared" si="3"/>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720</v>
      </c>
      <c r="B53" s="950" t="s">
        <v>1860</v>
      </c>
      <c r="C53" s="951"/>
      <c r="D53" s="951"/>
      <c r="E53" s="951"/>
      <c r="F53" s="950" t="s">
        <v>2</v>
      </c>
      <c r="G53" s="950" t="s">
        <v>3273</v>
      </c>
      <c r="H53" s="951"/>
      <c r="I53" s="952">
        <v>0.42</v>
      </c>
      <c r="J53" s="952">
        <v>0</v>
      </c>
      <c r="K53" s="952">
        <v>0.42</v>
      </c>
      <c r="L53" s="609" t="str">
        <f t="shared" si="4"/>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si="1"/>
        <v>1-Mémo</v>
      </c>
      <c r="R53" s="609" t="str">
        <f t="shared" si="2"/>
        <v>42</v>
      </c>
      <c r="S53" s="610">
        <f t="shared" si="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721</v>
      </c>
      <c r="B54" s="950" t="s">
        <v>1863</v>
      </c>
      <c r="C54" s="951"/>
      <c r="D54" s="951"/>
      <c r="E54" s="951"/>
      <c r="F54" s="950" t="s">
        <v>2</v>
      </c>
      <c r="G54" s="950" t="s">
        <v>3273</v>
      </c>
      <c r="H54" s="951"/>
      <c r="I54" s="952">
        <v>0.31</v>
      </c>
      <c r="J54" s="952">
        <v>0</v>
      </c>
      <c r="K54" s="952">
        <v>0.31</v>
      </c>
      <c r="L54" s="609" t="str">
        <f t="shared" si="4"/>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si="1"/>
        <v>1-Mémo</v>
      </c>
      <c r="R54" s="609" t="str">
        <f t="shared" si="2"/>
        <v>42</v>
      </c>
      <c r="S54" s="610">
        <f t="shared" si="3"/>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722</v>
      </c>
      <c r="B55" s="950" t="s">
        <v>1866</v>
      </c>
      <c r="C55" s="951"/>
      <c r="D55" s="951"/>
      <c r="E55" s="951"/>
      <c r="F55" s="950" t="s">
        <v>2</v>
      </c>
      <c r="G55" s="950" t="s">
        <v>3273</v>
      </c>
      <c r="H55" s="951"/>
      <c r="I55" s="952">
        <v>0.32</v>
      </c>
      <c r="J55" s="952">
        <v>0</v>
      </c>
      <c r="K55" s="952">
        <v>0.32</v>
      </c>
      <c r="L55" s="609" t="str">
        <f t="shared" si="4"/>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si="1"/>
        <v>1-Mémo</v>
      </c>
      <c r="R55" s="609" t="str">
        <f t="shared" si="2"/>
        <v>42</v>
      </c>
      <c r="S55" s="610">
        <f t="shared" si="3"/>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723</v>
      </c>
      <c r="B56" s="950" t="s">
        <v>1869</v>
      </c>
      <c r="C56" s="951"/>
      <c r="D56" s="951"/>
      <c r="E56" s="951"/>
      <c r="F56" s="950" t="s">
        <v>2</v>
      </c>
      <c r="G56" s="950" t="s">
        <v>3273</v>
      </c>
      <c r="H56" s="951"/>
      <c r="I56" s="952">
        <v>0.36</v>
      </c>
      <c r="J56" s="952">
        <v>0</v>
      </c>
      <c r="K56" s="952">
        <v>0.36</v>
      </c>
      <c r="L56" s="609" t="str">
        <f t="shared" si="4"/>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si="1"/>
        <v>1-Mémo</v>
      </c>
      <c r="R56" s="609" t="str">
        <f t="shared" si="2"/>
        <v>42</v>
      </c>
      <c r="S56" s="610">
        <f t="shared" si="3"/>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724</v>
      </c>
      <c r="B57" s="950" t="s">
        <v>1872</v>
      </c>
      <c r="C57" s="951"/>
      <c r="D57" s="951"/>
      <c r="E57" s="951"/>
      <c r="F57" s="950" t="s">
        <v>2</v>
      </c>
      <c r="G57" s="950" t="s">
        <v>3273</v>
      </c>
      <c r="H57" s="951"/>
      <c r="I57" s="952">
        <v>0.39</v>
      </c>
      <c r="J57" s="952">
        <v>0</v>
      </c>
      <c r="K57" s="952">
        <v>0.39</v>
      </c>
      <c r="L57" s="609" t="str">
        <f t="shared" si="4"/>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si="1"/>
        <v>1-Mémo</v>
      </c>
      <c r="R57" s="609" t="str">
        <f t="shared" si="2"/>
        <v>42</v>
      </c>
      <c r="S57" s="610">
        <f t="shared" si="3"/>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725</v>
      </c>
      <c r="B58" s="950" t="s">
        <v>1875</v>
      </c>
      <c r="C58" s="951"/>
      <c r="D58" s="951"/>
      <c r="E58" s="951"/>
      <c r="F58" s="950" t="s">
        <v>2</v>
      </c>
      <c r="G58" s="950" t="s">
        <v>3273</v>
      </c>
      <c r="H58" s="951"/>
      <c r="I58" s="952">
        <v>0.37</v>
      </c>
      <c r="J58" s="952">
        <v>0</v>
      </c>
      <c r="K58" s="952">
        <v>0.37</v>
      </c>
      <c r="L58" s="609" t="str">
        <f t="shared" si="4"/>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si="1"/>
        <v>1-Mémo</v>
      </c>
      <c r="R58" s="609" t="str">
        <f t="shared" si="2"/>
        <v>42</v>
      </c>
      <c r="S58" s="610">
        <f t="shared" si="3"/>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726</v>
      </c>
      <c r="B59" s="950" t="s">
        <v>1884</v>
      </c>
      <c r="C59" s="951"/>
      <c r="D59" s="951"/>
      <c r="E59" s="951"/>
      <c r="F59" s="950" t="s">
        <v>2</v>
      </c>
      <c r="G59" s="950" t="s">
        <v>3273</v>
      </c>
      <c r="H59" s="951"/>
      <c r="I59" s="952">
        <v>0.34</v>
      </c>
      <c r="J59" s="952">
        <v>0</v>
      </c>
      <c r="K59" s="952">
        <v>0.34</v>
      </c>
      <c r="L59" s="609" t="str">
        <f t="shared" si="4"/>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si="1"/>
        <v>1-Mémo</v>
      </c>
      <c r="R59" s="609" t="str">
        <f t="shared" si="2"/>
        <v>42</v>
      </c>
      <c r="S59" s="610">
        <f t="shared" si="3"/>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727</v>
      </c>
      <c r="B60" s="950" t="s">
        <v>1892</v>
      </c>
      <c r="C60" s="951"/>
      <c r="D60" s="951"/>
      <c r="E60" s="951"/>
      <c r="F60" s="950" t="s">
        <v>2</v>
      </c>
      <c r="G60" s="950" t="s">
        <v>3273</v>
      </c>
      <c r="H60" s="951"/>
      <c r="I60" s="952">
        <v>0.26</v>
      </c>
      <c r="J60" s="952">
        <v>0</v>
      </c>
      <c r="K60" s="952">
        <v>0.26</v>
      </c>
      <c r="L60" s="609" t="str">
        <f t="shared" si="4"/>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si="1"/>
        <v>1-Mémo</v>
      </c>
      <c r="R60" s="609" t="str">
        <f t="shared" si="2"/>
        <v>42</v>
      </c>
      <c r="S60" s="610">
        <f t="shared" si="3"/>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728</v>
      </c>
      <c r="B61" s="950" t="s">
        <v>1895</v>
      </c>
      <c r="C61" s="951"/>
      <c r="D61" s="951"/>
      <c r="E61" s="951"/>
      <c r="F61" s="950" t="s">
        <v>2</v>
      </c>
      <c r="G61" s="950" t="s">
        <v>3273</v>
      </c>
      <c r="H61" s="951"/>
      <c r="I61" s="952">
        <v>0.27</v>
      </c>
      <c r="J61" s="952">
        <v>0</v>
      </c>
      <c r="K61" s="952">
        <v>0.27</v>
      </c>
      <c r="L61" s="609" t="str">
        <f t="shared" si="4"/>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si="1"/>
        <v>1-Mémo</v>
      </c>
      <c r="R61" s="609" t="str">
        <f t="shared" si="2"/>
        <v>42</v>
      </c>
      <c r="S61" s="610">
        <f t="shared" si="3"/>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3609</v>
      </c>
      <c r="B62" s="950" t="s">
        <v>3298</v>
      </c>
      <c r="C62" s="951"/>
      <c r="D62" s="951"/>
      <c r="E62" s="951"/>
      <c r="F62" s="950" t="s">
        <v>2</v>
      </c>
      <c r="G62" s="950" t="s">
        <v>3273</v>
      </c>
      <c r="H62" s="951"/>
      <c r="I62" s="952">
        <v>0</v>
      </c>
      <c r="J62" s="952">
        <v>0.25</v>
      </c>
      <c r="K62" s="952">
        <v>0.25</v>
      </c>
      <c r="L62" s="609" t="str">
        <f t="shared" si="4"/>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si="1"/>
        <v>1-Mémo</v>
      </c>
      <c r="R62" s="609" t="str">
        <f t="shared" si="2"/>
        <v>42</v>
      </c>
      <c r="S62" s="610">
        <f t="shared" si="3"/>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729</v>
      </c>
      <c r="B63" s="950" t="s">
        <v>2000</v>
      </c>
      <c r="C63" s="951"/>
      <c r="D63" s="951"/>
      <c r="E63" s="951"/>
      <c r="F63" s="950" t="s">
        <v>2</v>
      </c>
      <c r="G63" s="950" t="s">
        <v>730</v>
      </c>
      <c r="H63" s="951"/>
      <c r="I63" s="952">
        <v>1</v>
      </c>
      <c r="J63" s="952">
        <v>0</v>
      </c>
      <c r="K63" s="952">
        <v>1</v>
      </c>
      <c r="L63" s="609" t="str">
        <f t="shared" si="4"/>
        <v>500</v>
      </c>
      <c r="M63" s="610" t="str">
        <f t="shared" si="0"/>
        <v>PROPRIETAIRES</v>
      </c>
      <c r="N63" s="611">
        <f>+IF(OR($Q63=Parametres!$G$2,$Q63=Parametres!$G$3),I63,C63)</f>
        <v>1</v>
      </c>
      <c r="O63" s="611">
        <f>+IF(OR($Q63=Parametres!$G$2,$Q63=Parametres!$G$3),J63,D63)</f>
        <v>0</v>
      </c>
      <c r="P63" s="611">
        <f>+IF(OR($Q63=Parametres!$G$2,$Q63=Parametres!$G$3),K63,E63)</f>
        <v>1</v>
      </c>
      <c r="Q63" s="610" t="str">
        <f t="shared" si="1"/>
        <v>1-Mémo</v>
      </c>
      <c r="R63" s="609" t="str">
        <f t="shared" si="2"/>
        <v>50</v>
      </c>
      <c r="S63" s="610">
        <f t="shared" si="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731</v>
      </c>
      <c r="B64" s="950" t="s">
        <v>1058</v>
      </c>
      <c r="C64" s="951"/>
      <c r="D64" s="951"/>
      <c r="E64" s="951"/>
      <c r="F64" s="950" t="s">
        <v>2</v>
      </c>
      <c r="G64" s="950" t="s">
        <v>730</v>
      </c>
      <c r="H64" s="951"/>
      <c r="I64" s="952">
        <v>0.5</v>
      </c>
      <c r="J64" s="952">
        <v>0</v>
      </c>
      <c r="K64" s="952">
        <v>0.5</v>
      </c>
      <c r="L64" s="609" t="str">
        <f t="shared" si="4"/>
        <v>511</v>
      </c>
      <c r="M64" s="610" t="str">
        <f t="shared" si="0"/>
        <v>DIR. GENERAL NEUFS</v>
      </c>
      <c r="N64" s="611">
        <f>+IF(OR($Q64=Parametres!$G$2,$Q64=Parametres!$G$3),I64,C64)</f>
        <v>0.5</v>
      </c>
      <c r="O64" s="611">
        <f>+IF(OR($Q64=Parametres!$G$2,$Q64=Parametres!$G$3),J64,D64)</f>
        <v>0</v>
      </c>
      <c r="P64" s="611">
        <f>+IF(OR($Q64=Parametres!$G$2,$Q64=Parametres!$G$3),K64,E64)</f>
        <v>0.5</v>
      </c>
      <c r="Q64" s="610" t="str">
        <f t="shared" si="1"/>
        <v>1-Mémo</v>
      </c>
      <c r="R64" s="609" t="str">
        <f t="shared" si="2"/>
        <v>50</v>
      </c>
      <c r="S64" s="610">
        <f t="shared" si="3"/>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732</v>
      </c>
      <c r="B65" s="950" t="s">
        <v>2032</v>
      </c>
      <c r="C65" s="951"/>
      <c r="D65" s="951"/>
      <c r="E65" s="951"/>
      <c r="F65" s="950" t="s">
        <v>2</v>
      </c>
      <c r="G65" s="950" t="s">
        <v>730</v>
      </c>
      <c r="H65" s="951"/>
      <c r="I65" s="952">
        <v>0.5</v>
      </c>
      <c r="J65" s="952">
        <v>0</v>
      </c>
      <c r="K65" s="952">
        <v>0.5</v>
      </c>
      <c r="L65" s="609" t="str">
        <f t="shared" si="4"/>
        <v>512</v>
      </c>
      <c r="M65" s="610" t="str">
        <f t="shared" si="0"/>
        <v>DIR. GENERAL USAGES</v>
      </c>
      <c r="N65" s="611">
        <f>+IF(OR($Q65=Parametres!$G$2,$Q65=Parametres!$G$3),I65,C65)</f>
        <v>0.5</v>
      </c>
      <c r="O65" s="667">
        <f>+IF(OR($Q65=Parametres!$G$2,$Q65=Parametres!$G$3),J65,D65)</f>
        <v>0</v>
      </c>
      <c r="P65" s="611">
        <f>+IF(OR($Q65=Parametres!$G$2,$Q65=Parametres!$G$3),K65,E65)</f>
        <v>0.5</v>
      </c>
      <c r="Q65" s="610" t="str">
        <f t="shared" si="1"/>
        <v>1-Mémo</v>
      </c>
      <c r="R65" s="609" t="str">
        <f t="shared" si="2"/>
        <v>50</v>
      </c>
      <c r="S65" s="610">
        <f t="shared" si="3"/>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733</v>
      </c>
      <c r="B66" s="950" t="s">
        <v>1065</v>
      </c>
      <c r="C66" s="951"/>
      <c r="D66" s="951"/>
      <c r="E66" s="951"/>
      <c r="F66" s="950" t="s">
        <v>2</v>
      </c>
      <c r="G66" s="950" t="s">
        <v>730</v>
      </c>
      <c r="H66" s="951"/>
      <c r="I66" s="952">
        <v>0.5</v>
      </c>
      <c r="J66" s="952">
        <v>0</v>
      </c>
      <c r="K66" s="952">
        <v>0.5</v>
      </c>
      <c r="L66" s="609" t="str">
        <f t="shared" si="4"/>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Q129" si="5">+F66</f>
        <v>1-Mémo</v>
      </c>
      <c r="R66" s="609" t="str">
        <f t="shared" ref="R66:R129" si="6">+G66</f>
        <v>50</v>
      </c>
      <c r="S66" s="610">
        <f t="shared" ref="S66:S129" si="7">+H66</f>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734</v>
      </c>
      <c r="B67" s="950" t="s">
        <v>2055</v>
      </c>
      <c r="C67" s="951"/>
      <c r="D67" s="951"/>
      <c r="E67" s="951"/>
      <c r="F67" s="950" t="s">
        <v>2</v>
      </c>
      <c r="G67" s="950" t="s">
        <v>730</v>
      </c>
      <c r="H67" s="951"/>
      <c r="I67" s="952">
        <v>0.5</v>
      </c>
      <c r="J67" s="952">
        <v>0</v>
      </c>
      <c r="K67" s="952">
        <v>0.5</v>
      </c>
      <c r="L67" s="609" t="str">
        <f t="shared" ref="L67:L130" si="8">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si="5"/>
        <v>1-Mémo</v>
      </c>
      <c r="R67" s="609" t="str">
        <f t="shared" si="6"/>
        <v>50</v>
      </c>
      <c r="S67" s="610">
        <f t="shared" si="7"/>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735</v>
      </c>
      <c r="B68" s="950" t="s">
        <v>2064</v>
      </c>
      <c r="C68" s="951"/>
      <c r="D68" s="951"/>
      <c r="E68" s="951"/>
      <c r="F68" s="950" t="s">
        <v>2</v>
      </c>
      <c r="G68" s="950" t="s">
        <v>730</v>
      </c>
      <c r="H68" s="951"/>
      <c r="I68" s="952">
        <v>0.5</v>
      </c>
      <c r="J68" s="952">
        <v>0</v>
      </c>
      <c r="K68" s="952">
        <v>0.5</v>
      </c>
      <c r="L68" s="609" t="str">
        <f t="shared" si="8"/>
        <v>521</v>
      </c>
      <c r="M68" s="610" t="str">
        <f t="shared" si="0"/>
        <v>DIR. SERVICE NEUFS</v>
      </c>
      <c r="N68" s="611">
        <f>+IF(OR($Q68=Parametres!$G$2,$Q68=Parametres!$G$3),I68,C68)</f>
        <v>0.5</v>
      </c>
      <c r="O68" s="611">
        <f>+IF(OR($Q68=Parametres!$G$2,$Q68=Parametres!$G$3),J68,D68)</f>
        <v>0</v>
      </c>
      <c r="P68" s="611">
        <f>+IF(OR($Q68=Parametres!$G$2,$Q68=Parametres!$G$3),K68,E68)</f>
        <v>0.5</v>
      </c>
      <c r="Q68" s="610" t="str">
        <f t="shared" si="5"/>
        <v>1-Mémo</v>
      </c>
      <c r="R68" s="609" t="str">
        <f t="shared" si="6"/>
        <v>50</v>
      </c>
      <c r="S68" s="610">
        <f t="shared" si="7"/>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736</v>
      </c>
      <c r="B69" s="950" t="s">
        <v>2073</v>
      </c>
      <c r="C69" s="951"/>
      <c r="D69" s="951"/>
      <c r="E69" s="951"/>
      <c r="F69" s="950" t="s">
        <v>2</v>
      </c>
      <c r="G69" s="950" t="s">
        <v>730</v>
      </c>
      <c r="H69" s="951"/>
      <c r="I69" s="952">
        <v>0.5</v>
      </c>
      <c r="J69" s="952">
        <v>0</v>
      </c>
      <c r="K69" s="952">
        <v>0.5</v>
      </c>
      <c r="L69" s="609" t="str">
        <f t="shared" si="8"/>
        <v>522</v>
      </c>
      <c r="M69" s="610" t="str">
        <f t="shared" si="0"/>
        <v>DIR. SERVICE USAGES</v>
      </c>
      <c r="N69" s="611">
        <f>+IF(OR($Q69=Parametres!$G$2,$Q69=Parametres!$G$3),I69,C69)</f>
        <v>0.5</v>
      </c>
      <c r="O69" s="611">
        <f>+IF(OR($Q69=Parametres!$G$2,$Q69=Parametres!$G$3),J69,D69)</f>
        <v>0</v>
      </c>
      <c r="P69" s="611">
        <f>+IF(OR($Q69=Parametres!$G$2,$Q69=Parametres!$G$3),K69,E69)</f>
        <v>0.5</v>
      </c>
      <c r="Q69" s="610" t="str">
        <f t="shared" si="5"/>
        <v>1-Mémo</v>
      </c>
      <c r="R69" s="609" t="str">
        <f t="shared" si="6"/>
        <v>50</v>
      </c>
      <c r="S69" s="610">
        <f t="shared" si="7"/>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737</v>
      </c>
      <c r="B70" s="950" t="s">
        <v>2076</v>
      </c>
      <c r="C70" s="951"/>
      <c r="D70" s="951"/>
      <c r="E70" s="951"/>
      <c r="F70" s="950" t="s">
        <v>2</v>
      </c>
      <c r="G70" s="950" t="s">
        <v>730</v>
      </c>
      <c r="H70" s="951"/>
      <c r="I70" s="952">
        <v>1</v>
      </c>
      <c r="J70" s="952">
        <v>0</v>
      </c>
      <c r="K70" s="952">
        <v>1</v>
      </c>
      <c r="L70" s="609" t="str">
        <f t="shared" si="8"/>
        <v>524</v>
      </c>
      <c r="M70" s="610" t="str">
        <f t="shared" si="0"/>
        <v>DIR. SERVICE SERVICE</v>
      </c>
      <c r="N70" s="611">
        <f>+IF(OR($Q70=Parametres!$G$2,$Q70=Parametres!$G$3),I70,C70)</f>
        <v>1</v>
      </c>
      <c r="O70" s="611">
        <f>+IF(OR($Q70=Parametres!$G$2,$Q70=Parametres!$G$3),J70,D70)</f>
        <v>0</v>
      </c>
      <c r="P70" s="611">
        <f>+IF(OR($Q70=Parametres!$G$2,$Q70=Parametres!$G$3),K70,E70)</f>
        <v>1</v>
      </c>
      <c r="Q70" s="610" t="str">
        <f t="shared" si="5"/>
        <v>1-Mémo</v>
      </c>
      <c r="R70" s="609" t="str">
        <f t="shared" si="6"/>
        <v>50</v>
      </c>
      <c r="S70" s="610">
        <f t="shared" si="7"/>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738</v>
      </c>
      <c r="B71" s="950" t="s">
        <v>2078</v>
      </c>
      <c r="C71" s="951"/>
      <c r="D71" s="951"/>
      <c r="E71" s="951"/>
      <c r="F71" s="950" t="s">
        <v>2</v>
      </c>
      <c r="G71" s="950" t="s">
        <v>730</v>
      </c>
      <c r="H71" s="951"/>
      <c r="I71" s="952">
        <v>1</v>
      </c>
      <c r="J71" s="952">
        <v>0</v>
      </c>
      <c r="K71" s="952">
        <v>1</v>
      </c>
      <c r="L71" s="609" t="str">
        <f t="shared" si="8"/>
        <v>527</v>
      </c>
      <c r="M71" s="610" t="str">
        <f t="shared" si="0"/>
        <v>DIR. SERVICE PIECES</v>
      </c>
      <c r="N71" s="611">
        <f>+IF(OR($Q71=Parametres!$G$2,$Q71=Parametres!$G$3),I71,C71)</f>
        <v>1</v>
      </c>
      <c r="O71" s="615">
        <f>+IF(OR($Q71=Parametres!$G$2,$Q71=Parametres!$G$3),J71,D71)</f>
        <v>0</v>
      </c>
      <c r="P71" s="611">
        <f>+IF(OR($Q71=Parametres!$G$2,$Q71=Parametres!$G$3),K71,E71)</f>
        <v>1</v>
      </c>
      <c r="Q71" s="610" t="str">
        <f t="shared" si="5"/>
        <v>1-Mémo</v>
      </c>
      <c r="R71" s="609" t="str">
        <f t="shared" si="6"/>
        <v>50</v>
      </c>
      <c r="S71" s="610">
        <f t="shared" si="7"/>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739</v>
      </c>
      <c r="B72" s="950" t="s">
        <v>2102</v>
      </c>
      <c r="C72" s="951"/>
      <c r="D72" s="951"/>
      <c r="E72" s="951"/>
      <c r="F72" s="950" t="s">
        <v>2</v>
      </c>
      <c r="G72" s="950" t="s">
        <v>3274</v>
      </c>
      <c r="H72" s="951"/>
      <c r="I72" s="952">
        <v>6</v>
      </c>
      <c r="J72" s="952">
        <v>0</v>
      </c>
      <c r="K72" s="952">
        <v>6</v>
      </c>
      <c r="L72" s="609" t="str">
        <f t="shared" si="8"/>
        <v>541</v>
      </c>
      <c r="M72" s="610" t="str">
        <f t="shared" si="0"/>
        <v>VW REP. DES VENTES - NEUF</v>
      </c>
      <c r="N72" s="611">
        <f>+IF(OR($Q72=Parametres!$G$2,$Q72=Parametres!$G$3),I72,C72)</f>
        <v>6</v>
      </c>
      <c r="O72" s="611">
        <f>+IF(OR($Q72=Parametres!$G$2,$Q72=Parametres!$G$3),J72,D72)</f>
        <v>0</v>
      </c>
      <c r="P72" s="611">
        <f>+IF(OR($Q72=Parametres!$G$2,$Q72=Parametres!$G$3),K72,E72)</f>
        <v>6</v>
      </c>
      <c r="Q72" s="610" t="str">
        <f t="shared" si="5"/>
        <v>1-Mémo</v>
      </c>
      <c r="R72" s="609" t="str">
        <f t="shared" si="6"/>
        <v>54</v>
      </c>
      <c r="S72" s="610">
        <f t="shared" si="7"/>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740</v>
      </c>
      <c r="B73" s="950" t="s">
        <v>2108</v>
      </c>
      <c r="C73" s="951"/>
      <c r="D73" s="951"/>
      <c r="E73" s="951"/>
      <c r="F73" s="950" t="s">
        <v>2</v>
      </c>
      <c r="G73" s="950" t="s">
        <v>730</v>
      </c>
      <c r="H73" s="951"/>
      <c r="I73" s="952">
        <v>3</v>
      </c>
      <c r="J73" s="952">
        <v>0</v>
      </c>
      <c r="K73" s="952">
        <v>3</v>
      </c>
      <c r="L73" s="609" t="str">
        <f t="shared" si="8"/>
        <v>542</v>
      </c>
      <c r="M73" s="610" t="str">
        <f t="shared" si="0"/>
        <v>VW REP. DES VENTES - OCC.</v>
      </c>
      <c r="N73" s="611">
        <f>+IF(OR($Q73=Parametres!$G$2,$Q73=Parametres!$G$3),I73,C73)</f>
        <v>3</v>
      </c>
      <c r="O73" s="611">
        <f>+IF(OR($Q73=Parametres!$G$2,$Q73=Parametres!$G$3),J73,D73)</f>
        <v>0</v>
      </c>
      <c r="P73" s="611">
        <f>+IF(OR($Q73=Parametres!$G$2,$Q73=Parametres!$G$3),K73,E73)</f>
        <v>3</v>
      </c>
      <c r="Q73" s="610" t="str">
        <f t="shared" si="5"/>
        <v>1-Mémo</v>
      </c>
      <c r="R73" s="609" t="str">
        <f t="shared" si="6"/>
        <v>50</v>
      </c>
      <c r="S73" s="610">
        <f t="shared" si="7"/>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741</v>
      </c>
      <c r="B74" s="950" t="s">
        <v>2123</v>
      </c>
      <c r="C74" s="951"/>
      <c r="D74" s="951"/>
      <c r="E74" s="951"/>
      <c r="F74" s="950" t="s">
        <v>2</v>
      </c>
      <c r="G74" s="950" t="s">
        <v>730</v>
      </c>
      <c r="H74" s="951"/>
      <c r="I74" s="952">
        <v>1.5</v>
      </c>
      <c r="J74" s="952">
        <v>0</v>
      </c>
      <c r="K74" s="952">
        <v>1.5</v>
      </c>
      <c r="L74" s="609" t="str">
        <f t="shared" si="8"/>
        <v>551</v>
      </c>
      <c r="M74" s="610" t="str">
        <f t="shared" si="0"/>
        <v>DIR. COMMERCIAL NEUFS</v>
      </c>
      <c r="N74" s="611">
        <f>+IF(OR($Q74=Parametres!$G$2,$Q74=Parametres!$G$3),I74,C74)</f>
        <v>1.5</v>
      </c>
      <c r="O74" s="611">
        <f>+IF(OR($Q74=Parametres!$G$2,$Q74=Parametres!$G$3),J74,D74)</f>
        <v>0</v>
      </c>
      <c r="P74" s="611">
        <f>+IF(OR($Q74=Parametres!$G$2,$Q74=Parametres!$G$3),K74,E74)</f>
        <v>1.5</v>
      </c>
      <c r="Q74" s="610" t="str">
        <f t="shared" si="5"/>
        <v>1-Mémo</v>
      </c>
      <c r="R74" s="609" t="str">
        <f t="shared" si="6"/>
        <v>50</v>
      </c>
      <c r="S74" s="610">
        <f t="shared" si="7"/>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742</v>
      </c>
      <c r="B75" s="950" t="s">
        <v>2126</v>
      </c>
      <c r="C75" s="951"/>
      <c r="D75" s="951"/>
      <c r="E75" s="951"/>
      <c r="F75" s="950" t="s">
        <v>2</v>
      </c>
      <c r="G75" s="950" t="s">
        <v>730</v>
      </c>
      <c r="H75" s="951"/>
      <c r="I75" s="952">
        <v>1.5</v>
      </c>
      <c r="J75" s="952">
        <v>0</v>
      </c>
      <c r="K75" s="952">
        <v>1.5</v>
      </c>
      <c r="L75" s="609" t="str">
        <f t="shared" si="8"/>
        <v>552</v>
      </c>
      <c r="M75" s="610" t="str">
        <f t="shared" si="0"/>
        <v>DIR. COMMERCIAL USAGES</v>
      </c>
      <c r="N75" s="611">
        <f>+IF(OR($Q75=Parametres!$G$2,$Q75=Parametres!$G$3),I75,C75)</f>
        <v>1.5</v>
      </c>
      <c r="O75" s="611">
        <f>+IF(OR($Q75=Parametres!$G$2,$Q75=Parametres!$G$3),J75,D75)</f>
        <v>0</v>
      </c>
      <c r="P75" s="611">
        <f>+IF(OR($Q75=Parametres!$G$2,$Q75=Parametres!$G$3),K75,E75)</f>
        <v>1.5</v>
      </c>
      <c r="Q75" s="610" t="str">
        <f t="shared" si="5"/>
        <v>1-Mémo</v>
      </c>
      <c r="R75" s="609" t="str">
        <f t="shared" si="6"/>
        <v>50</v>
      </c>
      <c r="S75" s="610">
        <f t="shared" si="7"/>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743</v>
      </c>
      <c r="B76" s="950" t="s">
        <v>3299</v>
      </c>
      <c r="C76" s="951"/>
      <c r="D76" s="951"/>
      <c r="E76" s="951"/>
      <c r="F76" s="950" t="s">
        <v>2</v>
      </c>
      <c r="G76" s="950" t="s">
        <v>730</v>
      </c>
      <c r="H76" s="951"/>
      <c r="I76" s="952">
        <v>1</v>
      </c>
      <c r="J76" s="952">
        <v>0</v>
      </c>
      <c r="K76" s="952">
        <v>1</v>
      </c>
      <c r="L76" s="609" t="str">
        <f t="shared" si="8"/>
        <v>564</v>
      </c>
      <c r="M76" s="610" t="str">
        <f t="shared" si="0"/>
        <v>CONTREMAITRE SERVICE</v>
      </c>
      <c r="N76" s="611">
        <f>+IF(OR($Q76=Parametres!$G$2,$Q76=Parametres!$G$3),I76,C76)</f>
        <v>1</v>
      </c>
      <c r="O76" s="611">
        <f>+IF(OR($Q76=Parametres!$G$2,$Q76=Parametres!$G$3),J76,D76)</f>
        <v>0</v>
      </c>
      <c r="P76" s="611">
        <f>+IF(OR($Q76=Parametres!$G$2,$Q76=Parametres!$G$3),K76,E76)</f>
        <v>1</v>
      </c>
      <c r="Q76" s="610" t="str">
        <f t="shared" si="5"/>
        <v>1-Mémo</v>
      </c>
      <c r="R76" s="609" t="str">
        <f t="shared" si="6"/>
        <v>50</v>
      </c>
      <c r="S76" s="610">
        <f t="shared" si="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744</v>
      </c>
      <c r="B77" s="950" t="s">
        <v>2221</v>
      </c>
      <c r="C77" s="951"/>
      <c r="D77" s="951"/>
      <c r="E77" s="951"/>
      <c r="F77" s="950" t="s">
        <v>2</v>
      </c>
      <c r="G77" s="950" t="s">
        <v>3275</v>
      </c>
      <c r="H77" s="951"/>
      <c r="I77" s="952">
        <v>5</v>
      </c>
      <c r="J77" s="952">
        <v>0</v>
      </c>
      <c r="K77" s="952">
        <v>5</v>
      </c>
      <c r="L77" s="609" t="str">
        <f t="shared" si="8"/>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si="5"/>
        <v>1-Mémo</v>
      </c>
      <c r="R77" s="609" t="str">
        <f t="shared" si="6"/>
        <v>61</v>
      </c>
      <c r="S77" s="610">
        <f t="shared" si="7"/>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745</v>
      </c>
      <c r="B78" s="950" t="s">
        <v>1153</v>
      </c>
      <c r="C78" s="951"/>
      <c r="D78" s="951"/>
      <c r="E78" s="951"/>
      <c r="F78" s="950" t="s">
        <v>2</v>
      </c>
      <c r="G78" s="950" t="s">
        <v>3275</v>
      </c>
      <c r="H78" s="951"/>
      <c r="I78" s="952">
        <v>1</v>
      </c>
      <c r="J78" s="952">
        <v>0</v>
      </c>
      <c r="K78" s="952">
        <v>1</v>
      </c>
      <c r="L78" s="609" t="str">
        <f t="shared" si="8"/>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si="5"/>
        <v>1-Mémo</v>
      </c>
      <c r="R78" s="609" t="str">
        <f t="shared" si="6"/>
        <v>61</v>
      </c>
      <c r="S78" s="610">
        <f t="shared" si="7"/>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746</v>
      </c>
      <c r="B79" s="950" t="s">
        <v>2282</v>
      </c>
      <c r="C79" s="951"/>
      <c r="D79" s="951"/>
      <c r="E79" s="951"/>
      <c r="F79" s="950" t="s">
        <v>2</v>
      </c>
      <c r="G79" s="950" t="s">
        <v>730</v>
      </c>
      <c r="H79" s="951"/>
      <c r="I79" s="952">
        <v>1</v>
      </c>
      <c r="J79" s="952">
        <v>0</v>
      </c>
      <c r="K79" s="952">
        <v>1</v>
      </c>
      <c r="L79" s="609" t="str">
        <f t="shared" si="8"/>
        <v>621</v>
      </c>
      <c r="M79" s="610" t="str">
        <f t="shared" si="0"/>
        <v>LAVEURS NEUFS</v>
      </c>
      <c r="N79" s="611">
        <f>+IF(OR($Q79=Parametres!$G$2,$Q79=Parametres!$G$3),I79,C79)</f>
        <v>1</v>
      </c>
      <c r="O79" s="611">
        <f>+IF(OR($Q79=Parametres!$G$2,$Q79=Parametres!$G$3),J79,D79)</f>
        <v>0</v>
      </c>
      <c r="P79" s="611">
        <f>+IF(OR($Q79=Parametres!$G$2,$Q79=Parametres!$G$3),K79,E79)</f>
        <v>1</v>
      </c>
      <c r="Q79" s="610" t="str">
        <f t="shared" si="5"/>
        <v>1-Mémo</v>
      </c>
      <c r="R79" s="609" t="str">
        <f t="shared" si="6"/>
        <v>50</v>
      </c>
      <c r="S79" s="610">
        <f t="shared" si="7"/>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747</v>
      </c>
      <c r="B80" s="950" t="s">
        <v>2291</v>
      </c>
      <c r="C80" s="951"/>
      <c r="D80" s="951"/>
      <c r="E80" s="951"/>
      <c r="F80" s="950" t="s">
        <v>2</v>
      </c>
      <c r="G80" s="950" t="s">
        <v>730</v>
      </c>
      <c r="H80" s="951"/>
      <c r="I80" s="952">
        <v>1</v>
      </c>
      <c r="J80" s="952">
        <v>0</v>
      </c>
      <c r="K80" s="952">
        <v>1</v>
      </c>
      <c r="L80" s="609" t="str">
        <f t="shared" si="8"/>
        <v>622</v>
      </c>
      <c r="M80" s="610" t="str">
        <f t="shared" si="0"/>
        <v>LAVEURS USAGES</v>
      </c>
      <c r="N80" s="611">
        <f>+IF(OR($Q80=Parametres!$G$2,$Q80=Parametres!$G$3),I80,C80)</f>
        <v>1</v>
      </c>
      <c r="O80" s="611">
        <f>+IF(OR($Q80=Parametres!$G$2,$Q80=Parametres!$G$3),J80,D80)</f>
        <v>0</v>
      </c>
      <c r="P80" s="611">
        <f>+IF(OR($Q80=Parametres!$G$2,$Q80=Parametres!$G$3),K80,E80)</f>
        <v>1</v>
      </c>
      <c r="Q80" s="610" t="str">
        <f t="shared" si="5"/>
        <v>1-Mémo</v>
      </c>
      <c r="R80" s="609" t="str">
        <f t="shared" si="6"/>
        <v>50</v>
      </c>
      <c r="S80" s="610">
        <f t="shared" si="7"/>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748</v>
      </c>
      <c r="B81" s="950" t="s">
        <v>2316</v>
      </c>
      <c r="C81" s="951"/>
      <c r="D81" s="951"/>
      <c r="E81" s="951"/>
      <c r="F81" s="950" t="s">
        <v>2</v>
      </c>
      <c r="G81" s="950" t="s">
        <v>730</v>
      </c>
      <c r="H81" s="951"/>
      <c r="I81" s="952">
        <v>7</v>
      </c>
      <c r="J81" s="952">
        <v>0</v>
      </c>
      <c r="K81" s="952">
        <v>7</v>
      </c>
      <c r="L81" s="609" t="str">
        <f t="shared" si="8"/>
        <v>624</v>
      </c>
      <c r="M81" s="610" t="str">
        <f t="shared" si="0"/>
        <v>LAVEURS SERVICE</v>
      </c>
      <c r="N81" s="611">
        <f>+IF(OR($Q81=Parametres!$G$2,$Q81=Parametres!$G$3),I81,C81)</f>
        <v>7</v>
      </c>
      <c r="O81" s="611">
        <f>+IF(OR($Q81=Parametres!$G$2,$Q81=Parametres!$G$3),J81,D81)</f>
        <v>0</v>
      </c>
      <c r="P81" s="611">
        <f>+IF(OR($Q81=Parametres!$G$2,$Q81=Parametres!$G$3),K81,E81)</f>
        <v>7</v>
      </c>
      <c r="Q81" s="610" t="str">
        <f t="shared" si="5"/>
        <v>1-Mémo</v>
      </c>
      <c r="R81" s="609" t="str">
        <f t="shared" si="6"/>
        <v>50</v>
      </c>
      <c r="S81" s="610">
        <f t="shared" si="7"/>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749</v>
      </c>
      <c r="B82" s="950" t="s">
        <v>2414</v>
      </c>
      <c r="C82" s="951"/>
      <c r="D82" s="951"/>
      <c r="E82" s="951"/>
      <c r="F82" s="950" t="s">
        <v>2</v>
      </c>
      <c r="G82" s="950" t="s">
        <v>3276</v>
      </c>
      <c r="H82" s="951"/>
      <c r="I82" s="952">
        <v>12</v>
      </c>
      <c r="J82" s="952">
        <v>0</v>
      </c>
      <c r="K82" s="952">
        <v>12</v>
      </c>
      <c r="L82" s="609" t="str">
        <f t="shared" si="8"/>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si="5"/>
        <v>1-Mémo</v>
      </c>
      <c r="R82" s="609" t="str">
        <f t="shared" si="6"/>
        <v>64</v>
      </c>
      <c r="S82" s="610">
        <f t="shared" si="7"/>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750</v>
      </c>
      <c r="B83" s="950" t="s">
        <v>2483</v>
      </c>
      <c r="C83" s="951"/>
      <c r="D83" s="951"/>
      <c r="E83" s="951"/>
      <c r="F83" s="950" t="s">
        <v>2</v>
      </c>
      <c r="G83" s="950" t="s">
        <v>730</v>
      </c>
      <c r="H83" s="951"/>
      <c r="I83" s="952">
        <v>0.2</v>
      </c>
      <c r="J83" s="952">
        <v>0</v>
      </c>
      <c r="K83" s="952">
        <v>0.2</v>
      </c>
      <c r="L83" s="609" t="str">
        <f t="shared" si="8"/>
        <v>651</v>
      </c>
      <c r="M83" s="610" t="str">
        <f t="shared" si="0"/>
        <v>DIR. ADMINIS. NEUFS</v>
      </c>
      <c r="N83" s="611">
        <f>+IF(OR($Q83=Parametres!$G$2,$Q83=Parametres!$G$3),I83,C83)</f>
        <v>0.2</v>
      </c>
      <c r="O83" s="611">
        <f>+IF(OR($Q83=Parametres!$G$2,$Q83=Parametres!$G$3),J83,D83)</f>
        <v>0</v>
      </c>
      <c r="P83" s="611">
        <f>+IF(OR($Q83=Parametres!$G$2,$Q83=Parametres!$G$3),K83,E83)</f>
        <v>0.2</v>
      </c>
      <c r="Q83" s="610" t="str">
        <f t="shared" si="5"/>
        <v>1-Mémo</v>
      </c>
      <c r="R83" s="609" t="str">
        <f t="shared" si="6"/>
        <v>50</v>
      </c>
      <c r="S83" s="610">
        <f t="shared" si="7"/>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751</v>
      </c>
      <c r="B84" s="950" t="s">
        <v>2489</v>
      </c>
      <c r="C84" s="951"/>
      <c r="D84" s="951"/>
      <c r="E84" s="951"/>
      <c r="F84" s="950" t="s">
        <v>2</v>
      </c>
      <c r="G84" s="950" t="s">
        <v>730</v>
      </c>
      <c r="H84" s="951"/>
      <c r="I84" s="952">
        <v>0.2</v>
      </c>
      <c r="J84" s="952">
        <v>0</v>
      </c>
      <c r="K84" s="952">
        <v>0.2</v>
      </c>
      <c r="L84" s="609" t="str">
        <f t="shared" si="8"/>
        <v>652</v>
      </c>
      <c r="M84" s="610" t="str">
        <f t="shared" si="0"/>
        <v>DIR. ADMINIS. USAGES</v>
      </c>
      <c r="N84" s="611">
        <f>+IF(OR($Q84=Parametres!$G$2,$Q84=Parametres!$G$3),I84,C84)</f>
        <v>0.2</v>
      </c>
      <c r="O84" s="615">
        <f>+IF(OR($Q84=Parametres!$G$2,$Q84=Parametres!$G$3),J84,D84)</f>
        <v>0</v>
      </c>
      <c r="P84" s="611">
        <f>+IF(OR($Q84=Parametres!$G$2,$Q84=Parametres!$G$3),K84,E84)</f>
        <v>0.2</v>
      </c>
      <c r="Q84" s="610" t="str">
        <f t="shared" si="5"/>
        <v>1-Mémo</v>
      </c>
      <c r="R84" s="609" t="str">
        <f t="shared" si="6"/>
        <v>50</v>
      </c>
      <c r="S84" s="610">
        <f t="shared" si="7"/>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752</v>
      </c>
      <c r="B85" s="950" t="s">
        <v>2519</v>
      </c>
      <c r="C85" s="951"/>
      <c r="D85" s="951"/>
      <c r="E85" s="951"/>
      <c r="F85" s="950" t="s">
        <v>2</v>
      </c>
      <c r="G85" s="950" t="s">
        <v>730</v>
      </c>
      <c r="H85" s="951"/>
      <c r="I85" s="952">
        <v>0.2</v>
      </c>
      <c r="J85" s="952">
        <v>0</v>
      </c>
      <c r="K85" s="952">
        <v>0.2</v>
      </c>
      <c r="L85" s="609" t="str">
        <f t="shared" si="8"/>
        <v>654</v>
      </c>
      <c r="M85" s="610" t="str">
        <f t="shared" si="0"/>
        <v>DIR. ADMINIS. SERVICE</v>
      </c>
      <c r="N85" s="611">
        <f>+IF(OR($Q85=Parametres!$G$2,$Q85=Parametres!$G$3),I85,C85)</f>
        <v>0.2</v>
      </c>
      <c r="O85" s="615">
        <f>+IF(OR($Q85=Parametres!$G$2,$Q85=Parametres!$G$3),J85,D85)</f>
        <v>0</v>
      </c>
      <c r="P85" s="611">
        <f>+IF(OR($Q85=Parametres!$G$2,$Q85=Parametres!$G$3),K85,E85)</f>
        <v>0.2</v>
      </c>
      <c r="Q85" s="610" t="str">
        <f t="shared" si="5"/>
        <v>1-Mémo</v>
      </c>
      <c r="R85" s="609" t="str">
        <f t="shared" si="6"/>
        <v>50</v>
      </c>
      <c r="S85" s="610">
        <f t="shared" si="7"/>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753</v>
      </c>
      <c r="B86" s="950" t="s">
        <v>1212</v>
      </c>
      <c r="C86" s="951"/>
      <c r="D86" s="951"/>
      <c r="E86" s="951"/>
      <c r="F86" s="950" t="s">
        <v>2</v>
      </c>
      <c r="G86" s="950" t="s">
        <v>730</v>
      </c>
      <c r="H86" s="951"/>
      <c r="I86" s="952">
        <v>0.2</v>
      </c>
      <c r="J86" s="952">
        <v>0</v>
      </c>
      <c r="K86" s="952">
        <v>0.2</v>
      </c>
      <c r="L86" s="609" t="str">
        <f t="shared" si="8"/>
        <v>655</v>
      </c>
      <c r="M86" s="610" t="str">
        <f t="shared" si="0"/>
        <v>DIR. ADMINIS. CARROSS.</v>
      </c>
      <c r="N86" s="611">
        <f>+IF(OR($Q86=Parametres!$G$2,$Q86=Parametres!$G$3),I86,C86)</f>
        <v>0.2</v>
      </c>
      <c r="O86" s="611">
        <f>+IF(OR($Q86=Parametres!$G$2,$Q86=Parametres!$G$3),J86,D86)</f>
        <v>0</v>
      </c>
      <c r="P86" s="611">
        <f>+IF(OR($Q86=Parametres!$G$2,$Q86=Parametres!$G$3),K86,E86)</f>
        <v>0.2</v>
      </c>
      <c r="Q86" s="610" t="str">
        <f t="shared" si="5"/>
        <v>1-Mémo</v>
      </c>
      <c r="R86" s="609" t="str">
        <f t="shared" si="6"/>
        <v>50</v>
      </c>
      <c r="S86" s="610">
        <f t="shared" si="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754</v>
      </c>
      <c r="B87" s="950" t="s">
        <v>2562</v>
      </c>
      <c r="C87" s="951"/>
      <c r="D87" s="951"/>
      <c r="E87" s="951"/>
      <c r="F87" s="950" t="s">
        <v>2</v>
      </c>
      <c r="G87" s="950" t="s">
        <v>730</v>
      </c>
      <c r="H87" s="951"/>
      <c r="I87" s="952">
        <v>0.2</v>
      </c>
      <c r="J87" s="952">
        <v>0</v>
      </c>
      <c r="K87" s="952">
        <v>0.2</v>
      </c>
      <c r="L87" s="609" t="str">
        <f t="shared" si="8"/>
        <v>657</v>
      </c>
      <c r="M87" s="610" t="str">
        <f t="shared" si="0"/>
        <v>DIR. ADMINIS. PIECES</v>
      </c>
      <c r="N87" s="611">
        <f>+IF(OR($Q87=Parametres!$G$2,$Q87=Parametres!$G$3),I87,C87)</f>
        <v>0.2</v>
      </c>
      <c r="O87" s="611">
        <f>+IF(OR($Q87=Parametres!$G$2,$Q87=Parametres!$G$3),J87,D87)</f>
        <v>0</v>
      </c>
      <c r="P87" s="611">
        <f>+IF(OR($Q87=Parametres!$G$2,$Q87=Parametres!$G$3),K87,E87)</f>
        <v>0.2</v>
      </c>
      <c r="Q87" s="610" t="str">
        <f t="shared" si="5"/>
        <v>1-Mémo</v>
      </c>
      <c r="R87" s="609" t="str">
        <f t="shared" si="6"/>
        <v>50</v>
      </c>
      <c r="S87" s="610">
        <f t="shared" si="7"/>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755</v>
      </c>
      <c r="B88" s="950" t="s">
        <v>2580</v>
      </c>
      <c r="C88" s="951"/>
      <c r="D88" s="951"/>
      <c r="E88" s="951"/>
      <c r="F88" s="950" t="s">
        <v>2</v>
      </c>
      <c r="G88" s="950" t="s">
        <v>730</v>
      </c>
      <c r="H88" s="951"/>
      <c r="I88" s="952">
        <v>1</v>
      </c>
      <c r="J88" s="952">
        <v>0</v>
      </c>
      <c r="K88" s="952">
        <v>1</v>
      </c>
      <c r="L88" s="609" t="str">
        <f t="shared" si="8"/>
        <v>661</v>
      </c>
      <c r="M88" s="610" t="str">
        <f t="shared" si="0"/>
        <v>PERSONELS CLER. NEUFS</v>
      </c>
      <c r="N88" s="611">
        <f>+IF(OR($Q88=Parametres!$G$2,$Q88=Parametres!$G$3),I88,C88)</f>
        <v>1</v>
      </c>
      <c r="O88" s="615">
        <f>+IF(OR($Q88=Parametres!$G$2,$Q88=Parametres!$G$3),J88,D88)</f>
        <v>0</v>
      </c>
      <c r="P88" s="611">
        <f>+IF(OR($Q88=Parametres!$G$2,$Q88=Parametres!$G$3),K88,E88)</f>
        <v>1</v>
      </c>
      <c r="Q88" s="610" t="str">
        <f t="shared" si="5"/>
        <v>1-Mémo</v>
      </c>
      <c r="R88" s="609" t="str">
        <f t="shared" si="6"/>
        <v>50</v>
      </c>
      <c r="S88" s="610">
        <f t="shared" si="7"/>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756</v>
      </c>
      <c r="B89" s="950" t="s">
        <v>2583</v>
      </c>
      <c r="C89" s="951"/>
      <c r="D89" s="951"/>
      <c r="E89" s="951"/>
      <c r="F89" s="950" t="s">
        <v>2</v>
      </c>
      <c r="G89" s="950" t="s">
        <v>730</v>
      </c>
      <c r="H89" s="951"/>
      <c r="I89" s="952">
        <v>1</v>
      </c>
      <c r="J89" s="952">
        <v>0</v>
      </c>
      <c r="K89" s="952">
        <v>1</v>
      </c>
      <c r="L89" s="609" t="str">
        <f t="shared" si="8"/>
        <v>662</v>
      </c>
      <c r="M89" s="610" t="str">
        <f t="shared" si="0"/>
        <v>PERSONELS CLER. USAGES</v>
      </c>
      <c r="N89" s="611">
        <f>+IF(OR($Q89=Parametres!$G$2,$Q89=Parametres!$G$3),I89,C89)</f>
        <v>1</v>
      </c>
      <c r="O89" s="611">
        <f>+IF(OR($Q89=Parametres!$G$2,$Q89=Parametres!$G$3),J89,D89)</f>
        <v>0</v>
      </c>
      <c r="P89" s="611">
        <f>+IF(OR($Q89=Parametres!$G$2,$Q89=Parametres!$G$3),K89,E89)</f>
        <v>1</v>
      </c>
      <c r="Q89" s="610" t="str">
        <f t="shared" si="5"/>
        <v>1-Mémo</v>
      </c>
      <c r="R89" s="609" t="str">
        <f t="shared" si="6"/>
        <v>50</v>
      </c>
      <c r="S89" s="610">
        <f t="shared" si="7"/>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757</v>
      </c>
      <c r="B90" s="950" t="s">
        <v>2586</v>
      </c>
      <c r="C90" s="951"/>
      <c r="D90" s="951"/>
      <c r="E90" s="951"/>
      <c r="F90" s="950" t="s">
        <v>2</v>
      </c>
      <c r="G90" s="950" t="s">
        <v>730</v>
      </c>
      <c r="H90" s="951"/>
      <c r="I90" s="952">
        <v>1</v>
      </c>
      <c r="J90" s="952">
        <v>0</v>
      </c>
      <c r="K90" s="952">
        <v>1</v>
      </c>
      <c r="L90" s="609" t="str">
        <f t="shared" si="8"/>
        <v>664</v>
      </c>
      <c r="M90" s="610" t="str">
        <f t="shared" si="0"/>
        <v>PERSONELS CLER. SERVICE</v>
      </c>
      <c r="N90" s="611">
        <f>+IF(OR($Q90=Parametres!$G$2,$Q90=Parametres!$G$3),I90,C90)</f>
        <v>1</v>
      </c>
      <c r="O90" s="611">
        <f>+IF(OR($Q90=Parametres!$G$2,$Q90=Parametres!$G$3),J90,D90)</f>
        <v>0</v>
      </c>
      <c r="P90" s="611">
        <f>+IF(OR($Q90=Parametres!$G$2,$Q90=Parametres!$G$3),K90,E90)</f>
        <v>1</v>
      </c>
      <c r="Q90" s="610" t="str">
        <f t="shared" si="5"/>
        <v>1-Mémo</v>
      </c>
      <c r="R90" s="609" t="str">
        <f t="shared" si="6"/>
        <v>50</v>
      </c>
      <c r="S90" s="610">
        <f t="shared" si="7"/>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758</v>
      </c>
      <c r="B91" s="950" t="s">
        <v>2589</v>
      </c>
      <c r="C91" s="951"/>
      <c r="D91" s="951"/>
      <c r="E91" s="951"/>
      <c r="F91" s="950" t="s">
        <v>2</v>
      </c>
      <c r="G91" s="950" t="s">
        <v>730</v>
      </c>
      <c r="H91" s="951"/>
      <c r="I91" s="952">
        <v>1</v>
      </c>
      <c r="J91" s="952">
        <v>0</v>
      </c>
      <c r="K91" s="952">
        <v>1</v>
      </c>
      <c r="L91" s="609" t="str">
        <f t="shared" si="8"/>
        <v>667</v>
      </c>
      <c r="M91" s="610" t="str">
        <f t="shared" si="0"/>
        <v>PERSONELS CLER. PIECES</v>
      </c>
      <c r="N91" s="611">
        <f>+IF(OR($Q91=Parametres!$G$2,$Q91=Parametres!$G$3),I91,C91)</f>
        <v>1</v>
      </c>
      <c r="O91" s="611">
        <f>+IF(OR($Q91=Parametres!$G$2,$Q91=Parametres!$G$3),J91,D91)</f>
        <v>0</v>
      </c>
      <c r="P91" s="611">
        <f>+IF(OR($Q91=Parametres!$G$2,$Q91=Parametres!$G$3),K91,E91)</f>
        <v>1</v>
      </c>
      <c r="Q91" s="610" t="str">
        <f t="shared" si="5"/>
        <v>1-Mémo</v>
      </c>
      <c r="R91" s="609" t="str">
        <f t="shared" si="6"/>
        <v>50</v>
      </c>
      <c r="S91" s="610">
        <f t="shared" si="7"/>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759</v>
      </c>
      <c r="B92" s="950" t="s">
        <v>2667</v>
      </c>
      <c r="C92" s="951"/>
      <c r="D92" s="951"/>
      <c r="E92" s="951"/>
      <c r="F92" s="950" t="s">
        <v>2</v>
      </c>
      <c r="G92" s="950" t="s">
        <v>3277</v>
      </c>
      <c r="H92" s="951"/>
      <c r="I92" s="952">
        <v>3</v>
      </c>
      <c r="J92" s="952">
        <v>0</v>
      </c>
      <c r="K92" s="952">
        <v>3</v>
      </c>
      <c r="L92" s="609" t="str">
        <f t="shared" si="8"/>
        <v>677</v>
      </c>
      <c r="M92" s="610" t="str">
        <f t="shared" si="0"/>
        <v>VW PIECES</v>
      </c>
      <c r="N92" s="611">
        <f>+IF(OR($Q92=Parametres!$G$2,$Q92=Parametres!$G$3),I92,C92)</f>
        <v>3</v>
      </c>
      <c r="O92" s="611">
        <f>+IF(OR($Q92=Parametres!$G$2,$Q92=Parametres!$G$3),J92,D92)</f>
        <v>0</v>
      </c>
      <c r="P92" s="611">
        <f>+IF(OR($Q92=Parametres!$G$2,$Q92=Parametres!$G$3),K92,E92)</f>
        <v>3</v>
      </c>
      <c r="Q92" s="610" t="str">
        <f t="shared" si="5"/>
        <v>1-Mémo</v>
      </c>
      <c r="R92" s="609" t="str">
        <f t="shared" si="6"/>
        <v>67</v>
      </c>
      <c r="S92" s="610">
        <f t="shared" si="7"/>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760</v>
      </c>
      <c r="B93" s="950" t="s">
        <v>762</v>
      </c>
      <c r="C93" s="952">
        <v>966471.7</v>
      </c>
      <c r="D93" s="952">
        <v>35273.9</v>
      </c>
      <c r="E93" s="952">
        <v>1001745.6</v>
      </c>
      <c r="F93" s="950" t="s">
        <v>761</v>
      </c>
      <c r="G93" s="950" t="s">
        <v>762</v>
      </c>
      <c r="H93" s="951"/>
      <c r="I93" s="951"/>
      <c r="J93" s="951"/>
      <c r="K93" s="951"/>
      <c r="L93" s="609" t="str">
        <f t="shared" si="8"/>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si="5"/>
        <v>2-Actifs</v>
      </c>
      <c r="R93" s="609" t="str">
        <f t="shared" si="6"/>
        <v>1102</v>
      </c>
      <c r="S93" s="610">
        <f t="shared" si="7"/>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763</v>
      </c>
      <c r="B94" s="950" t="s">
        <v>3301</v>
      </c>
      <c r="C94" s="952">
        <v>0</v>
      </c>
      <c r="D94" s="952">
        <v>0.01</v>
      </c>
      <c r="E94" s="952">
        <v>0.01</v>
      </c>
      <c r="F94" s="950" t="s">
        <v>761</v>
      </c>
      <c r="G94" s="950" t="s">
        <v>762</v>
      </c>
      <c r="H94" s="951"/>
      <c r="I94" s="951"/>
      <c r="J94" s="951"/>
      <c r="K94" s="951"/>
      <c r="L94" s="609" t="str">
        <f t="shared" si="8"/>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si="5"/>
        <v>2-Actifs</v>
      </c>
      <c r="R94" s="609" t="str">
        <f t="shared" si="6"/>
        <v>1102</v>
      </c>
      <c r="S94" s="610">
        <f t="shared" si="7"/>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764</v>
      </c>
      <c r="B95" s="950" t="s">
        <v>3304</v>
      </c>
      <c r="C95" s="952">
        <v>850000</v>
      </c>
      <c r="D95" s="952">
        <v>0</v>
      </c>
      <c r="E95" s="952">
        <v>850000</v>
      </c>
      <c r="F95" s="950" t="s">
        <v>761</v>
      </c>
      <c r="G95" s="950" t="s">
        <v>762</v>
      </c>
      <c r="H95" s="951"/>
      <c r="I95" s="951"/>
      <c r="J95" s="951"/>
      <c r="K95" s="951"/>
      <c r="L95" s="609" t="str">
        <f t="shared" si="8"/>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si="5"/>
        <v>2-Actifs</v>
      </c>
      <c r="R95" s="609" t="str">
        <f t="shared" si="6"/>
        <v>1102</v>
      </c>
      <c r="S95" s="610">
        <f t="shared" si="7"/>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765</v>
      </c>
      <c r="B96" s="950" t="s">
        <v>1397</v>
      </c>
      <c r="C96" s="952">
        <v>220.85</v>
      </c>
      <c r="D96" s="952">
        <v>0</v>
      </c>
      <c r="E96" s="952">
        <v>220.85</v>
      </c>
      <c r="F96" s="950" t="s">
        <v>761</v>
      </c>
      <c r="G96" s="950" t="s">
        <v>762</v>
      </c>
      <c r="H96" s="951"/>
      <c r="I96" s="951"/>
      <c r="J96" s="951"/>
      <c r="K96" s="951"/>
      <c r="L96" s="609" t="str">
        <f t="shared" si="8"/>
        <v>1182</v>
      </c>
      <c r="M96" s="610" t="str">
        <f t="shared" si="0"/>
        <v>PETITE CAISSE</v>
      </c>
      <c r="N96" s="611">
        <f>+IF(OR($Q96=Parametres!$G$2,$Q96=Parametres!$G$3),I96,C96)</f>
        <v>220.85</v>
      </c>
      <c r="O96" s="611">
        <f>+IF(OR($Q96=Parametres!$G$2,$Q96=Parametres!$G$3),J96,D96)</f>
        <v>0</v>
      </c>
      <c r="P96" s="611">
        <f>+IF(OR($Q96=Parametres!$G$2,$Q96=Parametres!$G$3),K96,E96)</f>
        <v>220.85</v>
      </c>
      <c r="Q96" s="610" t="str">
        <f t="shared" si="5"/>
        <v>2-Actifs</v>
      </c>
      <c r="R96" s="609" t="str">
        <f t="shared" si="6"/>
        <v>1102</v>
      </c>
      <c r="S96" s="610">
        <f t="shared" si="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3610</v>
      </c>
      <c r="B97" s="950" t="s">
        <v>3306</v>
      </c>
      <c r="C97" s="952">
        <v>0</v>
      </c>
      <c r="D97" s="952">
        <v>69.33</v>
      </c>
      <c r="E97" s="952">
        <v>69.33</v>
      </c>
      <c r="F97" s="950" t="s">
        <v>761</v>
      </c>
      <c r="G97" s="950" t="s">
        <v>766</v>
      </c>
      <c r="H97" s="929"/>
      <c r="I97" s="929"/>
      <c r="J97" s="929"/>
      <c r="K97" s="929"/>
      <c r="L97" s="609" t="str">
        <f t="shared" si="8"/>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si="5"/>
        <v>2-Actifs</v>
      </c>
      <c r="R97" s="609" t="str">
        <f t="shared" si="6"/>
        <v>1382</v>
      </c>
      <c r="S97" s="610">
        <f t="shared" si="7"/>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767</v>
      </c>
      <c r="B98" s="950" t="s">
        <v>768</v>
      </c>
      <c r="C98" s="952">
        <v>924558.89</v>
      </c>
      <c r="D98" s="952">
        <v>-342698.95</v>
      </c>
      <c r="E98" s="952">
        <v>581859.93999999994</v>
      </c>
      <c r="F98" s="950" t="s">
        <v>761</v>
      </c>
      <c r="G98" s="950" t="s">
        <v>768</v>
      </c>
      <c r="H98" s="929"/>
      <c r="I98" s="929"/>
      <c r="J98" s="929"/>
      <c r="K98" s="929"/>
      <c r="L98" s="609" t="str">
        <f t="shared" si="8"/>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si="5"/>
        <v>2-Actifs</v>
      </c>
      <c r="R98" s="609" t="str">
        <f t="shared" si="6"/>
        <v>1202</v>
      </c>
      <c r="S98" s="610">
        <f t="shared" si="7"/>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769</v>
      </c>
      <c r="B99" s="950" t="s">
        <v>770</v>
      </c>
      <c r="C99" s="952">
        <v>-10369.950000000001</v>
      </c>
      <c r="D99" s="952">
        <v>18688.14</v>
      </c>
      <c r="E99" s="952">
        <v>8318.19</v>
      </c>
      <c r="F99" s="950" t="s">
        <v>761</v>
      </c>
      <c r="G99" s="950" t="s">
        <v>770</v>
      </c>
      <c r="H99" s="929"/>
      <c r="I99" s="929"/>
      <c r="J99" s="929"/>
      <c r="K99" s="929"/>
      <c r="L99" s="609" t="str">
        <f t="shared" si="8"/>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si="5"/>
        <v>2-Actifs</v>
      </c>
      <c r="R99" s="609" t="str">
        <f t="shared" si="6"/>
        <v>1302</v>
      </c>
      <c r="S99" s="610">
        <f t="shared" si="7"/>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771</v>
      </c>
      <c r="B100" s="950" t="s">
        <v>1404</v>
      </c>
      <c r="C100" s="952">
        <v>714333.52</v>
      </c>
      <c r="D100" s="952">
        <v>-562398.52</v>
      </c>
      <c r="E100" s="952">
        <v>151935</v>
      </c>
      <c r="F100" s="950" t="s">
        <v>761</v>
      </c>
      <c r="G100" s="950" t="s">
        <v>770</v>
      </c>
      <c r="H100" s="929"/>
      <c r="I100" s="929"/>
      <c r="J100" s="929"/>
      <c r="K100" s="929"/>
      <c r="L100" s="609" t="str">
        <f t="shared" si="8"/>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si="5"/>
        <v>2-Actifs</v>
      </c>
      <c r="R100" s="609" t="str">
        <f t="shared" si="6"/>
        <v>1302</v>
      </c>
      <c r="S100" s="610">
        <f t="shared" si="7"/>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772</v>
      </c>
      <c r="B101" s="950" t="s">
        <v>773</v>
      </c>
      <c r="C101" s="952">
        <v>167891.3</v>
      </c>
      <c r="D101" s="952">
        <v>-38032.120000000003</v>
      </c>
      <c r="E101" s="952">
        <v>129859.18</v>
      </c>
      <c r="F101" s="950" t="s">
        <v>761</v>
      </c>
      <c r="G101" s="950" t="s">
        <v>773</v>
      </c>
      <c r="H101" s="929"/>
      <c r="I101" s="929"/>
      <c r="J101" s="929"/>
      <c r="K101" s="929"/>
      <c r="L101" s="609" t="str">
        <f t="shared" si="8"/>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si="5"/>
        <v>2-Actifs</v>
      </c>
      <c r="R101" s="609" t="str">
        <f t="shared" si="6"/>
        <v>1304</v>
      </c>
      <c r="S101" s="610">
        <f t="shared" si="7"/>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774</v>
      </c>
      <c r="B102" s="950" t="s">
        <v>1409</v>
      </c>
      <c r="C102" s="952">
        <v>91192.84</v>
      </c>
      <c r="D102" s="952">
        <v>-20264.66</v>
      </c>
      <c r="E102" s="952">
        <v>70928.179999999993</v>
      </c>
      <c r="F102" s="950" t="s">
        <v>761</v>
      </c>
      <c r="G102" s="950" t="s">
        <v>773</v>
      </c>
      <c r="H102" s="929"/>
      <c r="I102" s="929"/>
      <c r="J102" s="929"/>
      <c r="K102" s="929"/>
      <c r="L102" s="609" t="str">
        <f t="shared" si="8"/>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si="5"/>
        <v>2-Actifs</v>
      </c>
      <c r="R102" s="609" t="str">
        <f t="shared" si="6"/>
        <v>1304</v>
      </c>
      <c r="S102" s="610">
        <f t="shared" si="7"/>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775</v>
      </c>
      <c r="B103" s="950" t="s">
        <v>3307</v>
      </c>
      <c r="C103" s="952">
        <v>3928.91</v>
      </c>
      <c r="D103" s="952">
        <v>5887.87</v>
      </c>
      <c r="E103" s="952">
        <v>9816.7800000000007</v>
      </c>
      <c r="F103" s="950" t="s">
        <v>761</v>
      </c>
      <c r="G103" s="950" t="s">
        <v>773</v>
      </c>
      <c r="H103" s="929"/>
      <c r="I103" s="930"/>
      <c r="J103" s="930"/>
      <c r="K103" s="930"/>
      <c r="L103" s="609" t="str">
        <f t="shared" si="8"/>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si="5"/>
        <v>2-Actifs</v>
      </c>
      <c r="R103" s="609" t="str">
        <f t="shared" si="6"/>
        <v>1304</v>
      </c>
      <c r="S103" s="610">
        <f t="shared" si="7"/>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776</v>
      </c>
      <c r="B104" s="950" t="s">
        <v>3308</v>
      </c>
      <c r="C104" s="952">
        <v>24300</v>
      </c>
      <c r="D104" s="952">
        <v>14700</v>
      </c>
      <c r="E104" s="952">
        <v>39000</v>
      </c>
      <c r="F104" s="950" t="s">
        <v>761</v>
      </c>
      <c r="G104" s="950" t="s">
        <v>770</v>
      </c>
      <c r="H104" s="929"/>
      <c r="I104" s="930"/>
      <c r="J104" s="930"/>
      <c r="K104" s="930"/>
      <c r="L104" s="609" t="str">
        <f t="shared" si="8"/>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si="5"/>
        <v>2-Actifs</v>
      </c>
      <c r="R104" s="609" t="str">
        <f t="shared" si="6"/>
        <v>1302</v>
      </c>
      <c r="S104" s="610">
        <f t="shared" si="7"/>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777</v>
      </c>
      <c r="B105" s="950" t="s">
        <v>1412</v>
      </c>
      <c r="C105" s="952">
        <v>88115</v>
      </c>
      <c r="D105" s="952">
        <v>-73870</v>
      </c>
      <c r="E105" s="952">
        <v>14245</v>
      </c>
      <c r="F105" s="950" t="s">
        <v>761</v>
      </c>
      <c r="G105" s="950" t="s">
        <v>778</v>
      </c>
      <c r="H105" s="929"/>
      <c r="I105" s="930"/>
      <c r="J105" s="930"/>
      <c r="K105" s="930"/>
      <c r="L105" s="609" t="str">
        <f t="shared" si="8"/>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si="5"/>
        <v>2-Actifs</v>
      </c>
      <c r="R105" s="609" t="str">
        <f t="shared" si="6"/>
        <v>1314</v>
      </c>
      <c r="S105" s="610">
        <f t="shared" si="7"/>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779</v>
      </c>
      <c r="B106" s="950" t="s">
        <v>780</v>
      </c>
      <c r="C106" s="952">
        <v>81514.460000000006</v>
      </c>
      <c r="D106" s="952">
        <v>-78097.36</v>
      </c>
      <c r="E106" s="952">
        <v>3417.1</v>
      </c>
      <c r="F106" s="950" t="s">
        <v>761</v>
      </c>
      <c r="G106" s="950" t="s">
        <v>780</v>
      </c>
      <c r="H106" s="929"/>
      <c r="I106" s="930"/>
      <c r="J106" s="930"/>
      <c r="K106" s="930"/>
      <c r="L106" s="609" t="str">
        <f t="shared" si="8"/>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si="5"/>
        <v>2-Actifs</v>
      </c>
      <c r="R106" s="609" t="str">
        <f t="shared" si="6"/>
        <v>1332</v>
      </c>
      <c r="S106" s="610">
        <f t="shared" si="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781</v>
      </c>
      <c r="B107" s="950" t="s">
        <v>1417</v>
      </c>
      <c r="C107" s="952">
        <v>9050.6200000000008</v>
      </c>
      <c r="D107" s="952">
        <v>3198.86</v>
      </c>
      <c r="E107" s="952">
        <v>12249.48</v>
      </c>
      <c r="F107" s="950" t="s">
        <v>761</v>
      </c>
      <c r="G107" s="950" t="s">
        <v>766</v>
      </c>
      <c r="H107" s="929"/>
      <c r="I107" s="930"/>
      <c r="J107" s="930"/>
      <c r="K107" s="930"/>
      <c r="L107" s="609" t="str">
        <f t="shared" si="8"/>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si="5"/>
        <v>2-Actifs</v>
      </c>
      <c r="R107" s="609" t="str">
        <f t="shared" si="6"/>
        <v>1382</v>
      </c>
      <c r="S107" s="610">
        <f t="shared" si="7"/>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782</v>
      </c>
      <c r="B108" s="950" t="s">
        <v>1420</v>
      </c>
      <c r="C108" s="952">
        <v>-54183.66</v>
      </c>
      <c r="D108" s="952">
        <v>17044</v>
      </c>
      <c r="E108" s="952">
        <v>-37139.660000000003</v>
      </c>
      <c r="F108" s="950" t="s">
        <v>761</v>
      </c>
      <c r="G108" s="950" t="s">
        <v>778</v>
      </c>
      <c r="H108" s="929"/>
      <c r="I108" s="930"/>
      <c r="J108" s="930"/>
      <c r="K108" s="930"/>
      <c r="L108" s="609" t="str">
        <f t="shared" si="8"/>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si="5"/>
        <v>2-Actifs</v>
      </c>
      <c r="R108" s="609" t="str">
        <f t="shared" si="6"/>
        <v>1314</v>
      </c>
      <c r="S108" s="610">
        <f t="shared" si="7"/>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783</v>
      </c>
      <c r="B109" s="950" t="s">
        <v>784</v>
      </c>
      <c r="C109" s="952">
        <v>-2655.24</v>
      </c>
      <c r="D109" s="952">
        <v>0</v>
      </c>
      <c r="E109" s="952">
        <v>-2655.24</v>
      </c>
      <c r="F109" s="950" t="s">
        <v>761</v>
      </c>
      <c r="G109" s="950" t="s">
        <v>784</v>
      </c>
      <c r="H109" s="929"/>
      <c r="I109" s="930"/>
      <c r="J109" s="930"/>
      <c r="K109" s="930"/>
      <c r="L109" s="609" t="str">
        <f t="shared" si="8"/>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si="5"/>
        <v>2-Actifs</v>
      </c>
      <c r="R109" s="609" t="str">
        <f t="shared" si="6"/>
        <v>1399</v>
      </c>
      <c r="S109" s="610">
        <f t="shared" si="7"/>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785</v>
      </c>
      <c r="B110" s="950" t="s">
        <v>786</v>
      </c>
      <c r="C110" s="952">
        <v>2737483.13</v>
      </c>
      <c r="D110" s="952">
        <v>-483507.75</v>
      </c>
      <c r="E110" s="952">
        <v>2253975.38</v>
      </c>
      <c r="F110" s="950" t="s">
        <v>761</v>
      </c>
      <c r="G110" s="950" t="s">
        <v>786</v>
      </c>
      <c r="H110" s="929"/>
      <c r="I110" s="930"/>
      <c r="J110" s="930"/>
      <c r="K110" s="930"/>
      <c r="L110" s="609" t="str">
        <f t="shared" si="8"/>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si="5"/>
        <v>2-Actifs</v>
      </c>
      <c r="R110" s="609" t="str">
        <f t="shared" si="6"/>
        <v>1402</v>
      </c>
      <c r="S110" s="610">
        <f t="shared" si="7"/>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789</v>
      </c>
      <c r="B111" s="950" t="s">
        <v>1432</v>
      </c>
      <c r="C111" s="952">
        <v>-57100</v>
      </c>
      <c r="D111" s="952">
        <v>-1875</v>
      </c>
      <c r="E111" s="952">
        <v>-58975</v>
      </c>
      <c r="F111" s="950" t="s">
        <v>761</v>
      </c>
      <c r="G111" s="950" t="s">
        <v>786</v>
      </c>
      <c r="H111" s="929"/>
      <c r="I111" s="930"/>
      <c r="J111" s="930"/>
      <c r="K111" s="930"/>
      <c r="L111" s="609" t="str">
        <f t="shared" si="8"/>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si="5"/>
        <v>2-Actifs</v>
      </c>
      <c r="R111" s="609" t="str">
        <f t="shared" si="6"/>
        <v>1402</v>
      </c>
      <c r="S111" s="610">
        <f t="shared" si="7"/>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790</v>
      </c>
      <c r="B112" s="950" t="s">
        <v>791</v>
      </c>
      <c r="C112" s="952">
        <v>-5312</v>
      </c>
      <c r="D112" s="952">
        <v>-2400</v>
      </c>
      <c r="E112" s="952">
        <v>-7712</v>
      </c>
      <c r="F112" s="950" t="s">
        <v>761</v>
      </c>
      <c r="G112" s="950" t="s">
        <v>791</v>
      </c>
      <c r="H112" s="929"/>
      <c r="I112" s="930"/>
      <c r="J112" s="930"/>
      <c r="K112" s="930"/>
      <c r="L112" s="609" t="str">
        <f t="shared" si="8"/>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si="5"/>
        <v>2-Actifs</v>
      </c>
      <c r="R112" s="609" t="str">
        <f t="shared" si="6"/>
        <v>1413</v>
      </c>
      <c r="S112" s="610">
        <f t="shared" si="7"/>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792</v>
      </c>
      <c r="B113" s="950" t="s">
        <v>793</v>
      </c>
      <c r="C113" s="952">
        <v>2836520.29</v>
      </c>
      <c r="D113" s="952">
        <v>-348389.8</v>
      </c>
      <c r="E113" s="952">
        <v>2488130.4900000002</v>
      </c>
      <c r="F113" s="950" t="s">
        <v>761</v>
      </c>
      <c r="G113" s="950" t="s">
        <v>793</v>
      </c>
      <c r="H113" s="929"/>
      <c r="I113" s="930"/>
      <c r="J113" s="930"/>
      <c r="K113" s="930"/>
      <c r="L113" s="609" t="str">
        <f t="shared" si="8"/>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si="5"/>
        <v>2-Actifs</v>
      </c>
      <c r="R113" s="609" t="str">
        <f t="shared" si="6"/>
        <v>1416</v>
      </c>
      <c r="S113" s="610">
        <f t="shared" si="7"/>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796</v>
      </c>
      <c r="B114" s="950" t="s">
        <v>797</v>
      </c>
      <c r="C114" s="952">
        <v>-11095.25</v>
      </c>
      <c r="D114" s="952">
        <v>-7064.46</v>
      </c>
      <c r="E114" s="952">
        <v>-18159.71</v>
      </c>
      <c r="F114" s="950" t="s">
        <v>761</v>
      </c>
      <c r="G114" s="950" t="s">
        <v>797</v>
      </c>
      <c r="H114" s="929"/>
      <c r="I114" s="930"/>
      <c r="J114" s="930"/>
      <c r="K114" s="930"/>
      <c r="L114" s="609" t="str">
        <f t="shared" si="8"/>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si="5"/>
        <v>2-Actifs</v>
      </c>
      <c r="R114" s="609" t="str">
        <f t="shared" si="6"/>
        <v>1423</v>
      </c>
      <c r="S114" s="610">
        <f t="shared" si="7"/>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798</v>
      </c>
      <c r="B115" s="950" t="s">
        <v>3310</v>
      </c>
      <c r="C115" s="952">
        <v>-36318.639999999999</v>
      </c>
      <c r="D115" s="952">
        <v>6920.62</v>
      </c>
      <c r="E115" s="952">
        <v>-29398.02</v>
      </c>
      <c r="F115" s="950" t="s">
        <v>761</v>
      </c>
      <c r="G115" s="950" t="s">
        <v>799</v>
      </c>
      <c r="H115" s="929"/>
      <c r="I115" s="930"/>
      <c r="J115" s="930"/>
      <c r="K115" s="930"/>
      <c r="L115" s="609" t="str">
        <f t="shared" si="8"/>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si="5"/>
        <v>2-Actifs</v>
      </c>
      <c r="R115" s="609" t="str">
        <f t="shared" si="6"/>
        <v>143</v>
      </c>
      <c r="S115" s="610">
        <f t="shared" si="7"/>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800</v>
      </c>
      <c r="B116" s="950" t="s">
        <v>801</v>
      </c>
      <c r="C116" s="952">
        <v>65871.789999999994</v>
      </c>
      <c r="D116" s="952">
        <v>-10711.08</v>
      </c>
      <c r="E116" s="952">
        <v>55160.71</v>
      </c>
      <c r="F116" s="950" t="s">
        <v>761</v>
      </c>
      <c r="G116" s="950" t="s">
        <v>801</v>
      </c>
      <c r="H116" s="929"/>
      <c r="I116" s="930"/>
      <c r="J116" s="930"/>
      <c r="K116" s="930"/>
      <c r="L116" s="609" t="str">
        <f t="shared" si="8"/>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si="5"/>
        <v>2-Actifs</v>
      </c>
      <c r="R116" s="609" t="str">
        <f t="shared" si="6"/>
        <v>1442</v>
      </c>
      <c r="S116" s="610">
        <f t="shared" si="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802</v>
      </c>
      <c r="B117" s="950" t="s">
        <v>3311</v>
      </c>
      <c r="C117" s="952">
        <v>346.5</v>
      </c>
      <c r="D117" s="952">
        <v>-346.5</v>
      </c>
      <c r="E117" s="952">
        <v>0</v>
      </c>
      <c r="F117" s="950" t="s">
        <v>761</v>
      </c>
      <c r="G117" s="950" t="s">
        <v>801</v>
      </c>
      <c r="H117" s="929"/>
      <c r="I117" s="930"/>
      <c r="J117" s="930"/>
      <c r="K117" s="930"/>
      <c r="L117" s="609" t="str">
        <f t="shared" si="8"/>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si="5"/>
        <v>2-Actifs</v>
      </c>
      <c r="R117" s="609" t="str">
        <f t="shared" si="6"/>
        <v>1442</v>
      </c>
      <c r="S117" s="610">
        <f t="shared" si="7"/>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803</v>
      </c>
      <c r="B118" s="950" t="s">
        <v>1443</v>
      </c>
      <c r="C118" s="952">
        <v>184295.38</v>
      </c>
      <c r="D118" s="952">
        <v>6291.44</v>
      </c>
      <c r="E118" s="952">
        <v>190586.82</v>
      </c>
      <c r="F118" s="950" t="s">
        <v>761</v>
      </c>
      <c r="G118" s="950" t="s">
        <v>801</v>
      </c>
      <c r="H118" s="929"/>
      <c r="I118" s="930"/>
      <c r="J118" s="930"/>
      <c r="K118" s="930"/>
      <c r="L118" s="609" t="str">
        <f t="shared" si="8"/>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si="5"/>
        <v>2-Actifs</v>
      </c>
      <c r="R118" s="609" t="str">
        <f t="shared" si="6"/>
        <v>1442</v>
      </c>
      <c r="S118" s="610">
        <f t="shared" si="7"/>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804</v>
      </c>
      <c r="B119" s="950" t="s">
        <v>805</v>
      </c>
      <c r="C119" s="952">
        <v>87436.52</v>
      </c>
      <c r="D119" s="952">
        <v>4161.88</v>
      </c>
      <c r="E119" s="952">
        <v>91598.399999999994</v>
      </c>
      <c r="F119" s="950" t="s">
        <v>761</v>
      </c>
      <c r="G119" s="950" t="s">
        <v>805</v>
      </c>
      <c r="H119" s="929"/>
      <c r="I119" s="930"/>
      <c r="J119" s="930"/>
      <c r="K119" s="930"/>
      <c r="L119" s="609" t="str">
        <f t="shared" si="8"/>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si="5"/>
        <v>2-Actifs</v>
      </c>
      <c r="R119" s="609" t="str">
        <f t="shared" si="6"/>
        <v>1456</v>
      </c>
      <c r="S119" s="610">
        <f t="shared" si="7"/>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806</v>
      </c>
      <c r="B120" s="950" t="s">
        <v>807</v>
      </c>
      <c r="C120" s="952">
        <v>6332.7</v>
      </c>
      <c r="D120" s="952">
        <v>3466.3</v>
      </c>
      <c r="E120" s="952">
        <v>9799</v>
      </c>
      <c r="F120" s="950" t="s">
        <v>761</v>
      </c>
      <c r="G120" s="950" t="s">
        <v>807</v>
      </c>
      <c r="H120" s="929"/>
      <c r="I120" s="930"/>
      <c r="J120" s="930"/>
      <c r="K120" s="930"/>
      <c r="L120" s="609" t="str">
        <f t="shared" si="8"/>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si="5"/>
        <v>2-Actifs</v>
      </c>
      <c r="R120" s="609" t="str">
        <f t="shared" si="6"/>
        <v>1472</v>
      </c>
      <c r="S120" s="610">
        <f t="shared" si="7"/>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808</v>
      </c>
      <c r="B121" s="950" t="s">
        <v>1450</v>
      </c>
      <c r="C121" s="952">
        <v>2533.04</v>
      </c>
      <c r="D121" s="952">
        <v>4139.5600000000004</v>
      </c>
      <c r="E121" s="952">
        <v>6672.6</v>
      </c>
      <c r="F121" s="950" t="s">
        <v>761</v>
      </c>
      <c r="G121" s="950" t="s">
        <v>807</v>
      </c>
      <c r="H121" s="929"/>
      <c r="I121" s="930"/>
      <c r="J121" s="930"/>
      <c r="K121" s="930"/>
      <c r="L121" s="609" t="str">
        <f t="shared" si="8"/>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si="5"/>
        <v>2-Actifs</v>
      </c>
      <c r="R121" s="609" t="str">
        <f t="shared" si="6"/>
        <v>1472</v>
      </c>
      <c r="S121" s="610">
        <f t="shared" si="7"/>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809</v>
      </c>
      <c r="B122" s="950" t="s">
        <v>1453</v>
      </c>
      <c r="C122" s="952">
        <v>1932.59</v>
      </c>
      <c r="D122" s="952">
        <v>15309.97</v>
      </c>
      <c r="E122" s="952">
        <v>17242.560000000001</v>
      </c>
      <c r="F122" s="950" t="s">
        <v>761</v>
      </c>
      <c r="G122" s="950" t="s">
        <v>801</v>
      </c>
      <c r="H122" s="929"/>
      <c r="I122" s="930"/>
      <c r="J122" s="930"/>
      <c r="K122" s="930"/>
      <c r="L122" s="609" t="str">
        <f t="shared" si="8"/>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si="5"/>
        <v>2-Actifs</v>
      </c>
      <c r="R122" s="609" t="str">
        <f t="shared" si="6"/>
        <v>1442</v>
      </c>
      <c r="S122" s="610">
        <f t="shared" si="7"/>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810</v>
      </c>
      <c r="B123" s="950" t="s">
        <v>811</v>
      </c>
      <c r="C123" s="952">
        <v>47.1</v>
      </c>
      <c r="D123" s="952">
        <v>0</v>
      </c>
      <c r="E123" s="952">
        <v>47.1</v>
      </c>
      <c r="F123" s="950" t="s">
        <v>761</v>
      </c>
      <c r="G123" s="950" t="s">
        <v>811</v>
      </c>
      <c r="H123" s="929"/>
      <c r="I123" s="930"/>
      <c r="J123" s="930"/>
      <c r="K123" s="930"/>
      <c r="L123" s="609" t="str">
        <f t="shared" si="8"/>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si="5"/>
        <v>2-Actifs</v>
      </c>
      <c r="R123" s="609" t="str">
        <f t="shared" si="6"/>
        <v>1498</v>
      </c>
      <c r="S123" s="610">
        <f t="shared" si="7"/>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812</v>
      </c>
      <c r="B124" s="950" t="s">
        <v>1458</v>
      </c>
      <c r="C124" s="952">
        <v>2228.83</v>
      </c>
      <c r="D124" s="952">
        <v>-148.26</v>
      </c>
      <c r="E124" s="952">
        <v>2080.5700000000002</v>
      </c>
      <c r="F124" s="950" t="s">
        <v>761</v>
      </c>
      <c r="G124" s="950" t="s">
        <v>813</v>
      </c>
      <c r="H124" s="929"/>
      <c r="I124" s="930"/>
      <c r="J124" s="930"/>
      <c r="K124" s="930"/>
      <c r="L124" s="609" t="str">
        <f t="shared" si="8"/>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si="5"/>
        <v>2-Actifs</v>
      </c>
      <c r="R124" s="609" t="str">
        <f t="shared" si="6"/>
        <v>1500</v>
      </c>
      <c r="S124" s="610">
        <f t="shared" si="7"/>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814</v>
      </c>
      <c r="B125" s="950" t="s">
        <v>1461</v>
      </c>
      <c r="C125" s="952">
        <v>47.35</v>
      </c>
      <c r="D125" s="952">
        <v>86.97</v>
      </c>
      <c r="E125" s="952">
        <v>134.32</v>
      </c>
      <c r="F125" s="950" t="s">
        <v>761</v>
      </c>
      <c r="G125" s="950" t="s">
        <v>813</v>
      </c>
      <c r="H125" s="929"/>
      <c r="I125" s="930"/>
      <c r="J125" s="930"/>
      <c r="K125" s="930"/>
      <c r="L125" s="609" t="str">
        <f t="shared" si="8"/>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si="5"/>
        <v>2-Actifs</v>
      </c>
      <c r="R125" s="609" t="str">
        <f t="shared" si="6"/>
        <v>1500</v>
      </c>
      <c r="S125" s="610">
        <f t="shared" si="7"/>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815</v>
      </c>
      <c r="B126" s="950" t="s">
        <v>1464</v>
      </c>
      <c r="C126" s="952">
        <v>-19641.759999999998</v>
      </c>
      <c r="D126" s="952">
        <v>3804.65</v>
      </c>
      <c r="E126" s="952">
        <v>-15837.11</v>
      </c>
      <c r="F126" s="950" t="s">
        <v>761</v>
      </c>
      <c r="G126" s="950" t="s">
        <v>813</v>
      </c>
      <c r="H126" s="929"/>
      <c r="I126" s="930"/>
      <c r="J126" s="930"/>
      <c r="K126" s="930"/>
      <c r="L126" s="609" t="str">
        <f t="shared" si="8"/>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si="5"/>
        <v>2-Actifs</v>
      </c>
      <c r="R126" s="609" t="str">
        <f t="shared" si="6"/>
        <v>1500</v>
      </c>
      <c r="S126" s="610">
        <f t="shared" si="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816</v>
      </c>
      <c r="B127" s="950" t="s">
        <v>1470</v>
      </c>
      <c r="C127" s="952">
        <v>1380</v>
      </c>
      <c r="D127" s="952">
        <v>-70</v>
      </c>
      <c r="E127" s="952">
        <v>1310</v>
      </c>
      <c r="F127" s="950" t="s">
        <v>761</v>
      </c>
      <c r="G127" s="950" t="s">
        <v>813</v>
      </c>
      <c r="H127" s="929"/>
      <c r="I127" s="930"/>
      <c r="J127" s="930"/>
      <c r="K127" s="930"/>
      <c r="L127" s="609" t="str">
        <f t="shared" si="8"/>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si="5"/>
        <v>2-Actifs</v>
      </c>
      <c r="R127" s="609" t="str">
        <f t="shared" si="6"/>
        <v>1500</v>
      </c>
      <c r="S127" s="610">
        <f t="shared" si="7"/>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817</v>
      </c>
      <c r="B128" s="950" t="s">
        <v>1473</v>
      </c>
      <c r="C128" s="952">
        <v>8034.43</v>
      </c>
      <c r="D128" s="952">
        <v>0</v>
      </c>
      <c r="E128" s="952">
        <v>8034.43</v>
      </c>
      <c r="F128" s="950" t="s">
        <v>761</v>
      </c>
      <c r="G128" s="950" t="s">
        <v>813</v>
      </c>
      <c r="H128" s="929"/>
      <c r="I128" s="930"/>
      <c r="J128" s="930"/>
      <c r="K128" s="930"/>
      <c r="L128" s="609" t="str">
        <f t="shared" si="8"/>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si="5"/>
        <v>2-Actifs</v>
      </c>
      <c r="R128" s="609" t="str">
        <f t="shared" si="6"/>
        <v>1500</v>
      </c>
      <c r="S128" s="610">
        <f t="shared" si="7"/>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818</v>
      </c>
      <c r="B129" s="950" t="s">
        <v>1485</v>
      </c>
      <c r="C129" s="952">
        <v>1873</v>
      </c>
      <c r="D129" s="952">
        <v>2326.5</v>
      </c>
      <c r="E129" s="952">
        <v>4199.5</v>
      </c>
      <c r="F129" s="950" t="s">
        <v>761</v>
      </c>
      <c r="G129" s="950" t="s">
        <v>813</v>
      </c>
      <c r="H129" s="929"/>
      <c r="I129" s="930"/>
      <c r="J129" s="930"/>
      <c r="K129" s="930"/>
      <c r="L129" s="609" t="str">
        <f t="shared" si="8"/>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si="5"/>
        <v>2-Actifs</v>
      </c>
      <c r="R129" s="609" t="str">
        <f t="shared" si="6"/>
        <v>1500</v>
      </c>
      <c r="S129" s="610">
        <f t="shared" si="7"/>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819</v>
      </c>
      <c r="B130" s="950" t="s">
        <v>1488</v>
      </c>
      <c r="C130" s="952">
        <v>-130</v>
      </c>
      <c r="D130" s="952">
        <v>0</v>
      </c>
      <c r="E130" s="952">
        <v>-130</v>
      </c>
      <c r="F130" s="950" t="s">
        <v>761</v>
      </c>
      <c r="G130" s="950" t="s">
        <v>813</v>
      </c>
      <c r="H130" s="929"/>
      <c r="I130" s="930"/>
      <c r="J130" s="930"/>
      <c r="K130" s="930"/>
      <c r="L130" s="609" t="str">
        <f t="shared" si="8"/>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Q193" si="9">+F130</f>
        <v>2-Actifs</v>
      </c>
      <c r="R130" s="609" t="str">
        <f t="shared" ref="R130:R193" si="10">+G130</f>
        <v>1500</v>
      </c>
      <c r="S130" s="610">
        <f t="shared" ref="S130:S193" si="11">+H130</f>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820</v>
      </c>
      <c r="B131" s="950" t="s">
        <v>1497</v>
      </c>
      <c r="C131" s="952">
        <v>125.21</v>
      </c>
      <c r="D131" s="952">
        <v>0</v>
      </c>
      <c r="E131" s="952">
        <v>125.21</v>
      </c>
      <c r="F131" s="950" t="s">
        <v>761</v>
      </c>
      <c r="G131" s="950" t="s">
        <v>813</v>
      </c>
      <c r="H131" s="929"/>
      <c r="I131" s="930"/>
      <c r="J131" s="930"/>
      <c r="K131" s="930"/>
      <c r="L131" s="609" t="str">
        <f t="shared" ref="L131:L194" si="1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si="9"/>
        <v>2-Actifs</v>
      </c>
      <c r="R131" s="609" t="str">
        <f t="shared" si="10"/>
        <v>1500</v>
      </c>
      <c r="S131" s="610">
        <f t="shared" si="11"/>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821</v>
      </c>
      <c r="B132" s="950" t="s">
        <v>1500</v>
      </c>
      <c r="C132" s="952">
        <v>-13.56</v>
      </c>
      <c r="D132" s="952">
        <v>13.56</v>
      </c>
      <c r="E132" s="952">
        <v>0</v>
      </c>
      <c r="F132" s="950" t="s">
        <v>761</v>
      </c>
      <c r="G132" s="950" t="s">
        <v>813</v>
      </c>
      <c r="H132" s="929"/>
      <c r="I132" s="930"/>
      <c r="J132" s="930"/>
      <c r="K132" s="930"/>
      <c r="L132" s="609" t="str">
        <f t="shared" si="1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si="9"/>
        <v>2-Actifs</v>
      </c>
      <c r="R132" s="609" t="str">
        <f t="shared" si="10"/>
        <v>1500</v>
      </c>
      <c r="S132" s="610">
        <f t="shared" si="11"/>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822</v>
      </c>
      <c r="B133" s="950" t="s">
        <v>1503</v>
      </c>
      <c r="C133" s="952">
        <v>1834.58</v>
      </c>
      <c r="D133" s="952">
        <v>0</v>
      </c>
      <c r="E133" s="952">
        <v>1834.58</v>
      </c>
      <c r="F133" s="950" t="s">
        <v>761</v>
      </c>
      <c r="G133" s="950" t="s">
        <v>813</v>
      </c>
      <c r="H133" s="929"/>
      <c r="I133" s="930"/>
      <c r="J133" s="930"/>
      <c r="K133" s="930"/>
      <c r="L133" s="609" t="str">
        <f t="shared" si="1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si="9"/>
        <v>2-Actifs</v>
      </c>
      <c r="R133" s="609" t="str">
        <f t="shared" si="10"/>
        <v>1500</v>
      </c>
      <c r="S133" s="610">
        <f t="shared" si="11"/>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823</v>
      </c>
      <c r="B134" s="950" t="s">
        <v>1506</v>
      </c>
      <c r="C134" s="952">
        <v>8590.9599999999991</v>
      </c>
      <c r="D134" s="952">
        <v>-20211.52</v>
      </c>
      <c r="E134" s="952">
        <v>-11620.56</v>
      </c>
      <c r="F134" s="950" t="s">
        <v>761</v>
      </c>
      <c r="G134" s="950" t="s">
        <v>813</v>
      </c>
      <c r="H134" s="929"/>
      <c r="I134" s="930"/>
      <c r="J134" s="930"/>
      <c r="K134" s="930"/>
      <c r="L134" s="609" t="str">
        <f t="shared" si="1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si="9"/>
        <v>2-Actifs</v>
      </c>
      <c r="R134" s="609" t="str">
        <f t="shared" si="10"/>
        <v>1500</v>
      </c>
      <c r="S134" s="610">
        <f t="shared" si="11"/>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824</v>
      </c>
      <c r="B135" s="950" t="s">
        <v>3314</v>
      </c>
      <c r="C135" s="952">
        <v>-29952</v>
      </c>
      <c r="D135" s="952">
        <v>0</v>
      </c>
      <c r="E135" s="952">
        <v>-29952</v>
      </c>
      <c r="F135" s="950" t="s">
        <v>761</v>
      </c>
      <c r="G135" s="950" t="s">
        <v>813</v>
      </c>
      <c r="H135" s="929"/>
      <c r="I135" s="930"/>
      <c r="J135" s="930"/>
      <c r="K135" s="930"/>
      <c r="L135" s="609" t="str">
        <f t="shared" si="1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si="9"/>
        <v>2-Actifs</v>
      </c>
      <c r="R135" s="609" t="str">
        <f t="shared" si="10"/>
        <v>1500</v>
      </c>
      <c r="S135" s="610">
        <f t="shared" si="11"/>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825</v>
      </c>
      <c r="B136" s="950" t="s">
        <v>1509</v>
      </c>
      <c r="C136" s="952">
        <v>4632.24</v>
      </c>
      <c r="D136" s="952">
        <v>-4632.24</v>
      </c>
      <c r="E136" s="952">
        <v>0</v>
      </c>
      <c r="F136" s="950" t="s">
        <v>761</v>
      </c>
      <c r="G136" s="950" t="s">
        <v>813</v>
      </c>
      <c r="H136" s="929"/>
      <c r="I136" s="930"/>
      <c r="J136" s="930"/>
      <c r="K136" s="930"/>
      <c r="L136" s="609" t="str">
        <f t="shared" si="1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si="9"/>
        <v>2-Actifs</v>
      </c>
      <c r="R136" s="609" t="str">
        <f t="shared" si="10"/>
        <v>1500</v>
      </c>
      <c r="S136" s="610">
        <f t="shared" si="11"/>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826</v>
      </c>
      <c r="B137" s="950" t="s">
        <v>1515</v>
      </c>
      <c r="C137" s="952">
        <v>2123.83</v>
      </c>
      <c r="D137" s="952">
        <v>-303.79000000000002</v>
      </c>
      <c r="E137" s="952">
        <v>1820.04</v>
      </c>
      <c r="F137" s="950" t="s">
        <v>761</v>
      </c>
      <c r="G137" s="950" t="s">
        <v>813</v>
      </c>
      <c r="H137" s="929"/>
      <c r="I137" s="930"/>
      <c r="J137" s="930"/>
      <c r="K137" s="930"/>
      <c r="L137" s="609" t="str">
        <f t="shared" si="1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si="9"/>
        <v>2-Actifs</v>
      </c>
      <c r="R137" s="609" t="str">
        <f t="shared" si="10"/>
        <v>1500</v>
      </c>
      <c r="S137" s="610">
        <f t="shared" si="11"/>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827</v>
      </c>
      <c r="B138" s="950" t="s">
        <v>3315</v>
      </c>
      <c r="C138" s="952">
        <v>2330</v>
      </c>
      <c r="D138" s="952">
        <v>445</v>
      </c>
      <c r="E138" s="952">
        <v>2775</v>
      </c>
      <c r="F138" s="950" t="s">
        <v>761</v>
      </c>
      <c r="G138" s="950" t="s">
        <v>813</v>
      </c>
      <c r="H138" s="929"/>
      <c r="I138" s="930"/>
      <c r="J138" s="930"/>
      <c r="K138" s="930"/>
      <c r="L138" s="609" t="str">
        <f t="shared" si="1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si="9"/>
        <v>2-Actifs</v>
      </c>
      <c r="R138" s="609" t="str">
        <f t="shared" si="10"/>
        <v>1500</v>
      </c>
      <c r="S138" s="610">
        <f t="shared" si="11"/>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828</v>
      </c>
      <c r="B139" s="950" t="s">
        <v>1518</v>
      </c>
      <c r="C139" s="952">
        <v>9405.2900000000009</v>
      </c>
      <c r="D139" s="952">
        <v>31299.62</v>
      </c>
      <c r="E139" s="952">
        <v>40704.910000000003</v>
      </c>
      <c r="F139" s="950" t="s">
        <v>761</v>
      </c>
      <c r="G139" s="950" t="s">
        <v>813</v>
      </c>
      <c r="H139" s="929"/>
      <c r="I139" s="930"/>
      <c r="J139" s="930"/>
      <c r="K139" s="930"/>
      <c r="L139" s="609" t="str">
        <f t="shared" si="1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si="9"/>
        <v>2-Actifs</v>
      </c>
      <c r="R139" s="609" t="str">
        <f t="shared" si="10"/>
        <v>1500</v>
      </c>
      <c r="S139" s="610">
        <f t="shared" si="1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829</v>
      </c>
      <c r="B140" s="950" t="s">
        <v>1530</v>
      </c>
      <c r="C140" s="952">
        <v>144370.28</v>
      </c>
      <c r="D140" s="952">
        <v>0</v>
      </c>
      <c r="E140" s="952">
        <v>144370.28</v>
      </c>
      <c r="F140" s="950" t="s">
        <v>761</v>
      </c>
      <c r="G140" s="950" t="s">
        <v>830</v>
      </c>
      <c r="H140" s="929"/>
      <c r="I140" s="930"/>
      <c r="J140" s="930"/>
      <c r="K140" s="930"/>
      <c r="L140" s="609" t="str">
        <f t="shared" si="1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si="9"/>
        <v>2-Actifs</v>
      </c>
      <c r="R140" s="609" t="str">
        <f t="shared" si="10"/>
        <v>1700</v>
      </c>
      <c r="S140" s="610">
        <f t="shared" si="11"/>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831</v>
      </c>
      <c r="B141" s="950" t="s">
        <v>1533</v>
      </c>
      <c r="C141" s="952">
        <v>-101575.02</v>
      </c>
      <c r="D141" s="952">
        <v>-225</v>
      </c>
      <c r="E141" s="952">
        <v>-101800.02</v>
      </c>
      <c r="F141" s="950" t="s">
        <v>761</v>
      </c>
      <c r="G141" s="950" t="s">
        <v>830</v>
      </c>
      <c r="H141" s="929"/>
      <c r="I141" s="930"/>
      <c r="J141" s="930"/>
      <c r="K141" s="930"/>
      <c r="L141" s="609" t="str">
        <f t="shared" si="1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si="9"/>
        <v>2-Actifs</v>
      </c>
      <c r="R141" s="609" t="str">
        <f t="shared" si="10"/>
        <v>1700</v>
      </c>
      <c r="S141" s="610">
        <f t="shared" si="11"/>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832</v>
      </c>
      <c r="B142" s="950" t="s">
        <v>1536</v>
      </c>
      <c r="C142" s="952">
        <v>957607.11</v>
      </c>
      <c r="D142" s="952">
        <v>5143.59</v>
      </c>
      <c r="E142" s="952">
        <v>962750.7</v>
      </c>
      <c r="F142" s="950" t="s">
        <v>761</v>
      </c>
      <c r="G142" s="950" t="s">
        <v>830</v>
      </c>
      <c r="H142" s="929"/>
      <c r="I142" s="930"/>
      <c r="J142" s="930"/>
      <c r="K142" s="930"/>
      <c r="L142" s="609" t="str">
        <f t="shared" si="1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si="9"/>
        <v>2-Actifs</v>
      </c>
      <c r="R142" s="609" t="str">
        <f t="shared" si="10"/>
        <v>1700</v>
      </c>
      <c r="S142" s="610">
        <f t="shared" si="11"/>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833</v>
      </c>
      <c r="B143" s="950" t="s">
        <v>1539</v>
      </c>
      <c r="C143" s="952">
        <v>-813921.08</v>
      </c>
      <c r="D143" s="952">
        <v>-2612</v>
      </c>
      <c r="E143" s="952">
        <v>-816533.08</v>
      </c>
      <c r="F143" s="950" t="s">
        <v>761</v>
      </c>
      <c r="G143" s="950" t="s">
        <v>830</v>
      </c>
      <c r="H143" s="929"/>
      <c r="I143" s="930"/>
      <c r="J143" s="930"/>
      <c r="K143" s="930"/>
      <c r="L143" s="609" t="str">
        <f t="shared" si="1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si="9"/>
        <v>2-Actifs</v>
      </c>
      <c r="R143" s="609" t="str">
        <f t="shared" si="10"/>
        <v>1700</v>
      </c>
      <c r="S143" s="610">
        <f t="shared" si="11"/>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834</v>
      </c>
      <c r="B144" s="950" t="s">
        <v>1542</v>
      </c>
      <c r="C144" s="952">
        <v>47461.59</v>
      </c>
      <c r="D144" s="952">
        <v>0</v>
      </c>
      <c r="E144" s="952">
        <v>47461.59</v>
      </c>
      <c r="F144" s="950" t="s">
        <v>761</v>
      </c>
      <c r="G144" s="950" t="s">
        <v>830</v>
      </c>
      <c r="H144" s="929"/>
      <c r="I144" s="930"/>
      <c r="J144" s="930"/>
      <c r="K144" s="930"/>
      <c r="L144" s="609" t="str">
        <f t="shared" si="1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si="9"/>
        <v>2-Actifs</v>
      </c>
      <c r="R144" s="609" t="str">
        <f t="shared" si="10"/>
        <v>1700</v>
      </c>
      <c r="S144" s="610">
        <f t="shared" si="11"/>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835</v>
      </c>
      <c r="B145" s="950" t="s">
        <v>1545</v>
      </c>
      <c r="C145" s="952">
        <v>-47494.51</v>
      </c>
      <c r="D145" s="952">
        <v>-8.5</v>
      </c>
      <c r="E145" s="952">
        <v>-47503.01</v>
      </c>
      <c r="F145" s="950" t="s">
        <v>761</v>
      </c>
      <c r="G145" s="950" t="s">
        <v>830</v>
      </c>
      <c r="H145" s="929"/>
      <c r="I145" s="929"/>
      <c r="J145" s="929"/>
      <c r="K145" s="929"/>
      <c r="L145" s="609" t="str">
        <f t="shared" si="1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si="9"/>
        <v>2-Actifs</v>
      </c>
      <c r="R145" s="609" t="str">
        <f t="shared" si="10"/>
        <v>1700</v>
      </c>
      <c r="S145" s="610">
        <f t="shared" si="11"/>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836</v>
      </c>
      <c r="B146" s="950" t="s">
        <v>1554</v>
      </c>
      <c r="C146" s="952">
        <v>440156.49</v>
      </c>
      <c r="D146" s="952">
        <v>0</v>
      </c>
      <c r="E146" s="952">
        <v>440156.49</v>
      </c>
      <c r="F146" s="950" t="s">
        <v>761</v>
      </c>
      <c r="G146" s="950" t="s">
        <v>830</v>
      </c>
      <c r="H146" s="929"/>
      <c r="I146" s="929"/>
      <c r="J146" s="929"/>
      <c r="K146" s="929"/>
      <c r="L146" s="609" t="str">
        <f t="shared" si="1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si="9"/>
        <v>2-Actifs</v>
      </c>
      <c r="R146" s="609" t="str">
        <f t="shared" si="10"/>
        <v>1700</v>
      </c>
      <c r="S146" s="610">
        <f t="shared" si="11"/>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837</v>
      </c>
      <c r="B147" s="950" t="s">
        <v>1557</v>
      </c>
      <c r="C147" s="952">
        <v>-407893.7</v>
      </c>
      <c r="D147" s="952">
        <v>-497</v>
      </c>
      <c r="E147" s="952">
        <v>-408390.7</v>
      </c>
      <c r="F147" s="950" t="s">
        <v>761</v>
      </c>
      <c r="G147" s="950" t="s">
        <v>830</v>
      </c>
      <c r="H147" s="929"/>
      <c r="I147" s="929"/>
      <c r="J147" s="929"/>
      <c r="K147" s="929"/>
      <c r="L147" s="609" t="str">
        <f t="shared" si="1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si="9"/>
        <v>2-Actifs</v>
      </c>
      <c r="R147" s="609" t="str">
        <f t="shared" si="10"/>
        <v>1700</v>
      </c>
      <c r="S147" s="610">
        <f t="shared" si="11"/>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838</v>
      </c>
      <c r="B148" s="950" t="s">
        <v>1560</v>
      </c>
      <c r="C148" s="952">
        <v>3987.88</v>
      </c>
      <c r="D148" s="952">
        <v>0</v>
      </c>
      <c r="E148" s="952">
        <v>3987.88</v>
      </c>
      <c r="F148" s="950" t="s">
        <v>761</v>
      </c>
      <c r="G148" s="950" t="s">
        <v>830</v>
      </c>
      <c r="H148" s="929"/>
      <c r="I148" s="929"/>
      <c r="J148" s="929"/>
      <c r="K148" s="929"/>
      <c r="L148" s="609" t="str">
        <f t="shared" si="1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si="9"/>
        <v>2-Actifs</v>
      </c>
      <c r="R148" s="609" t="str">
        <f t="shared" si="10"/>
        <v>1700</v>
      </c>
      <c r="S148" s="610">
        <f t="shared" si="11"/>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839</v>
      </c>
      <c r="B149" s="950" t="s">
        <v>1563</v>
      </c>
      <c r="C149" s="952">
        <v>-3987.88</v>
      </c>
      <c r="D149" s="952">
        <v>0</v>
      </c>
      <c r="E149" s="952">
        <v>-3987.88</v>
      </c>
      <c r="F149" s="950" t="s">
        <v>761</v>
      </c>
      <c r="G149" s="950" t="s">
        <v>830</v>
      </c>
      <c r="H149" s="929"/>
      <c r="I149" s="929"/>
      <c r="J149" s="929"/>
      <c r="K149" s="929"/>
      <c r="L149" s="609" t="str">
        <f t="shared" si="1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si="9"/>
        <v>2-Actifs</v>
      </c>
      <c r="R149" s="609" t="str">
        <f t="shared" si="10"/>
        <v>1700</v>
      </c>
      <c r="S149" s="610">
        <f t="shared" si="1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840</v>
      </c>
      <c r="B150" s="950" t="s">
        <v>1566</v>
      </c>
      <c r="C150" s="952">
        <v>129416.15</v>
      </c>
      <c r="D150" s="952">
        <v>0</v>
      </c>
      <c r="E150" s="952">
        <v>129416.15</v>
      </c>
      <c r="F150" s="950" t="s">
        <v>761</v>
      </c>
      <c r="G150" s="950" t="s">
        <v>830</v>
      </c>
      <c r="H150" s="929"/>
      <c r="I150" s="929"/>
      <c r="J150" s="929"/>
      <c r="K150" s="929"/>
      <c r="L150" s="609" t="str">
        <f t="shared" si="1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si="9"/>
        <v>2-Actifs</v>
      </c>
      <c r="R150" s="609" t="str">
        <f t="shared" si="10"/>
        <v>1700</v>
      </c>
      <c r="S150" s="610">
        <f t="shared" si="11"/>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841</v>
      </c>
      <c r="B151" s="950" t="s">
        <v>1569</v>
      </c>
      <c r="C151" s="952">
        <v>-112927.43</v>
      </c>
      <c r="D151" s="952">
        <v>-972</v>
      </c>
      <c r="E151" s="952">
        <v>-113899.43</v>
      </c>
      <c r="F151" s="950" t="s">
        <v>761</v>
      </c>
      <c r="G151" s="950" t="s">
        <v>830</v>
      </c>
      <c r="H151" s="929"/>
      <c r="I151" s="929"/>
      <c r="J151" s="929"/>
      <c r="K151" s="929"/>
      <c r="L151" s="609" t="str">
        <f t="shared" si="1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si="9"/>
        <v>2-Actifs</v>
      </c>
      <c r="R151" s="609" t="str">
        <f t="shared" si="10"/>
        <v>1700</v>
      </c>
      <c r="S151" s="610">
        <f t="shared" si="11"/>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842</v>
      </c>
      <c r="B152" s="950" t="s">
        <v>1572</v>
      </c>
      <c r="C152" s="952">
        <v>119393.66</v>
      </c>
      <c r="D152" s="952">
        <v>0</v>
      </c>
      <c r="E152" s="952">
        <v>119393.66</v>
      </c>
      <c r="F152" s="950" t="s">
        <v>761</v>
      </c>
      <c r="G152" s="950" t="s">
        <v>830</v>
      </c>
      <c r="H152" s="929"/>
      <c r="I152" s="929"/>
      <c r="J152" s="929"/>
      <c r="K152" s="929"/>
      <c r="L152" s="609" t="str">
        <f t="shared" si="1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si="9"/>
        <v>2-Actifs</v>
      </c>
      <c r="R152" s="609" t="str">
        <f t="shared" si="10"/>
        <v>1700</v>
      </c>
      <c r="S152" s="610">
        <f t="shared" si="11"/>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843</v>
      </c>
      <c r="B153" s="950" t="s">
        <v>1575</v>
      </c>
      <c r="C153" s="952">
        <v>-119393.65</v>
      </c>
      <c r="D153" s="952">
        <v>0</v>
      </c>
      <c r="E153" s="952">
        <v>-119393.65</v>
      </c>
      <c r="F153" s="950" t="s">
        <v>761</v>
      </c>
      <c r="G153" s="950" t="s">
        <v>830</v>
      </c>
      <c r="H153" s="929"/>
      <c r="I153" s="929"/>
      <c r="J153" s="929"/>
      <c r="K153" s="929"/>
      <c r="L153" s="609" t="str">
        <f t="shared" si="1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si="9"/>
        <v>2-Actifs</v>
      </c>
      <c r="R153" s="609" t="str">
        <f t="shared" si="10"/>
        <v>1700</v>
      </c>
      <c r="S153" s="610">
        <f t="shared" si="11"/>
        <v>0</v>
      </c>
      <c r="T153" s="612" t="str">
        <f>+VLOOKUP($L153,Data_Validation!$A:$D,1,0)</f>
        <v>1793</v>
      </c>
      <c r="U153" s="612" t="str">
        <f>+VLOOKUP($L153,Data_Validation!$A:$D,3,0)</f>
        <v>Bilan</v>
      </c>
      <c r="V153" s="612" t="str">
        <f>+VLOOKUP($L153,Data_Validation!$A:$D,4,0)</f>
        <v>Avances à Recevoir Long Terme</v>
      </c>
      <c r="W153" s="612" t="str">
        <f>+VLOOKUP($L153,Data_Validation!$A:$E,5,0)</f>
        <v>$</v>
      </c>
      <c r="X153" s="612">
        <f>+VLOOKUP($L153,Data_Validation!$A:$F,6,0)</f>
        <v>0</v>
      </c>
    </row>
    <row r="154" spans="1:24" ht="15" customHeight="1">
      <c r="A154" s="950" t="s">
        <v>3279</v>
      </c>
      <c r="B154" s="950" t="s">
        <v>844</v>
      </c>
      <c r="C154" s="952">
        <v>7173600</v>
      </c>
      <c r="D154" s="952">
        <v>0</v>
      </c>
      <c r="E154" s="952">
        <v>7173600</v>
      </c>
      <c r="F154" s="950" t="s">
        <v>761</v>
      </c>
      <c r="G154" s="950" t="s">
        <v>844</v>
      </c>
      <c r="H154" s="929"/>
      <c r="I154" s="929"/>
      <c r="J154" s="929"/>
      <c r="K154" s="929"/>
      <c r="L154" s="609" t="str">
        <f t="shared" si="1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si="9"/>
        <v>2-Actifs</v>
      </c>
      <c r="R154" s="609" t="str">
        <f t="shared" si="10"/>
        <v>1804</v>
      </c>
      <c r="S154" s="610">
        <f t="shared" si="11"/>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845</v>
      </c>
      <c r="B155" s="950" t="s">
        <v>1580</v>
      </c>
      <c r="C155" s="952">
        <v>9036.09</v>
      </c>
      <c r="D155" s="952">
        <v>-1372.33</v>
      </c>
      <c r="E155" s="952">
        <v>7663.76</v>
      </c>
      <c r="F155" s="950" t="s">
        <v>761</v>
      </c>
      <c r="G155" s="950" t="s">
        <v>766</v>
      </c>
      <c r="H155" s="929"/>
      <c r="I155" s="929"/>
      <c r="J155" s="929"/>
      <c r="K155" s="929"/>
      <c r="L155" s="609" t="str">
        <f t="shared" si="1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si="9"/>
        <v>2-Actifs</v>
      </c>
      <c r="R155" s="609" t="str">
        <f t="shared" si="10"/>
        <v>1382</v>
      </c>
      <c r="S155" s="610">
        <f t="shared" si="11"/>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846</v>
      </c>
      <c r="B156" s="950" t="s">
        <v>848</v>
      </c>
      <c r="C156" s="952">
        <v>-4255820.22</v>
      </c>
      <c r="D156" s="952">
        <v>1431441.99</v>
      </c>
      <c r="E156" s="952">
        <v>-2824378.23</v>
      </c>
      <c r="F156" s="950" t="s">
        <v>847</v>
      </c>
      <c r="G156" s="950" t="s">
        <v>848</v>
      </c>
      <c r="H156" s="929"/>
      <c r="I156" s="929"/>
      <c r="J156" s="929"/>
      <c r="K156" s="929"/>
      <c r="L156" s="609" t="str">
        <f t="shared" si="1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si="9"/>
        <v>3-Passifs</v>
      </c>
      <c r="R156" s="609" t="str">
        <f t="shared" si="10"/>
        <v>2101</v>
      </c>
      <c r="S156" s="610">
        <f t="shared" si="11"/>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849</v>
      </c>
      <c r="B157" s="950" t="s">
        <v>850</v>
      </c>
      <c r="C157" s="952">
        <v>-1434674.44</v>
      </c>
      <c r="D157" s="952">
        <v>39066.93</v>
      </c>
      <c r="E157" s="952">
        <v>-1395607.51</v>
      </c>
      <c r="F157" s="950" t="s">
        <v>847</v>
      </c>
      <c r="G157" s="950" t="s">
        <v>850</v>
      </c>
      <c r="H157" s="929"/>
      <c r="I157" s="929"/>
      <c r="J157" s="929"/>
      <c r="K157" s="929"/>
      <c r="L157" s="609" t="str">
        <f t="shared" si="1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si="9"/>
        <v>3-Passifs</v>
      </c>
      <c r="R157" s="609" t="str">
        <f t="shared" si="10"/>
        <v>2103</v>
      </c>
      <c r="S157" s="610">
        <f t="shared" si="11"/>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3611</v>
      </c>
      <c r="B158" s="950" t="s">
        <v>3318</v>
      </c>
      <c r="C158" s="952">
        <v>0</v>
      </c>
      <c r="D158" s="952">
        <v>-10831.38</v>
      </c>
      <c r="E158" s="952">
        <v>-10831.38</v>
      </c>
      <c r="F158" s="950" t="s">
        <v>847</v>
      </c>
      <c r="G158" s="950" t="s">
        <v>3612</v>
      </c>
      <c r="H158" s="929"/>
      <c r="I158" s="929"/>
      <c r="J158" s="929"/>
      <c r="K158" s="929"/>
      <c r="L158" s="609" t="str">
        <f t="shared" si="1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si="9"/>
        <v>3-Passifs</v>
      </c>
      <c r="R158" s="609" t="str">
        <f t="shared" si="10"/>
        <v>210</v>
      </c>
      <c r="S158" s="610">
        <f t="shared" si="11"/>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3613</v>
      </c>
      <c r="B159" s="950" t="s">
        <v>3319</v>
      </c>
      <c r="C159" s="952">
        <v>0</v>
      </c>
      <c r="D159" s="952">
        <v>-7073.76</v>
      </c>
      <c r="E159" s="952">
        <v>-7073.76</v>
      </c>
      <c r="F159" s="950" t="s">
        <v>847</v>
      </c>
      <c r="G159" s="950" t="s">
        <v>3614</v>
      </c>
      <c r="H159" s="929"/>
      <c r="I159" s="929"/>
      <c r="J159" s="929"/>
      <c r="K159" s="929"/>
      <c r="L159" s="609" t="str">
        <f t="shared" si="1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si="9"/>
        <v>3-Passifs</v>
      </c>
      <c r="R159" s="609" t="str">
        <f t="shared" si="10"/>
        <v>211</v>
      </c>
      <c r="S159" s="610">
        <f t="shared" si="1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851</v>
      </c>
      <c r="B160" s="950" t="s">
        <v>852</v>
      </c>
      <c r="C160" s="952">
        <v>-15810</v>
      </c>
      <c r="D160" s="952">
        <v>0</v>
      </c>
      <c r="E160" s="952">
        <v>-15810</v>
      </c>
      <c r="F160" s="950" t="s">
        <v>847</v>
      </c>
      <c r="G160" s="950" t="s">
        <v>852</v>
      </c>
      <c r="H160" s="929"/>
      <c r="I160" s="930"/>
      <c r="J160" s="930"/>
      <c r="K160" s="930"/>
      <c r="L160" s="609" t="str">
        <f t="shared" si="1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si="9"/>
        <v>3-Passifs</v>
      </c>
      <c r="R160" s="609" t="str">
        <f t="shared" si="10"/>
        <v>2131</v>
      </c>
      <c r="S160" s="610">
        <f t="shared" si="11"/>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853</v>
      </c>
      <c r="B161" s="950" t="s">
        <v>854</v>
      </c>
      <c r="C161" s="952">
        <v>-143.55000000000001</v>
      </c>
      <c r="D161" s="952">
        <v>-84.68</v>
      </c>
      <c r="E161" s="952">
        <v>-228.23</v>
      </c>
      <c r="F161" s="950" t="s">
        <v>847</v>
      </c>
      <c r="G161" s="950" t="s">
        <v>854</v>
      </c>
      <c r="H161" s="607"/>
      <c r="I161" s="607"/>
      <c r="J161" s="607"/>
      <c r="K161" s="607"/>
      <c r="L161" s="609" t="str">
        <f t="shared" si="1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si="9"/>
        <v>3-Passifs</v>
      </c>
      <c r="R161" s="609" t="str">
        <f t="shared" si="10"/>
        <v>2220</v>
      </c>
      <c r="S161" s="610">
        <f t="shared" si="11"/>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855</v>
      </c>
      <c r="B162" s="950" t="s">
        <v>856</v>
      </c>
      <c r="C162" s="952">
        <v>-113015.09</v>
      </c>
      <c r="D162" s="952">
        <v>34143.129999999997</v>
      </c>
      <c r="E162" s="952">
        <v>-78871.960000000006</v>
      </c>
      <c r="F162" s="950" t="s">
        <v>847</v>
      </c>
      <c r="G162" s="950" t="s">
        <v>856</v>
      </c>
      <c r="H162" s="929"/>
      <c r="I162" s="929"/>
      <c r="J162" s="929"/>
      <c r="K162" s="929"/>
      <c r="L162" s="609" t="str">
        <f t="shared" si="1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si="9"/>
        <v>3-Passifs</v>
      </c>
      <c r="R162" s="609" t="str">
        <f t="shared" si="10"/>
        <v>2221</v>
      </c>
      <c r="S162" s="610">
        <f t="shared" si="11"/>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857</v>
      </c>
      <c r="B163" s="950" t="s">
        <v>1597</v>
      </c>
      <c r="C163" s="952">
        <v>66563.850000000006</v>
      </c>
      <c r="D163" s="952">
        <v>-11854.02</v>
      </c>
      <c r="E163" s="952">
        <v>54709.83</v>
      </c>
      <c r="F163" s="950" t="s">
        <v>847</v>
      </c>
      <c r="G163" s="950" t="s">
        <v>856</v>
      </c>
      <c r="H163" s="607"/>
      <c r="I163" s="607"/>
      <c r="J163" s="607"/>
      <c r="K163" s="607"/>
      <c r="L163" s="609" t="str">
        <f t="shared" si="1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si="9"/>
        <v>3-Passifs</v>
      </c>
      <c r="R163" s="609" t="str">
        <f t="shared" si="10"/>
        <v>2221</v>
      </c>
      <c r="S163" s="610">
        <f t="shared" si="11"/>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858</v>
      </c>
      <c r="B164" s="950" t="s">
        <v>859</v>
      </c>
      <c r="C164" s="952">
        <v>-379218</v>
      </c>
      <c r="D164" s="952">
        <v>203833.3</v>
      </c>
      <c r="E164" s="952">
        <v>-175384.7</v>
      </c>
      <c r="F164" s="950" t="s">
        <v>847</v>
      </c>
      <c r="G164" s="950" t="s">
        <v>859</v>
      </c>
      <c r="H164" s="929"/>
      <c r="I164" s="929"/>
      <c r="J164" s="929"/>
      <c r="K164" s="929"/>
      <c r="L164" s="609" t="str">
        <f t="shared" si="1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si="9"/>
        <v>3-Passifs</v>
      </c>
      <c r="R164" s="609" t="str">
        <f t="shared" si="10"/>
        <v>2223</v>
      </c>
      <c r="S164" s="610">
        <f t="shared" si="11"/>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860</v>
      </c>
      <c r="B165" s="950" t="s">
        <v>1602</v>
      </c>
      <c r="C165" s="952">
        <v>232868.88</v>
      </c>
      <c r="D165" s="952">
        <v>-124391.82</v>
      </c>
      <c r="E165" s="952">
        <v>108477.06</v>
      </c>
      <c r="F165" s="950" t="s">
        <v>847</v>
      </c>
      <c r="G165" s="950" t="s">
        <v>859</v>
      </c>
      <c r="H165" s="607"/>
      <c r="I165" s="608"/>
      <c r="J165" s="608"/>
      <c r="K165" s="608"/>
      <c r="L165" s="609" t="str">
        <f t="shared" si="1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si="9"/>
        <v>3-Passifs</v>
      </c>
      <c r="R165" s="609" t="str">
        <f t="shared" si="10"/>
        <v>2223</v>
      </c>
      <c r="S165" s="610">
        <f t="shared" si="11"/>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861</v>
      </c>
      <c r="B166" s="950" t="s">
        <v>1605</v>
      </c>
      <c r="C166" s="952">
        <v>-1464</v>
      </c>
      <c r="D166" s="952">
        <v>435</v>
      </c>
      <c r="E166" s="952">
        <v>-1029</v>
      </c>
      <c r="F166" s="950" t="s">
        <v>847</v>
      </c>
      <c r="G166" s="950" t="s">
        <v>856</v>
      </c>
      <c r="H166" s="929"/>
      <c r="I166" s="929"/>
      <c r="J166" s="929"/>
      <c r="K166" s="929"/>
      <c r="L166" s="609" t="str">
        <f t="shared" si="1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si="9"/>
        <v>3-Passifs</v>
      </c>
      <c r="R166" s="609" t="str">
        <f t="shared" si="10"/>
        <v>2221</v>
      </c>
      <c r="S166" s="610">
        <f t="shared" si="11"/>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862</v>
      </c>
      <c r="B167" s="950" t="s">
        <v>1608</v>
      </c>
      <c r="C167" s="952">
        <v>-116317.14</v>
      </c>
      <c r="D167" s="952">
        <v>49076.67</v>
      </c>
      <c r="E167" s="952">
        <v>-67240.47</v>
      </c>
      <c r="F167" s="950" t="s">
        <v>847</v>
      </c>
      <c r="G167" s="950" t="s">
        <v>863</v>
      </c>
      <c r="H167" s="607"/>
      <c r="I167" s="608"/>
      <c r="J167" s="608"/>
      <c r="K167" s="608"/>
      <c r="L167" s="609" t="str">
        <f t="shared" si="1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si="9"/>
        <v>3-Passifs</v>
      </c>
      <c r="R167" s="609" t="str">
        <f t="shared" si="10"/>
        <v>2283</v>
      </c>
      <c r="S167" s="610">
        <f t="shared" si="11"/>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864</v>
      </c>
      <c r="B168" s="950" t="s">
        <v>863</v>
      </c>
      <c r="C168" s="952">
        <v>-7750</v>
      </c>
      <c r="D168" s="952">
        <v>-610</v>
      </c>
      <c r="E168" s="952">
        <v>-8360</v>
      </c>
      <c r="F168" s="950" t="s">
        <v>847</v>
      </c>
      <c r="G168" s="950" t="s">
        <v>863</v>
      </c>
      <c r="H168" s="929"/>
      <c r="I168" s="929"/>
      <c r="J168" s="929"/>
      <c r="K168" s="929"/>
      <c r="L168" s="609" t="str">
        <f t="shared" si="1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si="9"/>
        <v>3-Passifs</v>
      </c>
      <c r="R168" s="609" t="str">
        <f t="shared" si="10"/>
        <v>2283</v>
      </c>
      <c r="S168" s="610">
        <f t="shared" si="11"/>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865</v>
      </c>
      <c r="B169" s="950" t="s">
        <v>1613</v>
      </c>
      <c r="C169" s="952">
        <v>-45115.67</v>
      </c>
      <c r="D169" s="952">
        <v>-6864.5</v>
      </c>
      <c r="E169" s="952">
        <v>-51980.17</v>
      </c>
      <c r="F169" s="950" t="s">
        <v>847</v>
      </c>
      <c r="G169" s="950" t="s">
        <v>863</v>
      </c>
      <c r="H169" s="607"/>
      <c r="I169" s="608"/>
      <c r="J169" s="608"/>
      <c r="K169" s="608"/>
      <c r="L169" s="609" t="str">
        <f t="shared" si="1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si="9"/>
        <v>3-Passifs</v>
      </c>
      <c r="R169" s="609" t="str">
        <f t="shared" si="10"/>
        <v>2283</v>
      </c>
      <c r="S169" s="610">
        <f t="shared" si="1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866</v>
      </c>
      <c r="B170" s="950" t="s">
        <v>1616</v>
      </c>
      <c r="C170" s="952">
        <v>-4058.7</v>
      </c>
      <c r="D170" s="952">
        <v>-2098.25</v>
      </c>
      <c r="E170" s="952">
        <v>-6156.95</v>
      </c>
      <c r="F170" s="950" t="s">
        <v>847</v>
      </c>
      <c r="G170" s="950" t="s">
        <v>863</v>
      </c>
      <c r="H170" s="929"/>
      <c r="I170" s="929"/>
      <c r="J170" s="929"/>
      <c r="K170" s="929"/>
      <c r="L170" s="609" t="str">
        <f t="shared" si="1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si="9"/>
        <v>3-Passifs</v>
      </c>
      <c r="R170" s="609" t="str">
        <f t="shared" si="10"/>
        <v>2283</v>
      </c>
      <c r="S170" s="610">
        <f t="shared" si="11"/>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867</v>
      </c>
      <c r="B171" s="950" t="s">
        <v>868</v>
      </c>
      <c r="C171" s="952">
        <v>-236298.28</v>
      </c>
      <c r="D171" s="952">
        <v>230775.03</v>
      </c>
      <c r="E171" s="952">
        <v>-5523.25</v>
      </c>
      <c r="F171" s="950" t="s">
        <v>847</v>
      </c>
      <c r="G171" s="950" t="s">
        <v>868</v>
      </c>
      <c r="H171" s="607"/>
      <c r="I171" s="608"/>
      <c r="J171" s="608"/>
      <c r="K171" s="608"/>
      <c r="L171" s="609" t="str">
        <f t="shared" si="1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si="9"/>
        <v>3-Passifs</v>
      </c>
      <c r="R171" s="609" t="str">
        <f t="shared" si="10"/>
        <v>2291</v>
      </c>
      <c r="S171" s="610">
        <f t="shared" si="11"/>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869</v>
      </c>
      <c r="B172" s="950" t="s">
        <v>1624</v>
      </c>
      <c r="C172" s="952">
        <v>0</v>
      </c>
      <c r="D172" s="952">
        <v>-28500</v>
      </c>
      <c r="E172" s="952">
        <v>-28500</v>
      </c>
      <c r="F172" s="950" t="s">
        <v>847</v>
      </c>
      <c r="G172" s="950" t="s">
        <v>868</v>
      </c>
      <c r="H172" s="929"/>
      <c r="I172" s="929"/>
      <c r="J172" s="929"/>
      <c r="K172" s="929"/>
      <c r="L172" s="609" t="str">
        <f t="shared" si="1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si="9"/>
        <v>3-Passifs</v>
      </c>
      <c r="R172" s="609" t="str">
        <f t="shared" si="10"/>
        <v>2291</v>
      </c>
      <c r="S172" s="610">
        <f t="shared" si="11"/>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870</v>
      </c>
      <c r="B173" s="950" t="s">
        <v>873</v>
      </c>
      <c r="C173" s="952">
        <v>-17639.5</v>
      </c>
      <c r="D173" s="952">
        <v>1793.38</v>
      </c>
      <c r="E173" s="952">
        <v>-15846.12</v>
      </c>
      <c r="F173" s="950" t="s">
        <v>847</v>
      </c>
      <c r="G173" s="950" t="s">
        <v>863</v>
      </c>
      <c r="H173" s="607"/>
      <c r="I173" s="608"/>
      <c r="J173" s="608"/>
      <c r="K173" s="608"/>
      <c r="L173" s="609" t="str">
        <f t="shared" si="1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si="9"/>
        <v>3-Passifs</v>
      </c>
      <c r="R173" s="609" t="str">
        <f t="shared" si="10"/>
        <v>2283</v>
      </c>
      <c r="S173" s="610">
        <f t="shared" si="11"/>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871</v>
      </c>
      <c r="B174" s="950" t="s">
        <v>3320</v>
      </c>
      <c r="C174" s="952">
        <v>-4911.46</v>
      </c>
      <c r="D174" s="952">
        <v>112.57</v>
      </c>
      <c r="E174" s="952">
        <v>-4798.8900000000003</v>
      </c>
      <c r="F174" s="950" t="s">
        <v>847</v>
      </c>
      <c r="G174" s="950" t="s">
        <v>863</v>
      </c>
      <c r="H174" s="929"/>
      <c r="I174" s="929"/>
      <c r="J174" s="929"/>
      <c r="K174" s="929"/>
      <c r="L174" s="609" t="str">
        <f t="shared" si="1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si="9"/>
        <v>3-Passifs</v>
      </c>
      <c r="R174" s="609" t="str">
        <f t="shared" si="10"/>
        <v>2283</v>
      </c>
      <c r="S174" s="610">
        <f t="shared" si="11"/>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872</v>
      </c>
      <c r="B175" s="950" t="s">
        <v>1629</v>
      </c>
      <c r="C175" s="952">
        <v>-536.32000000000005</v>
      </c>
      <c r="D175" s="952">
        <v>-163.53</v>
      </c>
      <c r="E175" s="952">
        <v>-699.85</v>
      </c>
      <c r="F175" s="950" t="s">
        <v>847</v>
      </c>
      <c r="G175" s="950" t="s">
        <v>873</v>
      </c>
      <c r="H175" s="607"/>
      <c r="I175" s="608"/>
      <c r="J175" s="608"/>
      <c r="K175" s="608"/>
      <c r="L175" s="609" t="str">
        <f t="shared" si="1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si="9"/>
        <v>3-Passifs</v>
      </c>
      <c r="R175" s="609" t="str">
        <f t="shared" si="10"/>
        <v>2293</v>
      </c>
      <c r="S175" s="610">
        <f t="shared" si="11"/>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874</v>
      </c>
      <c r="B176" s="950" t="s">
        <v>3321</v>
      </c>
      <c r="C176" s="952">
        <v>-102214.71</v>
      </c>
      <c r="D176" s="952">
        <v>9405.65</v>
      </c>
      <c r="E176" s="952">
        <v>-92809.06</v>
      </c>
      <c r="F176" s="950" t="s">
        <v>847</v>
      </c>
      <c r="G176" s="950" t="s">
        <v>868</v>
      </c>
      <c r="H176" s="929"/>
      <c r="I176" s="929"/>
      <c r="J176" s="929"/>
      <c r="K176" s="929"/>
      <c r="L176" s="609" t="str">
        <f t="shared" si="1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si="9"/>
        <v>3-Passifs</v>
      </c>
      <c r="R176" s="609" t="str">
        <f t="shared" si="10"/>
        <v>2291</v>
      </c>
      <c r="S176" s="610">
        <f t="shared" si="11"/>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875</v>
      </c>
      <c r="B177" s="950" t="s">
        <v>1632</v>
      </c>
      <c r="C177" s="952">
        <v>-29950</v>
      </c>
      <c r="D177" s="952">
        <v>-1250</v>
      </c>
      <c r="E177" s="952">
        <v>-31200</v>
      </c>
      <c r="F177" s="950" t="s">
        <v>847</v>
      </c>
      <c r="G177" s="950" t="s">
        <v>863</v>
      </c>
      <c r="H177" s="607"/>
      <c r="I177" s="608"/>
      <c r="J177" s="608"/>
      <c r="K177" s="608"/>
      <c r="L177" s="609" t="str">
        <f t="shared" si="1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si="9"/>
        <v>3-Passifs</v>
      </c>
      <c r="R177" s="609" t="str">
        <f t="shared" si="10"/>
        <v>2283</v>
      </c>
      <c r="S177" s="610">
        <f t="shared" si="11"/>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876</v>
      </c>
      <c r="B178" s="950" t="s">
        <v>877</v>
      </c>
      <c r="C178" s="952">
        <v>11626.69</v>
      </c>
      <c r="D178" s="952">
        <v>-796.17</v>
      </c>
      <c r="E178" s="952">
        <v>10830.52</v>
      </c>
      <c r="F178" s="950" t="s">
        <v>847</v>
      </c>
      <c r="G178" s="950" t="s">
        <v>877</v>
      </c>
      <c r="H178" s="929"/>
      <c r="I178" s="929"/>
      <c r="J178" s="929"/>
      <c r="K178" s="929"/>
      <c r="L178" s="609" t="str">
        <f t="shared" si="1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si="9"/>
        <v>3-Passifs</v>
      </c>
      <c r="R178" s="609" t="str">
        <f t="shared" si="10"/>
        <v>2315</v>
      </c>
      <c r="S178" s="610">
        <f t="shared" si="11"/>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878</v>
      </c>
      <c r="B179" s="950" t="s">
        <v>1640</v>
      </c>
      <c r="C179" s="952">
        <v>52.35</v>
      </c>
      <c r="D179" s="952">
        <v>0</v>
      </c>
      <c r="E179" s="952">
        <v>52.35</v>
      </c>
      <c r="F179" s="950" t="s">
        <v>847</v>
      </c>
      <c r="G179" s="950" t="s">
        <v>877</v>
      </c>
      <c r="H179" s="607"/>
      <c r="I179" s="608"/>
      <c r="J179" s="608"/>
      <c r="K179" s="608"/>
      <c r="L179" s="609" t="str">
        <f t="shared" si="1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si="9"/>
        <v>3-Passifs</v>
      </c>
      <c r="R179" s="609" t="str">
        <f t="shared" si="10"/>
        <v>2315</v>
      </c>
      <c r="S179" s="610">
        <f t="shared" si="1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879</v>
      </c>
      <c r="B180" s="950" t="s">
        <v>1646</v>
      </c>
      <c r="C180" s="952">
        <v>-25186.91</v>
      </c>
      <c r="D180" s="952">
        <v>-8075.32</v>
      </c>
      <c r="E180" s="952">
        <v>-33262.230000000003</v>
      </c>
      <c r="F180" s="950" t="s">
        <v>847</v>
      </c>
      <c r="G180" s="950" t="s">
        <v>877</v>
      </c>
      <c r="H180" s="929"/>
      <c r="I180" s="929"/>
      <c r="J180" s="929"/>
      <c r="K180" s="929"/>
      <c r="L180" s="609" t="str">
        <f t="shared" si="1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si="9"/>
        <v>3-Passifs</v>
      </c>
      <c r="R180" s="609" t="str">
        <f t="shared" si="10"/>
        <v>2315</v>
      </c>
      <c r="S180" s="610">
        <f t="shared" si="11"/>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880</v>
      </c>
      <c r="B181" s="950" t="s">
        <v>1649</v>
      </c>
      <c r="C181" s="952">
        <v>-609.5</v>
      </c>
      <c r="D181" s="952">
        <v>-86.82</v>
      </c>
      <c r="E181" s="952">
        <v>-696.32</v>
      </c>
      <c r="F181" s="950" t="s">
        <v>847</v>
      </c>
      <c r="G181" s="950" t="s">
        <v>877</v>
      </c>
      <c r="H181" s="607"/>
      <c r="I181" s="608"/>
      <c r="J181" s="608"/>
      <c r="K181" s="608"/>
      <c r="L181" s="609" t="str">
        <f t="shared" si="1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si="9"/>
        <v>3-Passifs</v>
      </c>
      <c r="R181" s="609" t="str">
        <f t="shared" si="10"/>
        <v>2315</v>
      </c>
      <c r="S181" s="610">
        <f t="shared" si="11"/>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881</v>
      </c>
      <c r="B182" s="950" t="s">
        <v>1652</v>
      </c>
      <c r="C182" s="952">
        <v>-1111.3800000000001</v>
      </c>
      <c r="D182" s="952">
        <v>-739.44</v>
      </c>
      <c r="E182" s="952">
        <v>-1850.82</v>
      </c>
      <c r="F182" s="950" t="s">
        <v>847</v>
      </c>
      <c r="G182" s="950" t="s">
        <v>877</v>
      </c>
      <c r="H182" s="929"/>
      <c r="I182" s="929"/>
      <c r="J182" s="929"/>
      <c r="K182" s="929"/>
      <c r="L182" s="609" t="str">
        <f t="shared" si="1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si="9"/>
        <v>3-Passifs</v>
      </c>
      <c r="R182" s="609" t="str">
        <f t="shared" si="10"/>
        <v>2315</v>
      </c>
      <c r="S182" s="610">
        <f t="shared" si="11"/>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882</v>
      </c>
      <c r="B183" s="950" t="s">
        <v>883</v>
      </c>
      <c r="C183" s="952">
        <v>-17020</v>
      </c>
      <c r="D183" s="952">
        <v>-11230</v>
      </c>
      <c r="E183" s="952">
        <v>-28250</v>
      </c>
      <c r="F183" s="950" t="s">
        <v>847</v>
      </c>
      <c r="G183" s="950" t="s">
        <v>883</v>
      </c>
      <c r="H183" s="607"/>
      <c r="I183" s="608"/>
      <c r="J183" s="608"/>
      <c r="K183" s="608"/>
      <c r="L183" s="609" t="str">
        <f t="shared" si="1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si="9"/>
        <v>3-Passifs</v>
      </c>
      <c r="R183" s="609" t="str">
        <f t="shared" si="10"/>
        <v>2401</v>
      </c>
      <c r="S183" s="610">
        <f t="shared" si="11"/>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884</v>
      </c>
      <c r="B184" s="950" t="s">
        <v>885</v>
      </c>
      <c r="C184" s="952">
        <v>-25676</v>
      </c>
      <c r="D184" s="952">
        <v>11626.25</v>
      </c>
      <c r="E184" s="952">
        <v>-14049.75</v>
      </c>
      <c r="F184" s="950" t="s">
        <v>847</v>
      </c>
      <c r="G184" s="950" t="s">
        <v>885</v>
      </c>
      <c r="H184" s="929"/>
      <c r="I184" s="929"/>
      <c r="J184" s="929"/>
      <c r="K184" s="929"/>
      <c r="L184" s="609" t="str">
        <f t="shared" si="1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si="9"/>
        <v>3-Passifs</v>
      </c>
      <c r="R184" s="609" t="str">
        <f t="shared" si="10"/>
        <v>2501</v>
      </c>
      <c r="S184" s="610">
        <f t="shared" si="11"/>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886</v>
      </c>
      <c r="B185" s="950" t="s">
        <v>3322</v>
      </c>
      <c r="C185" s="952">
        <v>-604.98</v>
      </c>
      <c r="D185" s="952">
        <v>781.92</v>
      </c>
      <c r="E185" s="952">
        <v>176.94</v>
      </c>
      <c r="F185" s="950" t="s">
        <v>847</v>
      </c>
      <c r="G185" s="950" t="s">
        <v>887</v>
      </c>
      <c r="H185" s="607"/>
      <c r="I185" s="608"/>
      <c r="J185" s="608"/>
      <c r="K185" s="608"/>
      <c r="L185" s="609" t="str">
        <f t="shared" si="1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si="9"/>
        <v>3-Passifs</v>
      </c>
      <c r="R185" s="609" t="str">
        <f t="shared" si="10"/>
        <v>250</v>
      </c>
      <c r="S185" s="610">
        <f t="shared" si="11"/>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888</v>
      </c>
      <c r="B186" s="950" t="s">
        <v>889</v>
      </c>
      <c r="C186" s="952">
        <v>-285463.46000000002</v>
      </c>
      <c r="D186" s="952">
        <v>-79669.59</v>
      </c>
      <c r="E186" s="952">
        <v>-365133.05</v>
      </c>
      <c r="F186" s="950" t="s">
        <v>847</v>
      </c>
      <c r="G186" s="950" t="s">
        <v>889</v>
      </c>
      <c r="H186" s="929"/>
      <c r="I186" s="929"/>
      <c r="J186" s="929"/>
      <c r="K186" s="929"/>
      <c r="L186" s="609" t="str">
        <f t="shared" si="1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si="9"/>
        <v>3-Passifs</v>
      </c>
      <c r="R186" s="609" t="str">
        <f t="shared" si="10"/>
        <v>2503</v>
      </c>
      <c r="S186" s="610">
        <f t="shared" si="11"/>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890</v>
      </c>
      <c r="B187" s="950" t="s">
        <v>1679</v>
      </c>
      <c r="C187" s="952">
        <v>-22211.24</v>
      </c>
      <c r="D187" s="952">
        <v>-8091.09</v>
      </c>
      <c r="E187" s="952">
        <v>-30302.33</v>
      </c>
      <c r="F187" s="950" t="s">
        <v>847</v>
      </c>
      <c r="G187" s="950" t="s">
        <v>889</v>
      </c>
      <c r="H187" s="607"/>
      <c r="I187" s="608"/>
      <c r="J187" s="608"/>
      <c r="K187" s="608"/>
      <c r="L187" s="609" t="str">
        <f t="shared" si="1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si="9"/>
        <v>3-Passifs</v>
      </c>
      <c r="R187" s="609" t="str">
        <f t="shared" si="10"/>
        <v>2503</v>
      </c>
      <c r="S187" s="610">
        <f t="shared" si="11"/>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891</v>
      </c>
      <c r="B188" s="950" t="s">
        <v>1685</v>
      </c>
      <c r="C188" s="952">
        <v>-203900.22</v>
      </c>
      <c r="D188" s="952">
        <v>-32741.200000000001</v>
      </c>
      <c r="E188" s="952">
        <v>-236641.42</v>
      </c>
      <c r="F188" s="950" t="s">
        <v>847</v>
      </c>
      <c r="G188" s="950" t="s">
        <v>889</v>
      </c>
      <c r="H188" s="929"/>
      <c r="I188" s="929"/>
      <c r="J188" s="929"/>
      <c r="K188" s="929"/>
      <c r="L188" s="609" t="str">
        <f t="shared" si="1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si="9"/>
        <v>3-Passifs</v>
      </c>
      <c r="R188" s="609" t="str">
        <f t="shared" si="10"/>
        <v>2503</v>
      </c>
      <c r="S188" s="610">
        <f t="shared" si="11"/>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892</v>
      </c>
      <c r="B189" s="950" t="s">
        <v>1688</v>
      </c>
      <c r="C189" s="952">
        <v>10294.98</v>
      </c>
      <c r="D189" s="952">
        <v>14306.85</v>
      </c>
      <c r="E189" s="952">
        <v>24601.83</v>
      </c>
      <c r="F189" s="950" t="s">
        <v>847</v>
      </c>
      <c r="G189" s="950" t="s">
        <v>889</v>
      </c>
      <c r="H189" s="929"/>
      <c r="I189" s="930"/>
      <c r="J189" s="930"/>
      <c r="K189" s="930"/>
      <c r="L189" s="609" t="str">
        <f t="shared" si="1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si="9"/>
        <v>3-Passifs</v>
      </c>
      <c r="R189" s="609" t="str">
        <f t="shared" si="10"/>
        <v>2503</v>
      </c>
      <c r="S189" s="610">
        <f t="shared" si="1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893</v>
      </c>
      <c r="B190" s="950" t="s">
        <v>894</v>
      </c>
      <c r="C190" s="952">
        <v>-80283</v>
      </c>
      <c r="D190" s="952">
        <v>18048</v>
      </c>
      <c r="E190" s="952">
        <v>-62235</v>
      </c>
      <c r="F190" s="950" t="s">
        <v>847</v>
      </c>
      <c r="G190" s="950" t="s">
        <v>894</v>
      </c>
      <c r="H190" s="607"/>
      <c r="I190" s="607"/>
      <c r="J190" s="607"/>
      <c r="K190" s="607"/>
      <c r="L190" s="609" t="str">
        <f t="shared" si="1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si="9"/>
        <v>3-Passifs</v>
      </c>
      <c r="R190" s="609" t="str">
        <f t="shared" si="10"/>
        <v>2561</v>
      </c>
      <c r="S190" s="610">
        <f t="shared" si="11"/>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895</v>
      </c>
      <c r="B191" s="950" t="s">
        <v>3323</v>
      </c>
      <c r="C191" s="952">
        <v>-242566.15</v>
      </c>
      <c r="D191" s="952">
        <v>0</v>
      </c>
      <c r="E191" s="952">
        <v>-242566.15</v>
      </c>
      <c r="F191" s="950" t="s">
        <v>847</v>
      </c>
      <c r="G191" s="950" t="s">
        <v>896</v>
      </c>
      <c r="H191" s="929"/>
      <c r="I191" s="930"/>
      <c r="J191" s="930"/>
      <c r="K191" s="930"/>
      <c r="L191" s="609" t="str">
        <f t="shared" si="1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si="9"/>
        <v>3-Passifs</v>
      </c>
      <c r="R191" s="609" t="str">
        <f t="shared" si="10"/>
        <v>256</v>
      </c>
      <c r="S191" s="610">
        <f t="shared" si="11"/>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897</v>
      </c>
      <c r="B192" s="950" t="s">
        <v>898</v>
      </c>
      <c r="C192" s="952">
        <v>2143.75</v>
      </c>
      <c r="D192" s="952">
        <v>1317.5</v>
      </c>
      <c r="E192" s="952">
        <v>3461.25</v>
      </c>
      <c r="F192" s="950" t="s">
        <v>847</v>
      </c>
      <c r="G192" s="950" t="s">
        <v>898</v>
      </c>
      <c r="H192" s="607"/>
      <c r="I192" s="607"/>
      <c r="J192" s="607"/>
      <c r="K192" s="607"/>
      <c r="L192" s="609" t="str">
        <f t="shared" si="1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si="9"/>
        <v>3-Passifs</v>
      </c>
      <c r="R192" s="609" t="str">
        <f t="shared" si="10"/>
        <v>2801</v>
      </c>
      <c r="S192" s="610">
        <f t="shared" si="11"/>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899</v>
      </c>
      <c r="B193" s="950" t="s">
        <v>900</v>
      </c>
      <c r="C193" s="952">
        <v>-19122.599999999999</v>
      </c>
      <c r="D193" s="952">
        <v>0</v>
      </c>
      <c r="E193" s="952">
        <v>-19122.599999999999</v>
      </c>
      <c r="F193" s="950" t="s">
        <v>847</v>
      </c>
      <c r="G193" s="950" t="s">
        <v>900</v>
      </c>
      <c r="H193" s="929"/>
      <c r="I193" s="930"/>
      <c r="J193" s="930"/>
      <c r="K193" s="930"/>
      <c r="L193" s="609" t="str">
        <f t="shared" si="1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si="9"/>
        <v>3-Passifs</v>
      </c>
      <c r="R193" s="609" t="str">
        <f t="shared" si="10"/>
        <v>2901</v>
      </c>
      <c r="S193" s="610">
        <f t="shared" si="11"/>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901</v>
      </c>
      <c r="B194" s="950" t="s">
        <v>903</v>
      </c>
      <c r="C194" s="952">
        <v>-2350000</v>
      </c>
      <c r="D194" s="952">
        <v>0</v>
      </c>
      <c r="E194" s="952">
        <v>-2350000</v>
      </c>
      <c r="F194" s="950" t="s">
        <v>902</v>
      </c>
      <c r="G194" s="950" t="s">
        <v>903</v>
      </c>
      <c r="H194" s="607"/>
      <c r="I194" s="607"/>
      <c r="J194" s="607"/>
      <c r="K194" s="607"/>
      <c r="L194" s="609" t="str">
        <f t="shared" si="1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Q257" si="13">+F194</f>
        <v>4-Valeur nette</v>
      </c>
      <c r="R194" s="609" t="str">
        <f t="shared" ref="R194:R257" si="14">+G194</f>
        <v>3001</v>
      </c>
      <c r="S194" s="610">
        <f t="shared" ref="S194:S257" si="15">+H194</f>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904</v>
      </c>
      <c r="B195" s="950" t="s">
        <v>1713</v>
      </c>
      <c r="C195" s="952">
        <v>-1723617</v>
      </c>
      <c r="D195" s="952">
        <v>0</v>
      </c>
      <c r="E195" s="952">
        <v>-1723617</v>
      </c>
      <c r="F195" s="950" t="s">
        <v>902</v>
      </c>
      <c r="G195" s="950" t="s">
        <v>903</v>
      </c>
      <c r="H195" s="929"/>
      <c r="I195" s="930"/>
      <c r="J195" s="930"/>
      <c r="K195" s="930"/>
      <c r="L195" s="609" t="str">
        <f t="shared" ref="L195:L258" si="16">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si="13"/>
        <v>4-Valeur nette</v>
      </c>
      <c r="R195" s="609" t="str">
        <f t="shared" si="14"/>
        <v>3001</v>
      </c>
      <c r="S195" s="610">
        <f t="shared" si="15"/>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905</v>
      </c>
      <c r="B196" s="950" t="s">
        <v>1716</v>
      </c>
      <c r="C196" s="952">
        <v>-347547.5</v>
      </c>
      <c r="D196" s="952">
        <v>0</v>
      </c>
      <c r="E196" s="952">
        <v>-347547.5</v>
      </c>
      <c r="F196" s="950" t="s">
        <v>902</v>
      </c>
      <c r="G196" s="950" t="s">
        <v>903</v>
      </c>
      <c r="H196" s="607"/>
      <c r="I196" s="607"/>
      <c r="J196" s="607"/>
      <c r="K196" s="607"/>
      <c r="L196" s="609" t="str">
        <f t="shared" si="16"/>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si="13"/>
        <v>4-Valeur nette</v>
      </c>
      <c r="R196" s="609" t="str">
        <f t="shared" si="14"/>
        <v>3001</v>
      </c>
      <c r="S196" s="610">
        <f t="shared" si="15"/>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906</v>
      </c>
      <c r="B197" s="950" t="s">
        <v>1740</v>
      </c>
      <c r="C197" s="952">
        <v>-3068758.8</v>
      </c>
      <c r="D197" s="952">
        <v>0</v>
      </c>
      <c r="E197" s="952">
        <v>-3068758.8</v>
      </c>
      <c r="F197" s="950" t="s">
        <v>902</v>
      </c>
      <c r="G197" s="950" t="s">
        <v>903</v>
      </c>
      <c r="H197" s="929"/>
      <c r="I197" s="930"/>
      <c r="J197" s="930"/>
      <c r="K197" s="930"/>
      <c r="L197" s="609" t="str">
        <f t="shared" si="16"/>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si="13"/>
        <v>4-Valeur nette</v>
      </c>
      <c r="R197" s="609" t="str">
        <f t="shared" si="14"/>
        <v>3001</v>
      </c>
      <c r="S197" s="610">
        <f t="shared" si="15"/>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907</v>
      </c>
      <c r="B198" s="950" t="s">
        <v>909</v>
      </c>
      <c r="C198" s="952">
        <v>-4072416.36</v>
      </c>
      <c r="D198" s="952">
        <v>-157823.97</v>
      </c>
      <c r="E198" s="952">
        <v>-4230240.33</v>
      </c>
      <c r="F198" s="950" t="s">
        <v>908</v>
      </c>
      <c r="G198" s="950" t="s">
        <v>909</v>
      </c>
      <c r="H198" s="607"/>
      <c r="I198" s="607"/>
      <c r="J198" s="607"/>
      <c r="K198" s="607"/>
      <c r="L198" s="609" t="str">
        <f t="shared" si="16"/>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si="13"/>
        <v>5-Ventes</v>
      </c>
      <c r="R198" s="609" t="str">
        <f t="shared" si="14"/>
        <v>4100</v>
      </c>
      <c r="S198" s="610">
        <f t="shared" si="15"/>
        <v>0</v>
      </c>
      <c r="T198" s="612" t="str">
        <f>+VLOOKUP($L198,Data_Validation!$A:$D,1,0)</f>
        <v>4100</v>
      </c>
      <c r="U198" s="612" t="str">
        <f>+VLOOKUP($L198,Data_Validation!$A:$D,3,0)</f>
        <v>Véhicules usagés</v>
      </c>
      <c r="V198" s="612" t="str">
        <f>+VLOOKUP($L198,Data_Validation!$A:$D,4,0)</f>
        <v>Rachat bail</v>
      </c>
      <c r="W198" s="612" t="str">
        <f>+VLOOKUP($L198,Data_Validation!$A:$E,5,0)</f>
        <v>$</v>
      </c>
      <c r="X198" s="612" t="str">
        <f>+VLOOKUP($L198,Data_Validation!$A:$F,6,0)</f>
        <v>Oui</v>
      </c>
    </row>
    <row r="199" spans="1:24" ht="15.75" customHeight="1">
      <c r="A199" s="950" t="s">
        <v>912</v>
      </c>
      <c r="B199" s="950" t="s">
        <v>913</v>
      </c>
      <c r="C199" s="952">
        <v>-343139.26</v>
      </c>
      <c r="D199" s="952">
        <v>0</v>
      </c>
      <c r="E199" s="952">
        <v>-343139.26</v>
      </c>
      <c r="F199" s="950" t="s">
        <v>908</v>
      </c>
      <c r="G199" s="950" t="s">
        <v>913</v>
      </c>
      <c r="H199" s="929"/>
      <c r="I199" s="930"/>
      <c r="J199" s="930"/>
      <c r="K199" s="930"/>
      <c r="L199" s="609" t="str">
        <f t="shared" si="16"/>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si="13"/>
        <v>5-Ventes</v>
      </c>
      <c r="R199" s="609" t="str">
        <f t="shared" si="14"/>
        <v>4109</v>
      </c>
      <c r="S199" s="610">
        <f t="shared" si="15"/>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916</v>
      </c>
      <c r="B200" s="950" t="s">
        <v>917</v>
      </c>
      <c r="C200" s="952">
        <v>-1504563.89</v>
      </c>
      <c r="D200" s="952">
        <v>-209692.07</v>
      </c>
      <c r="E200" s="952">
        <v>-1714255.96</v>
      </c>
      <c r="F200" s="950" t="s">
        <v>908</v>
      </c>
      <c r="G200" s="950" t="s">
        <v>917</v>
      </c>
      <c r="H200" s="607"/>
      <c r="I200" s="607"/>
      <c r="J200" s="607"/>
      <c r="K200" s="626"/>
      <c r="L200" s="609" t="str">
        <f t="shared" si="16"/>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si="13"/>
        <v>5-Ventes</v>
      </c>
      <c r="R200" s="609" t="str">
        <f t="shared" si="14"/>
        <v>4111</v>
      </c>
      <c r="S200" s="610">
        <f t="shared" si="15"/>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919</v>
      </c>
      <c r="B201" s="950" t="s">
        <v>3324</v>
      </c>
      <c r="C201" s="952">
        <v>-3841289.47</v>
      </c>
      <c r="D201" s="952">
        <v>-76944.42</v>
      </c>
      <c r="E201" s="952">
        <v>-3918233.89</v>
      </c>
      <c r="F201" s="950" t="s">
        <v>908</v>
      </c>
      <c r="G201" s="950" t="s">
        <v>920</v>
      </c>
      <c r="H201" s="929"/>
      <c r="I201" s="930"/>
      <c r="J201" s="930"/>
      <c r="K201" s="930"/>
      <c r="L201" s="609" t="str">
        <f t="shared" si="16"/>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si="13"/>
        <v>5-Ventes</v>
      </c>
      <c r="R201" s="609" t="str">
        <f t="shared" si="14"/>
        <v>4117</v>
      </c>
      <c r="S201" s="610">
        <f t="shared" si="15"/>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924</v>
      </c>
      <c r="B202" s="950" t="s">
        <v>925</v>
      </c>
      <c r="C202" s="952">
        <v>-3882401.56</v>
      </c>
      <c r="D202" s="952">
        <v>-120161.91</v>
      </c>
      <c r="E202" s="952">
        <v>-4002563.47</v>
      </c>
      <c r="F202" s="950" t="s">
        <v>908</v>
      </c>
      <c r="G202" s="950" t="s">
        <v>925</v>
      </c>
      <c r="H202" s="607"/>
      <c r="I202" s="607"/>
      <c r="J202" s="607"/>
      <c r="K202" s="626"/>
      <c r="L202" s="609" t="str">
        <f t="shared" si="16"/>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si="13"/>
        <v>5-Ventes</v>
      </c>
      <c r="R202" s="609" t="str">
        <f t="shared" si="14"/>
        <v>4119</v>
      </c>
      <c r="S202" s="610">
        <f t="shared" si="1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928</v>
      </c>
      <c r="B203" s="950" t="s">
        <v>3293</v>
      </c>
      <c r="C203" s="952">
        <v>-136159.35</v>
      </c>
      <c r="D203" s="952">
        <v>0</v>
      </c>
      <c r="E203" s="952">
        <v>-136159.35</v>
      </c>
      <c r="F203" s="950" t="s">
        <v>908</v>
      </c>
      <c r="G203" s="950" t="s">
        <v>3293</v>
      </c>
      <c r="H203" s="929"/>
      <c r="I203" s="930"/>
      <c r="J203" s="930"/>
      <c r="K203" s="930"/>
      <c r="L203" s="609" t="str">
        <f t="shared" si="16"/>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si="13"/>
        <v>5-Ventes</v>
      </c>
      <c r="R203" s="609" t="str">
        <f t="shared" si="14"/>
        <v>4121</v>
      </c>
      <c r="S203" s="610">
        <f t="shared" si="15"/>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931</v>
      </c>
      <c r="B204" s="950" t="s">
        <v>932</v>
      </c>
      <c r="C204" s="952">
        <v>-745869.72</v>
      </c>
      <c r="D204" s="952">
        <v>0</v>
      </c>
      <c r="E204" s="952">
        <v>-745869.72</v>
      </c>
      <c r="F204" s="950" t="s">
        <v>908</v>
      </c>
      <c r="G204" s="950" t="s">
        <v>932</v>
      </c>
      <c r="H204" s="607"/>
      <c r="I204" s="607"/>
      <c r="J204" s="607"/>
      <c r="K204" s="607"/>
      <c r="L204" s="609" t="str">
        <f t="shared" si="16"/>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si="13"/>
        <v>5-Ventes</v>
      </c>
      <c r="R204" s="609" t="str">
        <f t="shared" si="14"/>
        <v>4127</v>
      </c>
      <c r="S204" s="610">
        <f t="shared" si="15"/>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935</v>
      </c>
      <c r="B205" s="950" t="s">
        <v>936</v>
      </c>
      <c r="C205" s="952">
        <v>-7675601.3700000001</v>
      </c>
      <c r="D205" s="952">
        <v>-1052891.29</v>
      </c>
      <c r="E205" s="952">
        <v>-8728492.6600000001</v>
      </c>
      <c r="F205" s="950" t="s">
        <v>908</v>
      </c>
      <c r="G205" s="950" t="s">
        <v>936</v>
      </c>
      <c r="H205" s="929"/>
      <c r="I205" s="930"/>
      <c r="J205" s="930"/>
      <c r="K205" s="930"/>
      <c r="L205" s="609" t="str">
        <f t="shared" si="16"/>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si="13"/>
        <v>5-Ventes</v>
      </c>
      <c r="R205" s="609" t="str">
        <f t="shared" si="14"/>
        <v>4131</v>
      </c>
      <c r="S205" s="610">
        <f t="shared" si="15"/>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939</v>
      </c>
      <c r="B206" s="950" t="s">
        <v>940</v>
      </c>
      <c r="C206" s="952">
        <v>-648565.75</v>
      </c>
      <c r="D206" s="952">
        <v>0</v>
      </c>
      <c r="E206" s="952">
        <v>-648565.75</v>
      </c>
      <c r="F206" s="950" t="s">
        <v>908</v>
      </c>
      <c r="G206" s="950" t="s">
        <v>940</v>
      </c>
      <c r="H206" s="607"/>
      <c r="I206" s="607"/>
      <c r="J206" s="607"/>
      <c r="K206" s="607"/>
      <c r="L206" s="609" t="str">
        <f t="shared" si="16"/>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si="13"/>
        <v>5-Ventes</v>
      </c>
      <c r="R206" s="609" t="str">
        <f t="shared" si="14"/>
        <v>4137</v>
      </c>
      <c r="S206" s="610">
        <f t="shared" si="15"/>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943</v>
      </c>
      <c r="B207" s="950" t="s">
        <v>944</v>
      </c>
      <c r="C207" s="952">
        <v>-1634702.63</v>
      </c>
      <c r="D207" s="952">
        <v>-100957.09</v>
      </c>
      <c r="E207" s="952">
        <v>-1735659.72</v>
      </c>
      <c r="F207" s="950" t="s">
        <v>908</v>
      </c>
      <c r="G207" s="950" t="s">
        <v>944</v>
      </c>
      <c r="H207" s="929"/>
      <c r="I207" s="930"/>
      <c r="J207" s="930"/>
      <c r="K207" s="930"/>
      <c r="L207" s="609" t="str">
        <f t="shared" si="16"/>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si="13"/>
        <v>5-Ventes</v>
      </c>
      <c r="R207" s="609" t="str">
        <f t="shared" si="14"/>
        <v>4139</v>
      </c>
      <c r="S207" s="610">
        <f t="shared" si="15"/>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947</v>
      </c>
      <c r="B208" s="950" t="s">
        <v>3325</v>
      </c>
      <c r="C208" s="952">
        <v>-696802.81</v>
      </c>
      <c r="D208" s="952">
        <v>0</v>
      </c>
      <c r="E208" s="952">
        <v>-696802.81</v>
      </c>
      <c r="F208" s="950" t="s">
        <v>908</v>
      </c>
      <c r="G208" s="950" t="s">
        <v>948</v>
      </c>
      <c r="H208" s="607"/>
      <c r="I208" s="607"/>
      <c r="J208" s="607"/>
      <c r="K208" s="626"/>
      <c r="L208" s="609" t="str">
        <f t="shared" si="16"/>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si="13"/>
        <v>5-Ventes</v>
      </c>
      <c r="R208" s="609" t="str">
        <f t="shared" si="14"/>
        <v>414</v>
      </c>
      <c r="S208" s="610">
        <f t="shared" si="15"/>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951</v>
      </c>
      <c r="B209" s="950" t="s">
        <v>952</v>
      </c>
      <c r="C209" s="952">
        <v>-9637209.8800000008</v>
      </c>
      <c r="D209" s="952">
        <v>-594776</v>
      </c>
      <c r="E209" s="952">
        <v>-10231985.880000001</v>
      </c>
      <c r="F209" s="950" t="s">
        <v>908</v>
      </c>
      <c r="G209" s="950" t="s">
        <v>952</v>
      </c>
      <c r="H209" s="929"/>
      <c r="I209" s="930"/>
      <c r="J209" s="930"/>
      <c r="K209" s="930"/>
      <c r="L209" s="609" t="str">
        <f t="shared" si="16"/>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si="13"/>
        <v>5-Ventes</v>
      </c>
      <c r="R209" s="609" t="str">
        <f t="shared" si="14"/>
        <v>4201</v>
      </c>
      <c r="S209" s="610">
        <f t="shared" si="15"/>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955</v>
      </c>
      <c r="B210" s="950" t="s">
        <v>956</v>
      </c>
      <c r="C210" s="952">
        <v>0</v>
      </c>
      <c r="D210" s="952">
        <v>-22197</v>
      </c>
      <c r="E210" s="952">
        <v>-22197</v>
      </c>
      <c r="F210" s="950" t="s">
        <v>908</v>
      </c>
      <c r="G210" s="950" t="s">
        <v>956</v>
      </c>
      <c r="H210" s="929"/>
      <c r="I210" s="931"/>
      <c r="J210" s="929"/>
      <c r="K210" s="931"/>
      <c r="L210" s="609" t="str">
        <f t="shared" si="16"/>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si="13"/>
        <v>5-Ventes</v>
      </c>
      <c r="R210" s="609" t="str">
        <f t="shared" si="14"/>
        <v>4211</v>
      </c>
      <c r="S210" s="610">
        <f t="shared" si="15"/>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959</v>
      </c>
      <c r="B211" s="950" t="s">
        <v>1878</v>
      </c>
      <c r="C211" s="952">
        <v>-184645</v>
      </c>
      <c r="D211" s="952">
        <v>0</v>
      </c>
      <c r="E211" s="952">
        <v>-184645</v>
      </c>
      <c r="F211" s="950" t="s">
        <v>908</v>
      </c>
      <c r="G211" s="950" t="s">
        <v>960</v>
      </c>
      <c r="H211" s="607"/>
      <c r="I211" s="608"/>
      <c r="J211" s="608"/>
      <c r="K211" s="608"/>
      <c r="L211" s="609" t="str">
        <f t="shared" si="16"/>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si="13"/>
        <v>5-Ventes</v>
      </c>
      <c r="R211" s="609" t="str">
        <f t="shared" si="14"/>
        <v>4261</v>
      </c>
      <c r="S211" s="610">
        <f t="shared" si="15"/>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963</v>
      </c>
      <c r="B212" s="950" t="s">
        <v>1887</v>
      </c>
      <c r="C212" s="952">
        <v>-5759812</v>
      </c>
      <c r="D212" s="952">
        <v>-557925</v>
      </c>
      <c r="E212" s="952">
        <v>-6317737</v>
      </c>
      <c r="F212" s="950" t="s">
        <v>908</v>
      </c>
      <c r="G212" s="950" t="s">
        <v>964</v>
      </c>
      <c r="H212" s="929"/>
      <c r="I212" s="929"/>
      <c r="J212" s="929"/>
      <c r="K212" s="929"/>
      <c r="L212" s="609" t="str">
        <f t="shared" si="16"/>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si="13"/>
        <v>5-Ventes</v>
      </c>
      <c r="R212" s="609" t="str">
        <f t="shared" si="14"/>
        <v>4281</v>
      </c>
      <c r="S212" s="610">
        <f t="shared" si="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3615</v>
      </c>
      <c r="B213" s="950" t="s">
        <v>968</v>
      </c>
      <c r="C213" s="952">
        <v>-1507998.11</v>
      </c>
      <c r="D213" s="952">
        <v>-117635.87</v>
      </c>
      <c r="E213" s="952">
        <v>-1625633.98</v>
      </c>
      <c r="F213" s="950" t="s">
        <v>908</v>
      </c>
      <c r="G213" s="950" t="s">
        <v>968</v>
      </c>
      <c r="H213" s="607"/>
      <c r="I213" s="608"/>
      <c r="J213" s="608"/>
      <c r="K213" s="608"/>
      <c r="L213" s="609" t="str">
        <f t="shared" si="16"/>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si="13"/>
        <v>5-Ventes</v>
      </c>
      <c r="R213" s="609" t="str">
        <f t="shared" si="14"/>
        <v>4401</v>
      </c>
      <c r="S213" s="610">
        <f t="shared" si="15"/>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970</v>
      </c>
      <c r="B214" s="950" t="s">
        <v>971</v>
      </c>
      <c r="C214" s="952">
        <v>-8450.01</v>
      </c>
      <c r="D214" s="952">
        <v>-14.55</v>
      </c>
      <c r="E214" s="952">
        <v>-8464.56</v>
      </c>
      <c r="F214" s="950" t="s">
        <v>908</v>
      </c>
      <c r="G214" s="950" t="s">
        <v>971</v>
      </c>
      <c r="H214" s="929"/>
      <c r="I214" s="929"/>
      <c r="J214" s="929"/>
      <c r="K214" s="929"/>
      <c r="L214" s="609" t="str">
        <f t="shared" si="16"/>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si="13"/>
        <v>5-Ventes</v>
      </c>
      <c r="R214" s="609" t="str">
        <f t="shared" si="14"/>
        <v>4402</v>
      </c>
      <c r="S214" s="610">
        <f t="shared" si="15"/>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3616</v>
      </c>
      <c r="B215" s="950" t="s">
        <v>973</v>
      </c>
      <c r="C215" s="952">
        <v>-449305.62</v>
      </c>
      <c r="D215" s="952">
        <v>-32607.37</v>
      </c>
      <c r="E215" s="952">
        <v>-481912.99</v>
      </c>
      <c r="F215" s="950" t="s">
        <v>908</v>
      </c>
      <c r="G215" s="950" t="s">
        <v>973</v>
      </c>
      <c r="H215" s="929"/>
      <c r="I215" s="930"/>
      <c r="J215" s="930"/>
      <c r="K215" s="930"/>
      <c r="L215" s="609" t="str">
        <f t="shared" si="16"/>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si="13"/>
        <v>5-Ventes</v>
      </c>
      <c r="R215" s="609" t="str">
        <f t="shared" si="14"/>
        <v>4403</v>
      </c>
      <c r="S215" s="610">
        <f t="shared" si="15"/>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3617</v>
      </c>
      <c r="B216" s="950" t="s">
        <v>976</v>
      </c>
      <c r="C216" s="952">
        <v>-522640.16</v>
      </c>
      <c r="D216" s="952">
        <v>-42675.5</v>
      </c>
      <c r="E216" s="952">
        <v>-565315.66</v>
      </c>
      <c r="F216" s="950" t="s">
        <v>908</v>
      </c>
      <c r="G216" s="950" t="s">
        <v>976</v>
      </c>
      <c r="H216" s="607"/>
      <c r="I216" s="626"/>
      <c r="J216" s="607"/>
      <c r="K216" s="626"/>
      <c r="L216" s="609" t="str">
        <f t="shared" si="16"/>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si="13"/>
        <v>5-Ventes</v>
      </c>
      <c r="R216" s="609" t="str">
        <f t="shared" si="14"/>
        <v>4405</v>
      </c>
      <c r="S216" s="610">
        <f t="shared" si="15"/>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978</v>
      </c>
      <c r="B217" s="950" t="s">
        <v>1919</v>
      </c>
      <c r="C217" s="952">
        <v>-270764.46999999997</v>
      </c>
      <c r="D217" s="952">
        <v>-18177.72</v>
      </c>
      <c r="E217" s="952">
        <v>-288942.19</v>
      </c>
      <c r="F217" s="950" t="s">
        <v>908</v>
      </c>
      <c r="G217" s="950" t="s">
        <v>979</v>
      </c>
      <c r="H217" s="929"/>
      <c r="I217" s="930"/>
      <c r="J217" s="930"/>
      <c r="K217" s="930"/>
      <c r="L217" s="609" t="str">
        <f t="shared" si="16"/>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si="13"/>
        <v>5-Ventes</v>
      </c>
      <c r="R217" s="609" t="str">
        <f t="shared" si="14"/>
        <v>4782</v>
      </c>
      <c r="S217" s="610">
        <f t="shared" si="15"/>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981</v>
      </c>
      <c r="B218" s="950" t="s">
        <v>982</v>
      </c>
      <c r="C218" s="952">
        <v>-20976.89</v>
      </c>
      <c r="D218" s="952">
        <v>-3116.04</v>
      </c>
      <c r="E218" s="952">
        <v>-24092.93</v>
      </c>
      <c r="F218" s="950" t="s">
        <v>908</v>
      </c>
      <c r="G218" s="950" t="s">
        <v>982</v>
      </c>
      <c r="H218" s="607"/>
      <c r="I218" s="626"/>
      <c r="J218" s="607"/>
      <c r="K218" s="626"/>
      <c r="L218" s="609" t="str">
        <f t="shared" si="16"/>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si="13"/>
        <v>5-Ventes</v>
      </c>
      <c r="R218" s="609" t="str">
        <f t="shared" si="14"/>
        <v>4491</v>
      </c>
      <c r="S218" s="610">
        <f t="shared" si="15"/>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984</v>
      </c>
      <c r="B219" s="950" t="s">
        <v>985</v>
      </c>
      <c r="C219" s="952">
        <v>-16378.54</v>
      </c>
      <c r="D219" s="952">
        <v>-5120.8999999999996</v>
      </c>
      <c r="E219" s="952">
        <v>-21499.439999999999</v>
      </c>
      <c r="F219" s="950" t="s">
        <v>908</v>
      </c>
      <c r="G219" s="950" t="s">
        <v>985</v>
      </c>
      <c r="H219" s="929"/>
      <c r="I219" s="930"/>
      <c r="J219" s="930"/>
      <c r="K219" s="930"/>
      <c r="L219" s="609" t="str">
        <f t="shared" si="16"/>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si="13"/>
        <v>5-Ventes</v>
      </c>
      <c r="R219" s="609" t="str">
        <f t="shared" si="14"/>
        <v>4493</v>
      </c>
      <c r="S219" s="610">
        <f t="shared" si="15"/>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988</v>
      </c>
      <c r="B220" s="950" t="s">
        <v>989</v>
      </c>
      <c r="C220" s="952">
        <v>-224279.54</v>
      </c>
      <c r="D220" s="952">
        <v>-12324.22</v>
      </c>
      <c r="E220" s="952">
        <v>-236603.76</v>
      </c>
      <c r="F220" s="950" t="s">
        <v>908</v>
      </c>
      <c r="G220" s="950" t="s">
        <v>989</v>
      </c>
      <c r="H220" s="607"/>
      <c r="I220" s="607"/>
      <c r="J220" s="607"/>
      <c r="K220" s="607"/>
      <c r="L220" s="609" t="str">
        <f t="shared" si="16"/>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si="13"/>
        <v>5-Ventes</v>
      </c>
      <c r="R220" s="609" t="str">
        <f t="shared" si="14"/>
        <v>4495</v>
      </c>
      <c r="S220" s="610">
        <f t="shared" si="15"/>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992</v>
      </c>
      <c r="B221" s="950" t="s">
        <v>3278</v>
      </c>
      <c r="C221" s="952">
        <v>-5600</v>
      </c>
      <c r="D221" s="952">
        <v>0</v>
      </c>
      <c r="E221" s="952">
        <v>-5600</v>
      </c>
      <c r="F221" s="950" t="s">
        <v>908</v>
      </c>
      <c r="G221" s="950" t="s">
        <v>3278</v>
      </c>
      <c r="H221" s="929"/>
      <c r="I221" s="930"/>
      <c r="J221" s="930"/>
      <c r="K221" s="930"/>
      <c r="L221" s="609" t="str">
        <f t="shared" si="16"/>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si="13"/>
        <v>5-Ventes</v>
      </c>
      <c r="R221" s="609" t="str">
        <f t="shared" si="14"/>
        <v>4503</v>
      </c>
      <c r="S221" s="610">
        <f t="shared" si="15"/>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995</v>
      </c>
      <c r="B222" s="950" t="s">
        <v>996</v>
      </c>
      <c r="C222" s="952">
        <v>-402359.43</v>
      </c>
      <c r="D222" s="952">
        <v>-21309.73</v>
      </c>
      <c r="E222" s="952">
        <v>-423669.16</v>
      </c>
      <c r="F222" s="950" t="s">
        <v>908</v>
      </c>
      <c r="G222" s="950" t="s">
        <v>996</v>
      </c>
      <c r="H222" s="607"/>
      <c r="I222" s="626"/>
      <c r="J222" s="607"/>
      <c r="K222" s="626"/>
      <c r="L222" s="609" t="str">
        <f t="shared" si="16"/>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si="13"/>
        <v>5-Ventes</v>
      </c>
      <c r="R222" s="609" t="str">
        <f t="shared" si="14"/>
        <v>4591</v>
      </c>
      <c r="S222" s="610">
        <f t="shared" si="1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999</v>
      </c>
      <c r="B223" s="950" t="s">
        <v>1000</v>
      </c>
      <c r="C223" s="952">
        <v>-632376.15</v>
      </c>
      <c r="D223" s="952">
        <v>-45682.63</v>
      </c>
      <c r="E223" s="952">
        <v>-678058.78</v>
      </c>
      <c r="F223" s="950" t="s">
        <v>908</v>
      </c>
      <c r="G223" s="950" t="s">
        <v>1000</v>
      </c>
      <c r="H223" s="929"/>
      <c r="I223" s="930"/>
      <c r="J223" s="930"/>
      <c r="K223" s="930"/>
      <c r="L223" s="609" t="str">
        <f t="shared" si="16"/>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si="13"/>
        <v>5-Ventes</v>
      </c>
      <c r="R223" s="609" t="str">
        <f t="shared" si="14"/>
        <v>4593</v>
      </c>
      <c r="S223" s="610">
        <f t="shared" si="15"/>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1003</v>
      </c>
      <c r="B224" s="950" t="s">
        <v>1004</v>
      </c>
      <c r="C224" s="952">
        <v>-62554.69</v>
      </c>
      <c r="D224" s="952">
        <v>-4230.28</v>
      </c>
      <c r="E224" s="952">
        <v>-66784.97</v>
      </c>
      <c r="F224" s="950" t="s">
        <v>908</v>
      </c>
      <c r="G224" s="950" t="s">
        <v>1004</v>
      </c>
      <c r="H224" s="607"/>
      <c r="I224" s="626"/>
      <c r="J224" s="607"/>
      <c r="K224" s="626"/>
      <c r="L224" s="609" t="str">
        <f t="shared" si="16"/>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si="13"/>
        <v>5-Ventes</v>
      </c>
      <c r="R224" s="609" t="str">
        <f t="shared" si="14"/>
        <v>4595</v>
      </c>
      <c r="S224" s="610">
        <f t="shared" si="15"/>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3618</v>
      </c>
      <c r="B225" s="950" t="s">
        <v>1008</v>
      </c>
      <c r="C225" s="952">
        <v>-848710.64</v>
      </c>
      <c r="D225" s="952">
        <v>-81455.14</v>
      </c>
      <c r="E225" s="952">
        <v>-930165.78</v>
      </c>
      <c r="F225" s="950" t="s">
        <v>908</v>
      </c>
      <c r="G225" s="950" t="s">
        <v>1008</v>
      </c>
      <c r="H225" s="929"/>
      <c r="I225" s="930"/>
      <c r="J225" s="930"/>
      <c r="K225" s="930"/>
      <c r="L225" s="609" t="str">
        <f t="shared" si="16"/>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si="13"/>
        <v>5-Ventes</v>
      </c>
      <c r="R225" s="609" t="str">
        <f t="shared" si="14"/>
        <v>4701</v>
      </c>
      <c r="S225" s="610">
        <f t="shared" si="15"/>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1011</v>
      </c>
      <c r="B226" s="950" t="s">
        <v>1012</v>
      </c>
      <c r="C226" s="952">
        <v>-7825.75</v>
      </c>
      <c r="D226" s="952">
        <v>-322.64999999999998</v>
      </c>
      <c r="E226" s="952">
        <v>-8148.4</v>
      </c>
      <c r="F226" s="950" t="s">
        <v>908</v>
      </c>
      <c r="G226" s="950" t="s">
        <v>1012</v>
      </c>
      <c r="H226" s="607"/>
      <c r="I226" s="626"/>
      <c r="J226" s="607"/>
      <c r="K226" s="626"/>
      <c r="L226" s="609" t="str">
        <f t="shared" si="16"/>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si="13"/>
        <v>5-Ventes</v>
      </c>
      <c r="R226" s="609" t="str">
        <f t="shared" si="14"/>
        <v>4702</v>
      </c>
      <c r="S226" s="610">
        <f t="shared" si="15"/>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3619</v>
      </c>
      <c r="B227" s="950" t="s">
        <v>1014</v>
      </c>
      <c r="C227" s="952">
        <v>-653979.53</v>
      </c>
      <c r="D227" s="952">
        <v>-53458.95</v>
      </c>
      <c r="E227" s="952">
        <v>-707438.48</v>
      </c>
      <c r="F227" s="950" t="s">
        <v>908</v>
      </c>
      <c r="G227" s="950" t="s">
        <v>1014</v>
      </c>
      <c r="H227" s="929"/>
      <c r="I227" s="930"/>
      <c r="J227" s="930"/>
      <c r="K227" s="930"/>
      <c r="L227" s="609" t="str">
        <f t="shared" si="16"/>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si="13"/>
        <v>5-Ventes</v>
      </c>
      <c r="R227" s="609" t="str">
        <f t="shared" si="14"/>
        <v>4703</v>
      </c>
      <c r="S227" s="610">
        <f t="shared" si="15"/>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3620</v>
      </c>
      <c r="B228" s="950" t="s">
        <v>1018</v>
      </c>
      <c r="C228" s="952">
        <v>-485869.45</v>
      </c>
      <c r="D228" s="952">
        <v>-35063.86</v>
      </c>
      <c r="E228" s="952">
        <v>-520933.31</v>
      </c>
      <c r="F228" s="950" t="s">
        <v>908</v>
      </c>
      <c r="G228" s="950" t="s">
        <v>1018</v>
      </c>
      <c r="H228" s="607"/>
      <c r="I228" s="626"/>
      <c r="J228" s="607"/>
      <c r="K228" s="626"/>
      <c r="L228" s="609" t="str">
        <f t="shared" si="16"/>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si="13"/>
        <v>5-Ventes</v>
      </c>
      <c r="R228" s="609" t="str">
        <f t="shared" si="14"/>
        <v>4705</v>
      </c>
      <c r="S228" s="610">
        <f t="shared" si="15"/>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3621</v>
      </c>
      <c r="B229" s="950" t="s">
        <v>1021</v>
      </c>
      <c r="C229" s="952">
        <v>-7495.48</v>
      </c>
      <c r="D229" s="952">
        <v>-99.9</v>
      </c>
      <c r="E229" s="952">
        <v>-7595.38</v>
      </c>
      <c r="F229" s="950" t="s">
        <v>908</v>
      </c>
      <c r="G229" s="950" t="s">
        <v>1021</v>
      </c>
      <c r="H229" s="929"/>
      <c r="I229" s="930"/>
      <c r="J229" s="930"/>
      <c r="K229" s="930"/>
      <c r="L229" s="609" t="str">
        <f t="shared" si="16"/>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si="13"/>
        <v>5-Ventes</v>
      </c>
      <c r="R229" s="609" t="str">
        <f t="shared" si="14"/>
        <v>4706</v>
      </c>
      <c r="S229" s="610">
        <f t="shared" si="15"/>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1022</v>
      </c>
      <c r="B230" s="950" t="s">
        <v>1087</v>
      </c>
      <c r="C230" s="952">
        <v>-28025.83</v>
      </c>
      <c r="D230" s="952">
        <v>-2161.19</v>
      </c>
      <c r="E230" s="952">
        <v>-30187.02</v>
      </c>
      <c r="F230" s="950" t="s">
        <v>908</v>
      </c>
      <c r="G230" s="950" t="s">
        <v>1023</v>
      </c>
      <c r="H230" s="929"/>
      <c r="I230" s="931"/>
      <c r="J230" s="929"/>
      <c r="K230" s="931"/>
      <c r="L230" s="609" t="str">
        <f t="shared" si="16"/>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si="13"/>
        <v>5-Ventes</v>
      </c>
      <c r="R230" s="609" t="str">
        <f t="shared" si="14"/>
        <v>84711</v>
      </c>
      <c r="S230" s="610">
        <f t="shared" si="15"/>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1026</v>
      </c>
      <c r="B231" s="950" t="s">
        <v>3327</v>
      </c>
      <c r="C231" s="952">
        <v>-247.19</v>
      </c>
      <c r="D231" s="952">
        <v>0</v>
      </c>
      <c r="E231" s="952">
        <v>-247.19</v>
      </c>
      <c r="F231" s="950" t="s">
        <v>908</v>
      </c>
      <c r="G231" s="950" t="s">
        <v>3327</v>
      </c>
      <c r="H231" s="929"/>
      <c r="I231" s="930"/>
      <c r="J231" s="930"/>
      <c r="K231" s="930"/>
      <c r="L231" s="609" t="str">
        <f t="shared" si="16"/>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si="13"/>
        <v>5-Ventes</v>
      </c>
      <c r="R231" s="609" t="str">
        <f t="shared" si="14"/>
        <v>4715</v>
      </c>
      <c r="S231" s="610">
        <f t="shared" si="15"/>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3622</v>
      </c>
      <c r="B232" s="950" t="s">
        <v>1031</v>
      </c>
      <c r="C232" s="952">
        <v>-112336.03</v>
      </c>
      <c r="D232" s="952">
        <v>-3252.45</v>
      </c>
      <c r="E232" s="952">
        <v>-115588.48</v>
      </c>
      <c r="F232" s="950" t="s">
        <v>908</v>
      </c>
      <c r="G232" s="950" t="s">
        <v>1031</v>
      </c>
      <c r="H232" s="929"/>
      <c r="I232" s="931"/>
      <c r="J232" s="929"/>
      <c r="K232" s="931"/>
      <c r="L232" s="609" t="str">
        <f t="shared" si="16"/>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si="13"/>
        <v>5-Ventes</v>
      </c>
      <c r="R232" s="609" t="str">
        <f t="shared" si="14"/>
        <v>4731</v>
      </c>
      <c r="S232" s="610">
        <f t="shared" si="1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3623</v>
      </c>
      <c r="B233" s="950" t="s">
        <v>1035</v>
      </c>
      <c r="C233" s="952">
        <v>-501877.03</v>
      </c>
      <c r="D233" s="952">
        <v>-34843.68</v>
      </c>
      <c r="E233" s="952">
        <v>-536720.71</v>
      </c>
      <c r="F233" s="950" t="s">
        <v>908</v>
      </c>
      <c r="G233" s="950" t="s">
        <v>1035</v>
      </c>
      <c r="H233" s="929"/>
      <c r="I233" s="930"/>
      <c r="J233" s="930"/>
      <c r="K233" s="930"/>
      <c r="L233" s="609" t="str">
        <f t="shared" si="16"/>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si="13"/>
        <v>5-Ventes</v>
      </c>
      <c r="R233" s="609" t="str">
        <f t="shared" si="14"/>
        <v>4733</v>
      </c>
      <c r="S233" s="610">
        <f t="shared" si="15"/>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3624</v>
      </c>
      <c r="B234" s="950" t="s">
        <v>1039</v>
      </c>
      <c r="C234" s="952">
        <v>-14970.18</v>
      </c>
      <c r="D234" s="952">
        <v>-250.81</v>
      </c>
      <c r="E234" s="952">
        <v>-15220.99</v>
      </c>
      <c r="F234" s="950" t="s">
        <v>908</v>
      </c>
      <c r="G234" s="950" t="s">
        <v>1039</v>
      </c>
      <c r="H234" s="929"/>
      <c r="I234" s="931"/>
      <c r="J234" s="929"/>
      <c r="K234" s="931"/>
      <c r="L234" s="609" t="str">
        <f t="shared" si="16"/>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si="13"/>
        <v>5-Ventes</v>
      </c>
      <c r="R234" s="609" t="str">
        <f t="shared" si="14"/>
        <v>4735</v>
      </c>
      <c r="S234" s="610">
        <f t="shared" si="15"/>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1042</v>
      </c>
      <c r="B235" s="950" t="s">
        <v>1043</v>
      </c>
      <c r="C235" s="952">
        <v>-193680.58</v>
      </c>
      <c r="D235" s="952">
        <v>-15141.81</v>
      </c>
      <c r="E235" s="952">
        <v>-208822.39</v>
      </c>
      <c r="F235" s="950" t="s">
        <v>908</v>
      </c>
      <c r="G235" s="950" t="s">
        <v>1043</v>
      </c>
      <c r="H235" s="929"/>
      <c r="I235" s="930"/>
      <c r="J235" s="930"/>
      <c r="K235" s="930"/>
      <c r="L235" s="609" t="str">
        <f t="shared" si="16"/>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si="13"/>
        <v>5-Ventes</v>
      </c>
      <c r="R235" s="609" t="str">
        <f t="shared" si="14"/>
        <v>4761</v>
      </c>
      <c r="S235" s="610">
        <f t="shared" si="15"/>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1046</v>
      </c>
      <c r="B236" s="950" t="s">
        <v>1047</v>
      </c>
      <c r="C236" s="952">
        <v>-924658.91</v>
      </c>
      <c r="D236" s="952">
        <v>-86945.99</v>
      </c>
      <c r="E236" s="952">
        <v>-1011604.9</v>
      </c>
      <c r="F236" s="950" t="s">
        <v>908</v>
      </c>
      <c r="G236" s="950" t="s">
        <v>1047</v>
      </c>
      <c r="H236" s="929"/>
      <c r="I236" s="931"/>
      <c r="J236" s="929"/>
      <c r="K236" s="931"/>
      <c r="L236" s="609" t="str">
        <f t="shared" si="16"/>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si="13"/>
        <v>5-Ventes</v>
      </c>
      <c r="R236" s="609" t="str">
        <f t="shared" si="14"/>
        <v>4763</v>
      </c>
      <c r="S236" s="610">
        <f t="shared" si="15"/>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1050</v>
      </c>
      <c r="B237" s="950" t="s">
        <v>1051</v>
      </c>
      <c r="C237" s="952">
        <v>-467451.74</v>
      </c>
      <c r="D237" s="952">
        <v>-52653.82</v>
      </c>
      <c r="E237" s="952">
        <v>-520105.56</v>
      </c>
      <c r="F237" s="950" t="s">
        <v>908</v>
      </c>
      <c r="G237" s="950" t="s">
        <v>1051</v>
      </c>
      <c r="H237" s="929"/>
      <c r="I237" s="930"/>
      <c r="J237" s="930"/>
      <c r="K237" s="930"/>
      <c r="L237" s="609" t="str">
        <f t="shared" si="16"/>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si="13"/>
        <v>5-Ventes</v>
      </c>
      <c r="R237" s="609" t="str">
        <f t="shared" si="14"/>
        <v>4781</v>
      </c>
      <c r="S237" s="610">
        <f t="shared" si="15"/>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1053</v>
      </c>
      <c r="B238" s="950" t="s">
        <v>1995</v>
      </c>
      <c r="C238" s="952">
        <v>-7308.02</v>
      </c>
      <c r="D238" s="952">
        <v>-5238.8599999999997</v>
      </c>
      <c r="E238" s="952">
        <v>-12546.88</v>
      </c>
      <c r="F238" s="950" t="s">
        <v>908</v>
      </c>
      <c r="G238" s="950" t="s">
        <v>1051</v>
      </c>
      <c r="H238" s="929"/>
      <c r="I238" s="931"/>
      <c r="J238" s="929"/>
      <c r="K238" s="931"/>
      <c r="L238" s="609" t="str">
        <f t="shared" si="16"/>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si="13"/>
        <v>5-Ventes</v>
      </c>
      <c r="R238" s="609" t="str">
        <f t="shared" si="14"/>
        <v>4781</v>
      </c>
      <c r="S238" s="610">
        <f t="shared" si="15"/>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1054</v>
      </c>
      <c r="B239" s="950" t="s">
        <v>2003</v>
      </c>
      <c r="C239" s="952">
        <v>3936009.74</v>
      </c>
      <c r="D239" s="952">
        <v>150643.4</v>
      </c>
      <c r="E239" s="952">
        <v>4086653.14</v>
      </c>
      <c r="F239" s="950" t="s">
        <v>1055</v>
      </c>
      <c r="G239" s="950" t="s">
        <v>909</v>
      </c>
      <c r="H239" s="929"/>
      <c r="I239" s="930"/>
      <c r="J239" s="930"/>
      <c r="K239" s="930"/>
      <c r="L239" s="609" t="str">
        <f t="shared" si="16"/>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si="13"/>
        <v>6-Coût des ventes</v>
      </c>
      <c r="R239" s="609" t="str">
        <f t="shared" si="14"/>
        <v>4100</v>
      </c>
      <c r="S239" s="610">
        <f t="shared" si="15"/>
        <v>0</v>
      </c>
      <c r="T239" s="612" t="str">
        <f>+VLOOKUP($L239,Data_Validation!$A:$D,1,0)</f>
        <v>5100</v>
      </c>
      <c r="U239" s="612" t="str">
        <f>+VLOOKUP($L239,Data_Validation!$A:$D,3,0)</f>
        <v>Véhicules usagés</v>
      </c>
      <c r="V239" s="612" t="str">
        <f>+VLOOKUP($L239,Data_Validation!$A:$D,4,0)</f>
        <v>Rachat bail</v>
      </c>
      <c r="W239" s="612" t="str">
        <f>+VLOOKUP($L239,Data_Validation!$A:$E,5,0)</f>
        <v>$</v>
      </c>
      <c r="X239" s="612">
        <f>+VLOOKUP($L239,Data_Validation!$A:$F,6,0)</f>
        <v>0</v>
      </c>
    </row>
    <row r="240" spans="1:24" ht="15" customHeight="1">
      <c r="A240" s="950" t="s">
        <v>1056</v>
      </c>
      <c r="B240" s="950" t="s">
        <v>2015</v>
      </c>
      <c r="C240" s="952">
        <v>308970.82</v>
      </c>
      <c r="D240" s="952">
        <v>0</v>
      </c>
      <c r="E240" s="952">
        <v>308970.82</v>
      </c>
      <c r="F240" s="950" t="s">
        <v>1055</v>
      </c>
      <c r="G240" s="950" t="s">
        <v>913</v>
      </c>
      <c r="H240" s="929"/>
      <c r="I240" s="931"/>
      <c r="J240" s="929"/>
      <c r="K240" s="931"/>
      <c r="L240" s="609" t="str">
        <f t="shared" si="16"/>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si="13"/>
        <v>6-Coût des ventes</v>
      </c>
      <c r="R240" s="609" t="str">
        <f t="shared" si="14"/>
        <v>4109</v>
      </c>
      <c r="S240" s="610">
        <f t="shared" si="15"/>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916</v>
      </c>
      <c r="B241" s="950" t="s">
        <v>2020</v>
      </c>
      <c r="C241" s="952">
        <v>1391371.97</v>
      </c>
      <c r="D241" s="952">
        <v>200240.03</v>
      </c>
      <c r="E241" s="952">
        <v>1591612</v>
      </c>
      <c r="F241" s="950" t="s">
        <v>1055</v>
      </c>
      <c r="G241" s="950" t="s">
        <v>917</v>
      </c>
      <c r="H241" s="929"/>
      <c r="I241" s="930"/>
      <c r="J241" s="930"/>
      <c r="K241" s="930"/>
      <c r="L241" s="609" t="str">
        <f t="shared" si="16"/>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si="13"/>
        <v>6-Coût des ventes</v>
      </c>
      <c r="R241" s="609" t="str">
        <f t="shared" si="14"/>
        <v>4111</v>
      </c>
      <c r="S241" s="610">
        <f t="shared" si="15"/>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1057</v>
      </c>
      <c r="B242" s="950" t="s">
        <v>3328</v>
      </c>
      <c r="C242" s="952">
        <v>3590111.14</v>
      </c>
      <c r="D242" s="952">
        <v>73816.33</v>
      </c>
      <c r="E242" s="952">
        <v>3663927.47</v>
      </c>
      <c r="F242" s="950" t="s">
        <v>1055</v>
      </c>
      <c r="G242" s="950" t="s">
        <v>1058</v>
      </c>
      <c r="H242" s="929"/>
      <c r="I242" s="930"/>
      <c r="J242" s="930"/>
      <c r="K242" s="930"/>
      <c r="L242" s="609" t="str">
        <f t="shared" si="16"/>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si="13"/>
        <v>6-Coût des ventes</v>
      </c>
      <c r="R242" s="609" t="str">
        <f t="shared" si="14"/>
        <v>511</v>
      </c>
      <c r="S242" s="610">
        <f t="shared" si="1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1059</v>
      </c>
      <c r="B243" s="950" t="s">
        <v>2029</v>
      </c>
      <c r="C243" s="952">
        <v>3579760.93</v>
      </c>
      <c r="D243" s="952">
        <v>114585.37</v>
      </c>
      <c r="E243" s="952">
        <v>3694346.3</v>
      </c>
      <c r="F243" s="950" t="s">
        <v>1055</v>
      </c>
      <c r="G243" s="950" t="s">
        <v>925</v>
      </c>
      <c r="H243" s="929"/>
      <c r="I243" s="930"/>
      <c r="J243" s="930"/>
      <c r="K243" s="930"/>
      <c r="L243" s="609" t="str">
        <f t="shared" si="16"/>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si="13"/>
        <v>6-Coût des ventes</v>
      </c>
      <c r="R243" s="609" t="str">
        <f t="shared" si="14"/>
        <v>4119</v>
      </c>
      <c r="S243" s="610">
        <f t="shared" si="15"/>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1060</v>
      </c>
      <c r="B244" s="950" t="s">
        <v>3329</v>
      </c>
      <c r="C244" s="952">
        <v>126137.85</v>
      </c>
      <c r="D244" s="952">
        <v>0</v>
      </c>
      <c r="E244" s="952">
        <v>126137.85</v>
      </c>
      <c r="F244" s="950" t="s">
        <v>1055</v>
      </c>
      <c r="G244" s="950" t="s">
        <v>3293</v>
      </c>
      <c r="H244" s="929"/>
      <c r="I244" s="930"/>
      <c r="J244" s="930"/>
      <c r="K244" s="930"/>
      <c r="L244" s="609" t="str">
        <f t="shared" si="16"/>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si="13"/>
        <v>6-Coût des ventes</v>
      </c>
      <c r="R244" s="609" t="str">
        <f t="shared" si="14"/>
        <v>4121</v>
      </c>
      <c r="S244" s="610">
        <f t="shared" si="15"/>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1061</v>
      </c>
      <c r="B245" s="950" t="s">
        <v>2035</v>
      </c>
      <c r="C245" s="952">
        <v>700204.34</v>
      </c>
      <c r="D245" s="952">
        <v>0</v>
      </c>
      <c r="E245" s="952">
        <v>700204.34</v>
      </c>
      <c r="F245" s="950" t="s">
        <v>1055</v>
      </c>
      <c r="G245" s="950" t="s">
        <v>932</v>
      </c>
      <c r="H245" s="929"/>
      <c r="I245" s="930"/>
      <c r="J245" s="930"/>
      <c r="K245" s="930"/>
      <c r="L245" s="609" t="str">
        <f t="shared" si="16"/>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si="13"/>
        <v>6-Coût des ventes</v>
      </c>
      <c r="R245" s="609" t="str">
        <f t="shared" si="14"/>
        <v>4127</v>
      </c>
      <c r="S245" s="610">
        <f t="shared" si="15"/>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1062</v>
      </c>
      <c r="B246" s="950" t="s">
        <v>2038</v>
      </c>
      <c r="C246" s="952">
        <v>7127981.9500000002</v>
      </c>
      <c r="D246" s="952">
        <v>1002585.66</v>
      </c>
      <c r="E246" s="952">
        <v>8130567.6100000003</v>
      </c>
      <c r="F246" s="950" t="s">
        <v>1055</v>
      </c>
      <c r="G246" s="950" t="s">
        <v>936</v>
      </c>
      <c r="H246" s="929"/>
      <c r="I246" s="930"/>
      <c r="J246" s="930"/>
      <c r="K246" s="930"/>
      <c r="L246" s="609" t="str">
        <f t="shared" si="16"/>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si="13"/>
        <v>6-Coût des ventes</v>
      </c>
      <c r="R246" s="609" t="str">
        <f t="shared" si="14"/>
        <v>4131</v>
      </c>
      <c r="S246" s="610">
        <f t="shared" si="15"/>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1063</v>
      </c>
      <c r="B247" s="950" t="s">
        <v>2044</v>
      </c>
      <c r="C247" s="952">
        <v>612020.26</v>
      </c>
      <c r="D247" s="952">
        <v>0</v>
      </c>
      <c r="E247" s="952">
        <v>612020.26</v>
      </c>
      <c r="F247" s="950" t="s">
        <v>1055</v>
      </c>
      <c r="G247" s="950" t="s">
        <v>940</v>
      </c>
      <c r="H247" s="929"/>
      <c r="I247" s="930"/>
      <c r="J247" s="930"/>
      <c r="K247" s="930"/>
      <c r="L247" s="609" t="str">
        <f t="shared" si="16"/>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si="13"/>
        <v>6-Coût des ventes</v>
      </c>
      <c r="R247" s="609" t="str">
        <f t="shared" si="14"/>
        <v>4137</v>
      </c>
      <c r="S247" s="610">
        <f t="shared" si="15"/>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1063</v>
      </c>
      <c r="B248" s="950" t="s">
        <v>2047</v>
      </c>
      <c r="C248" s="952">
        <v>1495822.7</v>
      </c>
      <c r="D248" s="952">
        <v>88846.22</v>
      </c>
      <c r="E248" s="952">
        <v>1584668.92</v>
      </c>
      <c r="F248" s="950" t="s">
        <v>1055</v>
      </c>
      <c r="G248" s="950" t="s">
        <v>944</v>
      </c>
      <c r="H248" s="929"/>
      <c r="I248" s="930"/>
      <c r="J248" s="930"/>
      <c r="K248" s="930"/>
      <c r="L248" s="609" t="str">
        <f t="shared" si="16"/>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si="13"/>
        <v>6-Coût des ventes</v>
      </c>
      <c r="R248" s="609" t="str">
        <f t="shared" si="14"/>
        <v>4139</v>
      </c>
      <c r="S248" s="610">
        <f t="shared" si="15"/>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1064</v>
      </c>
      <c r="B249" s="950" t="s">
        <v>3330</v>
      </c>
      <c r="C249" s="952">
        <v>638243.43999999994</v>
      </c>
      <c r="D249" s="952">
        <v>0</v>
      </c>
      <c r="E249" s="952">
        <v>638243.43999999994</v>
      </c>
      <c r="F249" s="950" t="s">
        <v>1055</v>
      </c>
      <c r="G249" s="950" t="s">
        <v>1065</v>
      </c>
      <c r="H249" s="929"/>
      <c r="I249" s="930"/>
      <c r="J249" s="930"/>
      <c r="K249" s="930"/>
      <c r="L249" s="609" t="str">
        <f t="shared" si="16"/>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si="13"/>
        <v>6-Coût des ventes</v>
      </c>
      <c r="R249" s="609" t="str">
        <f t="shared" si="14"/>
        <v>514</v>
      </c>
      <c r="S249" s="610">
        <f t="shared" si="15"/>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1066</v>
      </c>
      <c r="B250" s="950" t="s">
        <v>2058</v>
      </c>
      <c r="C250" s="952">
        <v>8252786.2000000002</v>
      </c>
      <c r="D250" s="952">
        <v>543756.91</v>
      </c>
      <c r="E250" s="952">
        <v>8796543.1099999994</v>
      </c>
      <c r="F250" s="950" t="s">
        <v>1055</v>
      </c>
      <c r="G250" s="950" t="s">
        <v>952</v>
      </c>
      <c r="H250" s="929"/>
      <c r="I250" s="930"/>
      <c r="J250" s="930"/>
      <c r="K250" s="930"/>
      <c r="L250" s="609" t="str">
        <f t="shared" si="16"/>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si="13"/>
        <v>6-Coût des ventes</v>
      </c>
      <c r="R250" s="609" t="str">
        <f t="shared" si="14"/>
        <v>4201</v>
      </c>
      <c r="S250" s="610">
        <f t="shared" si="15"/>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1067</v>
      </c>
      <c r="B251" s="950" t="s">
        <v>2061</v>
      </c>
      <c r="C251" s="952">
        <v>680296.63</v>
      </c>
      <c r="D251" s="952">
        <v>46014.91</v>
      </c>
      <c r="E251" s="952">
        <v>726311.54</v>
      </c>
      <c r="F251" s="950" t="s">
        <v>1055</v>
      </c>
      <c r="G251" s="950" t="s">
        <v>952</v>
      </c>
      <c r="H251" s="929"/>
      <c r="I251" s="930"/>
      <c r="J251" s="930"/>
      <c r="K251" s="930"/>
      <c r="L251" s="609" t="str">
        <f t="shared" si="16"/>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si="13"/>
        <v>6-Coût des ventes</v>
      </c>
      <c r="R251" s="609" t="str">
        <f t="shared" si="14"/>
        <v>4201</v>
      </c>
      <c r="S251" s="610">
        <f t="shared" si="15"/>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1068</v>
      </c>
      <c r="B252" s="950" t="s">
        <v>2067</v>
      </c>
      <c r="C252" s="952">
        <v>0</v>
      </c>
      <c r="D252" s="952">
        <v>20600</v>
      </c>
      <c r="E252" s="952">
        <v>20600</v>
      </c>
      <c r="F252" s="950" t="s">
        <v>1055</v>
      </c>
      <c r="G252" s="950" t="s">
        <v>956</v>
      </c>
      <c r="H252" s="929"/>
      <c r="I252" s="930"/>
      <c r="J252" s="930"/>
      <c r="K252" s="930"/>
      <c r="L252" s="609" t="str">
        <f t="shared" si="16"/>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si="13"/>
        <v>6-Coût des ventes</v>
      </c>
      <c r="R252" s="609" t="str">
        <f t="shared" si="14"/>
        <v>4211</v>
      </c>
      <c r="S252" s="610">
        <f t="shared" si="1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1069</v>
      </c>
      <c r="B253" s="950" t="s">
        <v>2070</v>
      </c>
      <c r="C253" s="952">
        <v>0</v>
      </c>
      <c r="D253" s="952">
        <v>547.1</v>
      </c>
      <c r="E253" s="952">
        <v>547.1</v>
      </c>
      <c r="F253" s="950" t="s">
        <v>1055</v>
      </c>
      <c r="G253" s="950" t="s">
        <v>956</v>
      </c>
      <c r="H253" s="929"/>
      <c r="I253" s="930"/>
      <c r="J253" s="930"/>
      <c r="K253" s="930"/>
      <c r="L253" s="609" t="str">
        <f t="shared" si="16"/>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si="13"/>
        <v>6-Coût des ventes</v>
      </c>
      <c r="R253" s="609" t="str">
        <f t="shared" si="14"/>
        <v>4211</v>
      </c>
      <c r="S253" s="610">
        <f t="shared" si="15"/>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959</v>
      </c>
      <c r="B254" s="950" t="s">
        <v>2081</v>
      </c>
      <c r="C254" s="952">
        <v>155147.42000000001</v>
      </c>
      <c r="D254" s="952">
        <v>0</v>
      </c>
      <c r="E254" s="952">
        <v>155147.42000000001</v>
      </c>
      <c r="F254" s="950" t="s">
        <v>1055</v>
      </c>
      <c r="G254" s="950" t="s">
        <v>960</v>
      </c>
      <c r="H254" s="929"/>
      <c r="I254" s="930"/>
      <c r="J254" s="930"/>
      <c r="K254" s="930"/>
      <c r="L254" s="609" t="str">
        <f t="shared" si="16"/>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si="13"/>
        <v>6-Coût des ventes</v>
      </c>
      <c r="R254" s="609" t="str">
        <f t="shared" si="14"/>
        <v>4261</v>
      </c>
      <c r="S254" s="610">
        <f t="shared" si="15"/>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1070</v>
      </c>
      <c r="B255" s="950" t="s">
        <v>2084</v>
      </c>
      <c r="C255" s="952">
        <v>12858.82</v>
      </c>
      <c r="D255" s="952">
        <v>0</v>
      </c>
      <c r="E255" s="952">
        <v>12858.82</v>
      </c>
      <c r="F255" s="950" t="s">
        <v>1055</v>
      </c>
      <c r="G255" s="950" t="s">
        <v>960</v>
      </c>
      <c r="H255" s="929"/>
      <c r="I255" s="930"/>
      <c r="J255" s="930"/>
      <c r="K255" s="930"/>
      <c r="L255" s="609" t="str">
        <f t="shared" si="16"/>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si="13"/>
        <v>6-Coût des ventes</v>
      </c>
      <c r="R255" s="609" t="str">
        <f t="shared" si="14"/>
        <v>4261</v>
      </c>
      <c r="S255" s="610">
        <f t="shared" si="15"/>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963</v>
      </c>
      <c r="B256" s="950" t="s">
        <v>2087</v>
      </c>
      <c r="C256" s="952">
        <v>5630431.2999999998</v>
      </c>
      <c r="D256" s="952">
        <v>560551.97</v>
      </c>
      <c r="E256" s="952">
        <v>6190983.2699999996</v>
      </c>
      <c r="F256" s="950" t="s">
        <v>1055</v>
      </c>
      <c r="G256" s="950" t="s">
        <v>964</v>
      </c>
      <c r="H256" s="929"/>
      <c r="I256" s="930"/>
      <c r="J256" s="930"/>
      <c r="K256" s="930"/>
      <c r="L256" s="609" t="str">
        <f t="shared" si="16"/>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si="13"/>
        <v>6-Coût des ventes</v>
      </c>
      <c r="R256" s="609" t="str">
        <f t="shared" si="14"/>
        <v>4281</v>
      </c>
      <c r="S256" s="610">
        <f t="shared" si="15"/>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3615</v>
      </c>
      <c r="B257" s="950" t="s">
        <v>2090</v>
      </c>
      <c r="C257" s="952">
        <v>333177.5</v>
      </c>
      <c r="D257" s="952">
        <v>27460.84</v>
      </c>
      <c r="E257" s="952">
        <v>360638.34</v>
      </c>
      <c r="F257" s="950" t="s">
        <v>1055</v>
      </c>
      <c r="G257" s="950" t="s">
        <v>968</v>
      </c>
      <c r="H257" s="929"/>
      <c r="I257" s="930"/>
      <c r="J257" s="930"/>
      <c r="K257" s="930"/>
      <c r="L257" s="609" t="str">
        <f t="shared" si="16"/>
        <v>5401</v>
      </c>
      <c r="M257" s="610" t="str">
        <f t="shared" ref="M257:M511" si="17">+A257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si="13"/>
        <v>6-Coût des ventes</v>
      </c>
      <c r="R257" s="609" t="str">
        <f t="shared" si="14"/>
        <v>4401</v>
      </c>
      <c r="S257" s="610">
        <f t="shared" si="15"/>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1072</v>
      </c>
      <c r="B258" s="950" t="s">
        <v>2093</v>
      </c>
      <c r="C258" s="952">
        <v>1510.29</v>
      </c>
      <c r="D258" s="952">
        <v>0</v>
      </c>
      <c r="E258" s="952">
        <v>1510.29</v>
      </c>
      <c r="F258" s="950" t="s">
        <v>1055</v>
      </c>
      <c r="G258" s="950" t="s">
        <v>971</v>
      </c>
      <c r="H258" s="929"/>
      <c r="I258" s="931"/>
      <c r="J258" s="929"/>
      <c r="K258" s="931"/>
      <c r="L258" s="609" t="str">
        <f t="shared" si="16"/>
        <v>5402</v>
      </c>
      <c r="M258" s="610" t="str">
        <f t="shared" si="17"/>
        <v>C/V - M.O. ESTHETIQUE CLIENT</v>
      </c>
      <c r="N258" s="611">
        <f>+IF(OR($Q258=Parametres!$G$2,$Q258=Parametres!$G$3),I258,C258)</f>
        <v>1510.29</v>
      </c>
      <c r="O258" s="611">
        <f>+IF(OR($Q258=Parametres!$G$2,$Q258=Parametres!$G$3),J258,D258)</f>
        <v>0</v>
      </c>
      <c r="P258" s="611">
        <f>+IF(OR($Q258=Parametres!$G$2,$Q258=Parametres!$G$3),K258,E258)</f>
        <v>1510.29</v>
      </c>
      <c r="Q258" s="610" t="str">
        <f t="shared" ref="Q258:Q321" si="18">+F258</f>
        <v>6-Coût des ventes</v>
      </c>
      <c r="R258" s="609" t="str">
        <f t="shared" ref="R258:R321" si="19">+G258</f>
        <v>4402</v>
      </c>
      <c r="S258" s="610">
        <f t="shared" ref="S258:S321" si="20">+H258</f>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3616</v>
      </c>
      <c r="B259" s="950" t="s">
        <v>2096</v>
      </c>
      <c r="C259" s="952">
        <v>142433.63</v>
      </c>
      <c r="D259" s="952">
        <v>10576.5</v>
      </c>
      <c r="E259" s="952">
        <v>153010.13</v>
      </c>
      <c r="F259" s="950" t="s">
        <v>1055</v>
      </c>
      <c r="G259" s="950" t="s">
        <v>973</v>
      </c>
      <c r="H259" s="929"/>
      <c r="I259" s="931"/>
      <c r="J259" s="929"/>
      <c r="K259" s="931"/>
      <c r="L259" s="609" t="str">
        <f t="shared" ref="L259:L322" si="21">TEXT(B259,0)</f>
        <v>5403</v>
      </c>
      <c r="M259" s="610" t="str">
        <f t="shared" si="17"/>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si="18"/>
        <v>6-Coût des ventes</v>
      </c>
      <c r="R259" s="609" t="str">
        <f t="shared" si="19"/>
        <v>4403</v>
      </c>
      <c r="S259" s="610">
        <f t="shared" si="20"/>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3617</v>
      </c>
      <c r="B260" s="950" t="s">
        <v>2099</v>
      </c>
      <c r="C260" s="952">
        <v>142977.4</v>
      </c>
      <c r="D260" s="952">
        <v>10757.8</v>
      </c>
      <c r="E260" s="952">
        <v>153735.20000000001</v>
      </c>
      <c r="F260" s="950" t="s">
        <v>1055</v>
      </c>
      <c r="G260" s="950" t="s">
        <v>976</v>
      </c>
      <c r="H260" s="929"/>
      <c r="I260" s="929"/>
      <c r="J260" s="929"/>
      <c r="K260" s="929"/>
      <c r="L260" s="609" t="str">
        <f t="shared" si="21"/>
        <v>5405</v>
      </c>
      <c r="M260" s="610" t="str">
        <f t="shared" si="17"/>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si="18"/>
        <v>6-Coût des ventes</v>
      </c>
      <c r="R260" s="609" t="str">
        <f t="shared" si="19"/>
        <v>4405</v>
      </c>
      <c r="S260" s="610">
        <f t="shared" si="20"/>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3625</v>
      </c>
      <c r="B261" s="950" t="s">
        <v>2105</v>
      </c>
      <c r="C261" s="952">
        <v>18627.75</v>
      </c>
      <c r="D261" s="952">
        <v>2193.19</v>
      </c>
      <c r="E261" s="952">
        <v>20820.939999999999</v>
      </c>
      <c r="F261" s="950" t="s">
        <v>1055</v>
      </c>
      <c r="G261" s="950" t="s">
        <v>1076</v>
      </c>
      <c r="H261" s="929"/>
      <c r="I261" s="931"/>
      <c r="J261" s="929"/>
      <c r="K261" s="931"/>
      <c r="L261" s="609" t="str">
        <f t="shared" si="21"/>
        <v>5416</v>
      </c>
      <c r="M261" s="610" t="str">
        <f t="shared" si="17"/>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si="18"/>
        <v>6-Coût des ventes</v>
      </c>
      <c r="R261" s="609" t="str">
        <f t="shared" si="19"/>
        <v>4416</v>
      </c>
      <c r="S261" s="610">
        <f t="shared" si="20"/>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978</v>
      </c>
      <c r="B262" s="950" t="s">
        <v>2111</v>
      </c>
      <c r="C262" s="952">
        <v>187160.75</v>
      </c>
      <c r="D262" s="952">
        <v>13158.91</v>
      </c>
      <c r="E262" s="952">
        <v>200319.66</v>
      </c>
      <c r="F262" s="950" t="s">
        <v>1055</v>
      </c>
      <c r="G262" s="950" t="s">
        <v>979</v>
      </c>
      <c r="H262" s="929"/>
      <c r="I262" s="931"/>
      <c r="J262" s="929"/>
      <c r="K262" s="931"/>
      <c r="L262" s="609" t="str">
        <f t="shared" si="21"/>
        <v>5451</v>
      </c>
      <c r="M262" s="610" t="str">
        <f t="shared" si="17"/>
        <v>CARBURANT/HUILE/GRAISSE</v>
      </c>
      <c r="N262" s="611">
        <f>+IF(OR($Q262=Parametres!$G$2,$Q262=Parametres!$G$3),I262,C262)</f>
        <v>187160.75</v>
      </c>
      <c r="O262" s="611">
        <f>+IF(OR($Q262=Parametres!$G$2,$Q262=Parametres!$G$3),J262,D262)</f>
        <v>13158.91</v>
      </c>
      <c r="P262" s="611">
        <f>+IF(OR($Q262=Parametres!$G$2,$Q262=Parametres!$G$3),K262,E262)</f>
        <v>200319.66</v>
      </c>
      <c r="Q262" s="610" t="str">
        <f t="shared" si="18"/>
        <v>6-Coût des ventes</v>
      </c>
      <c r="R262" s="609" t="str">
        <f t="shared" si="19"/>
        <v>4782</v>
      </c>
      <c r="S262" s="610">
        <f t="shared" si="20"/>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981</v>
      </c>
      <c r="B263" s="950" t="s">
        <v>2114</v>
      </c>
      <c r="C263" s="952">
        <v>15309.84</v>
      </c>
      <c r="D263" s="952">
        <v>2451</v>
      </c>
      <c r="E263" s="952">
        <v>17760.84</v>
      </c>
      <c r="F263" s="950" t="s">
        <v>1055</v>
      </c>
      <c r="G263" s="950" t="s">
        <v>982</v>
      </c>
      <c r="H263" s="929"/>
      <c r="I263" s="929"/>
      <c r="J263" s="929"/>
      <c r="K263" s="929"/>
      <c r="L263" s="609" t="str">
        <f t="shared" si="21"/>
        <v>5491</v>
      </c>
      <c r="M263" s="610" t="str">
        <f t="shared" si="17"/>
        <v>REPARATION SOUS-LOC. - GENERAL</v>
      </c>
      <c r="N263" s="611">
        <f>+IF(OR($Q263=Parametres!$G$2,$Q263=Parametres!$G$3),I263,C263)</f>
        <v>15309.84</v>
      </c>
      <c r="O263" s="611">
        <f>+IF(OR($Q263=Parametres!$G$2,$Q263=Parametres!$G$3),J263,D263)</f>
        <v>2451</v>
      </c>
      <c r="P263" s="611">
        <f>+IF(OR($Q263=Parametres!$G$2,$Q263=Parametres!$G$3),K263,E263)</f>
        <v>17760.84</v>
      </c>
      <c r="Q263" s="610" t="str">
        <f t="shared" si="18"/>
        <v>6-Coût des ventes</v>
      </c>
      <c r="R263" s="609" t="str">
        <f t="shared" si="19"/>
        <v>4491</v>
      </c>
      <c r="S263" s="610">
        <f t="shared" si="20"/>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1077</v>
      </c>
      <c r="B264" s="950" t="s">
        <v>2117</v>
      </c>
      <c r="C264" s="952">
        <v>18322.73</v>
      </c>
      <c r="D264" s="952">
        <v>6928</v>
      </c>
      <c r="E264" s="952">
        <v>25250.73</v>
      </c>
      <c r="F264" s="950" t="s">
        <v>1055</v>
      </c>
      <c r="G264" s="950" t="s">
        <v>985</v>
      </c>
      <c r="H264" s="929"/>
      <c r="I264" s="931"/>
      <c r="J264" s="929"/>
      <c r="K264" s="931"/>
      <c r="L264" s="609" t="str">
        <f t="shared" si="21"/>
        <v>5493</v>
      </c>
      <c r="M264" s="610" t="str">
        <f t="shared" si="17"/>
        <v>C/V - SOUS-TRAITANCE GARANTIE</v>
      </c>
      <c r="N264" s="611">
        <f>+IF(OR($Q264=Parametres!$G$2,$Q264=Parametres!$G$3),I264,C264)</f>
        <v>18322.73</v>
      </c>
      <c r="O264" s="611">
        <f>+IF(OR($Q264=Parametres!$G$2,$Q264=Parametres!$G$3),J264,D264)</f>
        <v>6928</v>
      </c>
      <c r="P264" s="611">
        <f>+IF(OR($Q264=Parametres!$G$2,$Q264=Parametres!$G$3),K264,E264)</f>
        <v>25250.73</v>
      </c>
      <c r="Q264" s="610" t="str">
        <f t="shared" si="18"/>
        <v>6-Coût des ventes</v>
      </c>
      <c r="R264" s="609" t="str">
        <f t="shared" si="19"/>
        <v>4493</v>
      </c>
      <c r="S264" s="610">
        <f t="shared" si="20"/>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1078</v>
      </c>
      <c r="B265" s="950" t="s">
        <v>2120</v>
      </c>
      <c r="C265" s="952">
        <v>170571.8</v>
      </c>
      <c r="D265" s="952">
        <v>9741.6</v>
      </c>
      <c r="E265" s="952">
        <v>180313.4</v>
      </c>
      <c r="F265" s="950" t="s">
        <v>1055</v>
      </c>
      <c r="G265" s="950" t="s">
        <v>989</v>
      </c>
      <c r="H265" s="929"/>
      <c r="I265" s="929"/>
      <c r="J265" s="929"/>
      <c r="K265" s="929"/>
      <c r="L265" s="609" t="str">
        <f t="shared" si="21"/>
        <v>5495</v>
      </c>
      <c r="M265" s="610" t="str">
        <f t="shared" si="17"/>
        <v>C/V - SOUS-TRAITANCE INTERNE</v>
      </c>
      <c r="N265" s="611">
        <f>+IF(OR($Q265=Parametres!$G$2,$Q265=Parametres!$G$3),I265,C265)</f>
        <v>170571.8</v>
      </c>
      <c r="O265" s="611">
        <f>+IF(OR($Q265=Parametres!$G$2,$Q265=Parametres!$G$3),J265,D265)</f>
        <v>9741.6</v>
      </c>
      <c r="P265" s="611">
        <f>+IF(OR($Q265=Parametres!$G$2,$Q265=Parametres!$G$3),K265,E265)</f>
        <v>180313.4</v>
      </c>
      <c r="Q265" s="610" t="str">
        <f t="shared" si="18"/>
        <v>6-Coût des ventes</v>
      </c>
      <c r="R265" s="609" t="str">
        <f t="shared" si="19"/>
        <v>4495</v>
      </c>
      <c r="S265" s="610">
        <f t="shared" si="2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1079</v>
      </c>
      <c r="B266" s="950" t="s">
        <v>2129</v>
      </c>
      <c r="C266" s="952">
        <v>179426.37</v>
      </c>
      <c r="D266" s="952">
        <v>9233.16</v>
      </c>
      <c r="E266" s="952">
        <v>188659.53</v>
      </c>
      <c r="F266" s="950" t="s">
        <v>1055</v>
      </c>
      <c r="G266" s="950" t="s">
        <v>996</v>
      </c>
      <c r="H266" s="929"/>
      <c r="I266" s="931"/>
      <c r="J266" s="929"/>
      <c r="K266" s="931"/>
      <c r="L266" s="609" t="str">
        <f t="shared" si="21"/>
        <v>5591</v>
      </c>
      <c r="M266" s="610" t="str">
        <f t="shared" si="17"/>
        <v>C/V - S-TRAIT. CARR.</v>
      </c>
      <c r="N266" s="611">
        <f>+IF(OR($Q266=Parametres!$G$2,$Q266=Parametres!$G$3),I266,C266)</f>
        <v>179426.37</v>
      </c>
      <c r="O266" s="611">
        <f>+IF(OR($Q266=Parametres!$G$2,$Q266=Parametres!$G$3),J266,D266)</f>
        <v>9233.16</v>
      </c>
      <c r="P266" s="611">
        <f>+IF(OR($Q266=Parametres!$G$2,$Q266=Parametres!$G$3),K266,E266)</f>
        <v>188659.53</v>
      </c>
      <c r="Q266" s="610" t="str">
        <f t="shared" si="18"/>
        <v>6-Coût des ventes</v>
      </c>
      <c r="R266" s="609" t="str">
        <f t="shared" si="19"/>
        <v>4591</v>
      </c>
      <c r="S266" s="610">
        <f t="shared" si="20"/>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1080</v>
      </c>
      <c r="B267" s="950" t="s">
        <v>2132</v>
      </c>
      <c r="C267" s="952">
        <v>632488.54</v>
      </c>
      <c r="D267" s="952">
        <v>45682.63</v>
      </c>
      <c r="E267" s="952">
        <v>678171.17</v>
      </c>
      <c r="F267" s="950" t="s">
        <v>1055</v>
      </c>
      <c r="G267" s="950" t="s">
        <v>1000</v>
      </c>
      <c r="H267" s="929"/>
      <c r="I267" s="931"/>
      <c r="J267" s="929"/>
      <c r="K267" s="931"/>
      <c r="L267" s="609" t="str">
        <f t="shared" si="21"/>
        <v>5593</v>
      </c>
      <c r="M267" s="610" t="str">
        <f t="shared" si="17"/>
        <v>C/V - S-TRAIT.GARANTIE CARROS.</v>
      </c>
      <c r="N267" s="611">
        <f>+IF(OR($Q267=Parametres!$G$2,$Q267=Parametres!$G$3),I267,C267)</f>
        <v>632488.54</v>
      </c>
      <c r="O267" s="611">
        <f>+IF(OR($Q267=Parametres!$G$2,$Q267=Parametres!$G$3),J267,D267)</f>
        <v>45682.63</v>
      </c>
      <c r="P267" s="611">
        <f>+IF(OR($Q267=Parametres!$G$2,$Q267=Parametres!$G$3),K267,E267)</f>
        <v>678171.17</v>
      </c>
      <c r="Q267" s="610" t="str">
        <f t="shared" si="18"/>
        <v>6-Coût des ventes</v>
      </c>
      <c r="R267" s="609" t="str">
        <f t="shared" si="19"/>
        <v>4593</v>
      </c>
      <c r="S267" s="610">
        <f t="shared" si="20"/>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1081</v>
      </c>
      <c r="B268" s="950" t="s">
        <v>2135</v>
      </c>
      <c r="C268" s="952">
        <v>51368.12</v>
      </c>
      <c r="D268" s="952">
        <v>3535.22</v>
      </c>
      <c r="E268" s="952">
        <v>54903.34</v>
      </c>
      <c r="F268" s="950" t="s">
        <v>1055</v>
      </c>
      <c r="G268" s="950" t="s">
        <v>1004</v>
      </c>
      <c r="H268" s="929"/>
      <c r="I268" s="929"/>
      <c r="J268" s="929"/>
      <c r="K268" s="929"/>
      <c r="L268" s="609" t="str">
        <f t="shared" si="21"/>
        <v>5595</v>
      </c>
      <c r="M268" s="610" t="str">
        <f t="shared" si="17"/>
        <v>C/V - S-TRAIT.INTERNE CARROS.</v>
      </c>
      <c r="N268" s="611">
        <f>+IF(OR($Q268=Parametres!$G$2,$Q268=Parametres!$G$3),I268,C268)</f>
        <v>51368.12</v>
      </c>
      <c r="O268" s="611">
        <f>+IF(OR($Q268=Parametres!$G$2,$Q268=Parametres!$G$3),J268,D268)</f>
        <v>3535.22</v>
      </c>
      <c r="P268" s="611">
        <f>+IF(OR($Q268=Parametres!$G$2,$Q268=Parametres!$G$3),K268,E268)</f>
        <v>54903.34</v>
      </c>
      <c r="Q268" s="610" t="str">
        <f t="shared" si="18"/>
        <v>6-Coût des ventes</v>
      </c>
      <c r="R268" s="609" t="str">
        <f t="shared" si="19"/>
        <v>4595</v>
      </c>
      <c r="S268" s="610">
        <f t="shared" si="20"/>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3618</v>
      </c>
      <c r="B269" s="950" t="s">
        <v>2138</v>
      </c>
      <c r="C269" s="952">
        <v>539344.22</v>
      </c>
      <c r="D269" s="952">
        <v>51502.47</v>
      </c>
      <c r="E269" s="952">
        <v>590846.68999999994</v>
      </c>
      <c r="F269" s="950" t="s">
        <v>1055</v>
      </c>
      <c r="G269" s="950" t="s">
        <v>1008</v>
      </c>
      <c r="H269" s="929"/>
      <c r="I269" s="931"/>
      <c r="J269" s="929"/>
      <c r="K269" s="931"/>
      <c r="L269" s="609" t="str">
        <f t="shared" si="21"/>
        <v>5701</v>
      </c>
      <c r="M269" s="610" t="str">
        <f t="shared" si="17"/>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si="18"/>
        <v>6-Coût des ventes</v>
      </c>
      <c r="R269" s="609" t="str">
        <f t="shared" si="19"/>
        <v>4701</v>
      </c>
      <c r="S269" s="610">
        <f t="shared" si="20"/>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1083</v>
      </c>
      <c r="B270" s="950" t="s">
        <v>2141</v>
      </c>
      <c r="C270" s="952">
        <v>5324.19</v>
      </c>
      <c r="D270" s="952">
        <v>219.93</v>
      </c>
      <c r="E270" s="952">
        <v>5544.12</v>
      </c>
      <c r="F270" s="950" t="s">
        <v>1055</v>
      </c>
      <c r="G270" s="950" t="s">
        <v>1012</v>
      </c>
      <c r="H270" s="929"/>
      <c r="I270" s="931"/>
      <c r="J270" s="929"/>
      <c r="K270" s="931"/>
      <c r="L270" s="609" t="str">
        <f t="shared" si="21"/>
        <v>5702</v>
      </c>
      <c r="M270" s="610" t="str">
        <f t="shared" si="17"/>
        <v>C/V - SHOP SUPPLY VW</v>
      </c>
      <c r="N270" s="611">
        <f>+IF(OR($Q270=Parametres!$G$2,$Q270=Parametres!$G$3),I270,C270)</f>
        <v>5324.19</v>
      </c>
      <c r="O270" s="615">
        <f>+IF(OR($Q270=Parametres!$G$2,$Q270=Parametres!$G$3),J270,D270)</f>
        <v>219.93</v>
      </c>
      <c r="P270" s="611">
        <f>+IF(OR($Q270=Parametres!$G$2,$Q270=Parametres!$G$3),K270,E270)</f>
        <v>5544.12</v>
      </c>
      <c r="Q270" s="610" t="str">
        <f t="shared" si="18"/>
        <v>6-Coût des ventes</v>
      </c>
      <c r="R270" s="609" t="str">
        <f t="shared" si="19"/>
        <v>4702</v>
      </c>
      <c r="S270" s="610">
        <f t="shared" si="20"/>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3619</v>
      </c>
      <c r="B271" s="950" t="s">
        <v>2144</v>
      </c>
      <c r="C271" s="952">
        <v>495564.84</v>
      </c>
      <c r="D271" s="952">
        <v>41455.96</v>
      </c>
      <c r="E271" s="952">
        <v>537020.80000000005</v>
      </c>
      <c r="F271" s="950" t="s">
        <v>1055</v>
      </c>
      <c r="G271" s="950" t="s">
        <v>1014</v>
      </c>
      <c r="H271" s="929"/>
      <c r="I271" s="929"/>
      <c r="J271" s="929"/>
      <c r="K271" s="929"/>
      <c r="L271" s="609" t="str">
        <f t="shared" si="21"/>
        <v>5703</v>
      </c>
      <c r="M271" s="610" t="str">
        <f t="shared" si="17"/>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si="18"/>
        <v>6-Coût des ventes</v>
      </c>
      <c r="R271" s="609" t="str">
        <f t="shared" si="19"/>
        <v>4703</v>
      </c>
      <c r="S271" s="610">
        <f t="shared" si="20"/>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3620</v>
      </c>
      <c r="B272" s="950" t="s">
        <v>2147</v>
      </c>
      <c r="C272" s="952">
        <v>332704.98</v>
      </c>
      <c r="D272" s="952">
        <v>24567.599999999999</v>
      </c>
      <c r="E272" s="952">
        <v>357272.58</v>
      </c>
      <c r="F272" s="950" t="s">
        <v>1055</v>
      </c>
      <c r="G272" s="950" t="s">
        <v>1018</v>
      </c>
      <c r="H272" s="929"/>
      <c r="I272" s="931"/>
      <c r="J272" s="929"/>
      <c r="K272" s="931"/>
      <c r="L272" s="609" t="str">
        <f t="shared" si="21"/>
        <v>5705</v>
      </c>
      <c r="M272" s="610" t="str">
        <f t="shared" si="17"/>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si="18"/>
        <v>6-Coût des ventes</v>
      </c>
      <c r="R272" s="609" t="str">
        <f t="shared" si="19"/>
        <v>4705</v>
      </c>
      <c r="S272" s="610">
        <f t="shared" si="20"/>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3621</v>
      </c>
      <c r="B273" s="950" t="s">
        <v>2150</v>
      </c>
      <c r="C273" s="952">
        <v>5848.68</v>
      </c>
      <c r="D273" s="952">
        <v>68.62</v>
      </c>
      <c r="E273" s="952">
        <v>5917.3</v>
      </c>
      <c r="F273" s="950" t="s">
        <v>1055</v>
      </c>
      <c r="G273" s="950" t="s">
        <v>1021</v>
      </c>
      <c r="H273" s="929"/>
      <c r="I273" s="930"/>
      <c r="J273" s="930"/>
      <c r="K273" s="930"/>
      <c r="L273" s="609" t="str">
        <f t="shared" si="21"/>
        <v>5706</v>
      </c>
      <c r="M273" s="610" t="str">
        <f t="shared" si="17"/>
        <v>VW P&amp;A - BR - CLIENT - VEB</v>
      </c>
      <c r="N273" s="611">
        <f>+IF(OR($Q273=Parametres!$G$2,$Q273=Parametres!$G$3),I273,C273)</f>
        <v>5848.68</v>
      </c>
      <c r="O273" s="615">
        <f>+IF(OR($Q273=Parametres!$G$2,$Q273=Parametres!$G$3),J273,D273)</f>
        <v>68.62</v>
      </c>
      <c r="P273" s="611">
        <f>+IF(OR($Q273=Parametres!$G$2,$Q273=Parametres!$G$3),K273,E273)</f>
        <v>5917.3</v>
      </c>
      <c r="Q273" s="610" t="str">
        <f t="shared" si="18"/>
        <v>6-Coût des ventes</v>
      </c>
      <c r="R273" s="609" t="str">
        <f t="shared" si="19"/>
        <v>4706</v>
      </c>
      <c r="S273" s="610">
        <f t="shared" si="20"/>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1086</v>
      </c>
      <c r="B274" s="950" t="s">
        <v>2153</v>
      </c>
      <c r="C274" s="952">
        <v>20099.38</v>
      </c>
      <c r="D274" s="952">
        <v>1445.54</v>
      </c>
      <c r="E274" s="952">
        <v>21544.92</v>
      </c>
      <c r="F274" s="950" t="s">
        <v>1055</v>
      </c>
      <c r="G274" s="950" t="s">
        <v>1087</v>
      </c>
      <c r="H274" s="929"/>
      <c r="I274" s="930"/>
      <c r="J274" s="930"/>
      <c r="K274" s="930"/>
      <c r="L274" s="609" t="str">
        <f t="shared" si="21"/>
        <v>5711</v>
      </c>
      <c r="M274" s="610" t="str">
        <f t="shared" si="17"/>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si="18"/>
        <v>6-Coût des ventes</v>
      </c>
      <c r="R274" s="609" t="str">
        <f t="shared" si="19"/>
        <v>4711</v>
      </c>
      <c r="S274" s="610">
        <f t="shared" si="20"/>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1088</v>
      </c>
      <c r="B275" s="950" t="s">
        <v>3331</v>
      </c>
      <c r="C275" s="952">
        <v>189.83</v>
      </c>
      <c r="D275" s="952">
        <v>0</v>
      </c>
      <c r="E275" s="952">
        <v>189.83</v>
      </c>
      <c r="F275" s="950" t="s">
        <v>1055</v>
      </c>
      <c r="G275" s="950" t="s">
        <v>3327</v>
      </c>
      <c r="H275" s="929"/>
      <c r="I275" s="930"/>
      <c r="J275" s="930"/>
      <c r="K275" s="930"/>
      <c r="L275" s="609" t="str">
        <f t="shared" si="21"/>
        <v>5715</v>
      </c>
      <c r="M275" s="610" t="str">
        <f t="shared" si="17"/>
        <v>C/V - AUTRE PIECE/ACC/CARR B.R. INTERNE</v>
      </c>
      <c r="N275" s="611">
        <f>+IF(OR($Q275=Parametres!$G$2,$Q275=Parametres!$G$3),I275,C275)</f>
        <v>189.83</v>
      </c>
      <c r="O275" s="615">
        <f>+IF(OR($Q275=Parametres!$G$2,$Q275=Parametres!$G$3),J275,D275)</f>
        <v>0</v>
      </c>
      <c r="P275" s="611">
        <f>+IF(OR($Q275=Parametres!$G$2,$Q275=Parametres!$G$3),K275,E275)</f>
        <v>189.83</v>
      </c>
      <c r="Q275" s="610" t="str">
        <f t="shared" si="18"/>
        <v>6-Coût des ventes</v>
      </c>
      <c r="R275" s="609" t="str">
        <f t="shared" si="19"/>
        <v>4715</v>
      </c>
      <c r="S275" s="610">
        <f t="shared" si="2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3622</v>
      </c>
      <c r="B276" s="950" t="s">
        <v>2159</v>
      </c>
      <c r="C276" s="952">
        <v>74159.25</v>
      </c>
      <c r="D276" s="952">
        <v>2531.7600000000002</v>
      </c>
      <c r="E276" s="952">
        <v>76691.009999999995</v>
      </c>
      <c r="F276" s="950" t="s">
        <v>1055</v>
      </c>
      <c r="G276" s="950" t="s">
        <v>1031</v>
      </c>
      <c r="H276" s="929"/>
      <c r="I276" s="930"/>
      <c r="J276" s="930"/>
      <c r="K276" s="930"/>
      <c r="L276" s="609" t="str">
        <f t="shared" si="21"/>
        <v>5731</v>
      </c>
      <c r="M276" s="610" t="str">
        <f t="shared" si="17"/>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si="18"/>
        <v>6-Coût des ventes</v>
      </c>
      <c r="R276" s="609" t="str">
        <f t="shared" si="19"/>
        <v>4731</v>
      </c>
      <c r="S276" s="610">
        <f t="shared" si="20"/>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3623</v>
      </c>
      <c r="B277" s="950" t="s">
        <v>2162</v>
      </c>
      <c r="C277" s="952">
        <v>385030.95</v>
      </c>
      <c r="D277" s="952">
        <v>26802.7</v>
      </c>
      <c r="E277" s="952">
        <v>411833.65</v>
      </c>
      <c r="F277" s="950" t="s">
        <v>1055</v>
      </c>
      <c r="G277" s="950" t="s">
        <v>1035</v>
      </c>
      <c r="H277" s="929"/>
      <c r="I277" s="930"/>
      <c r="J277" s="930"/>
      <c r="K277" s="930"/>
      <c r="L277" s="609" t="str">
        <f t="shared" si="21"/>
        <v>5733</v>
      </c>
      <c r="M277" s="610" t="str">
        <f t="shared" si="17"/>
        <v>VW-P&amp;A-P&amp;BRO-GARANTIE - MCI</v>
      </c>
      <c r="N277" s="611">
        <f>+IF(OR($Q277=Parametres!$G$2,$Q277=Parametres!$G$3),I277,C277)</f>
        <v>385030.95</v>
      </c>
      <c r="O277" s="615">
        <f>+IF(OR($Q277=Parametres!$G$2,$Q277=Parametres!$G$3),J277,D277)</f>
        <v>26802.7</v>
      </c>
      <c r="P277" s="611">
        <f>+IF(OR($Q277=Parametres!$G$2,$Q277=Parametres!$G$3),K277,E277)</f>
        <v>411833.65</v>
      </c>
      <c r="Q277" s="610" t="str">
        <f t="shared" si="18"/>
        <v>6-Coût des ventes</v>
      </c>
      <c r="R277" s="609" t="str">
        <f t="shared" si="19"/>
        <v>4733</v>
      </c>
      <c r="S277" s="610">
        <f t="shared" si="20"/>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3624</v>
      </c>
      <c r="B278" s="950" t="s">
        <v>2165</v>
      </c>
      <c r="C278" s="952">
        <v>10014.44</v>
      </c>
      <c r="D278" s="952">
        <v>194.62</v>
      </c>
      <c r="E278" s="952">
        <v>10209.06</v>
      </c>
      <c r="F278" s="950" t="s">
        <v>1055</v>
      </c>
      <c r="G278" s="950" t="s">
        <v>1039</v>
      </c>
      <c r="H278" s="929"/>
      <c r="I278" s="930"/>
      <c r="J278" s="930"/>
      <c r="K278" s="930"/>
      <c r="L278" s="609" t="str">
        <f t="shared" si="21"/>
        <v>5735</v>
      </c>
      <c r="M278" s="610" t="str">
        <f t="shared" si="17"/>
        <v>VW-P&amp;A-P&amp;BRO-INTERNE - MCI</v>
      </c>
      <c r="N278" s="611">
        <f>+IF(OR($Q278=Parametres!$G$2,$Q278=Parametres!$G$3),I278,C278)</f>
        <v>10014.44</v>
      </c>
      <c r="O278" s="615">
        <f>+IF(OR($Q278=Parametres!$G$2,$Q278=Parametres!$G$3),J278,D278)</f>
        <v>194.62</v>
      </c>
      <c r="P278" s="611">
        <f>+IF(OR($Q278=Parametres!$G$2,$Q278=Parametres!$G$3),K278,E278)</f>
        <v>10209.06</v>
      </c>
      <c r="Q278" s="610" t="str">
        <f t="shared" si="18"/>
        <v>6-Coût des ventes</v>
      </c>
      <c r="R278" s="609" t="str">
        <f t="shared" si="19"/>
        <v>4735</v>
      </c>
      <c r="S278" s="610">
        <f t="shared" si="20"/>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1092</v>
      </c>
      <c r="B279" s="950" t="s">
        <v>2168</v>
      </c>
      <c r="C279" s="952">
        <v>137674.37</v>
      </c>
      <c r="D279" s="952">
        <v>10790.48</v>
      </c>
      <c r="E279" s="952">
        <v>148464.85</v>
      </c>
      <c r="F279" s="950" t="s">
        <v>1055</v>
      </c>
      <c r="G279" s="950" t="s">
        <v>1043</v>
      </c>
      <c r="H279" s="929"/>
      <c r="I279" s="930"/>
      <c r="J279" s="930"/>
      <c r="K279" s="930"/>
      <c r="L279" s="609" t="str">
        <f t="shared" si="21"/>
        <v>5761</v>
      </c>
      <c r="M279" s="610" t="str">
        <f t="shared" si="17"/>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si="18"/>
        <v>6-Coût des ventes</v>
      </c>
      <c r="R279" s="609" t="str">
        <f t="shared" si="19"/>
        <v>4761</v>
      </c>
      <c r="S279" s="610">
        <f t="shared" si="20"/>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1093</v>
      </c>
      <c r="B280" s="950" t="s">
        <v>2171</v>
      </c>
      <c r="C280" s="952">
        <v>763062.29</v>
      </c>
      <c r="D280" s="952">
        <v>71924.28</v>
      </c>
      <c r="E280" s="952">
        <v>834986.57</v>
      </c>
      <c r="F280" s="950" t="s">
        <v>1055</v>
      </c>
      <c r="G280" s="950" t="s">
        <v>1047</v>
      </c>
      <c r="H280" s="929"/>
      <c r="I280" s="930"/>
      <c r="J280" s="930"/>
      <c r="K280" s="930"/>
      <c r="L280" s="609" t="str">
        <f t="shared" si="21"/>
        <v>5763</v>
      </c>
      <c r="M280" s="610" t="str">
        <f t="shared" si="17"/>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si="18"/>
        <v>6-Coût des ventes</v>
      </c>
      <c r="R280" s="609" t="str">
        <f t="shared" si="19"/>
        <v>4763</v>
      </c>
      <c r="S280" s="610">
        <f t="shared" si="20"/>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1094</v>
      </c>
      <c r="B281" s="950" t="s">
        <v>2174</v>
      </c>
      <c r="C281" s="952">
        <v>382588.15999999997</v>
      </c>
      <c r="D281" s="952">
        <v>42461.16</v>
      </c>
      <c r="E281" s="952">
        <v>425049.32</v>
      </c>
      <c r="F281" s="950" t="s">
        <v>1055</v>
      </c>
      <c r="G281" s="950" t="s">
        <v>1051</v>
      </c>
      <c r="H281" s="929"/>
      <c r="I281" s="930"/>
      <c r="J281" s="930"/>
      <c r="K281" s="930"/>
      <c r="L281" s="609" t="str">
        <f t="shared" si="21"/>
        <v>5781</v>
      </c>
      <c r="M281" s="610" t="str">
        <f t="shared" si="17"/>
        <v>COUT PNEUS</v>
      </c>
      <c r="N281" s="611">
        <f>+IF(OR($Q281=Parametres!$G$2,$Q281=Parametres!$G$3),I281,C281)</f>
        <v>382588.15999999997</v>
      </c>
      <c r="O281" s="615">
        <f>+IF(OR($Q281=Parametres!$G$2,$Q281=Parametres!$G$3),J281,D281)</f>
        <v>42461.16</v>
      </c>
      <c r="P281" s="611">
        <f>+IF(OR($Q281=Parametres!$G$2,$Q281=Parametres!$G$3),K281,E281)</f>
        <v>425049.32</v>
      </c>
      <c r="Q281" s="610" t="str">
        <f t="shared" si="18"/>
        <v>6-Coût des ventes</v>
      </c>
      <c r="R281" s="609" t="str">
        <f t="shared" si="19"/>
        <v>4781</v>
      </c>
      <c r="S281" s="610">
        <f t="shared" si="20"/>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1095</v>
      </c>
      <c r="B282" s="950" t="s">
        <v>2177</v>
      </c>
      <c r="C282" s="952">
        <v>7089.96</v>
      </c>
      <c r="D282" s="952">
        <v>1337.6</v>
      </c>
      <c r="E282" s="952">
        <v>8427.56</v>
      </c>
      <c r="F282" s="950" t="s">
        <v>1055</v>
      </c>
      <c r="G282" s="950" t="s">
        <v>1051</v>
      </c>
      <c r="H282" s="929"/>
      <c r="I282" s="929"/>
      <c r="J282" s="929"/>
      <c r="K282" s="929"/>
      <c r="L282" s="609" t="str">
        <f t="shared" si="21"/>
        <v>5785</v>
      </c>
      <c r="M282" s="610" t="str">
        <f t="shared" si="17"/>
        <v>C/V - VW PNEUS</v>
      </c>
      <c r="N282" s="611">
        <f>+IF(OR($Q282=Parametres!$G$2,$Q282=Parametres!$G$3),I282,C282)</f>
        <v>7089.96</v>
      </c>
      <c r="O282" s="615">
        <f>+IF(OR($Q282=Parametres!$G$2,$Q282=Parametres!$G$3),J282,D282)</f>
        <v>1337.6</v>
      </c>
      <c r="P282" s="611">
        <f>+IF(OR($Q282=Parametres!$G$2,$Q282=Parametres!$G$3),K282,E282)</f>
        <v>8427.56</v>
      </c>
      <c r="Q282" s="610" t="str">
        <f t="shared" si="18"/>
        <v>6-Coût des ventes</v>
      </c>
      <c r="R282" s="609" t="str">
        <f t="shared" si="19"/>
        <v>4781</v>
      </c>
      <c r="S282" s="610">
        <f t="shared" si="20"/>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1096</v>
      </c>
      <c r="B283" s="950" t="s">
        <v>2182</v>
      </c>
      <c r="C283" s="952">
        <v>-15645.42</v>
      </c>
      <c r="D283" s="952">
        <v>-5367.57</v>
      </c>
      <c r="E283" s="952">
        <v>-21012.99</v>
      </c>
      <c r="F283" s="950" t="s">
        <v>1055</v>
      </c>
      <c r="G283" s="950" t="s">
        <v>1097</v>
      </c>
      <c r="H283" s="929"/>
      <c r="I283" s="929"/>
      <c r="J283" s="929"/>
      <c r="K283" s="929"/>
      <c r="L283" s="609" t="str">
        <f t="shared" si="21"/>
        <v>5796</v>
      </c>
      <c r="M283" s="610" t="str">
        <f t="shared" si="17"/>
        <v>C/V - BONI / ESCPTE PI VW</v>
      </c>
      <c r="N283" s="611">
        <f>+IF(OR($Q283=Parametres!$G$2,$Q283=Parametres!$G$3),I283,C283)</f>
        <v>-15645.42</v>
      </c>
      <c r="O283" s="615">
        <f>+IF(OR($Q283=Parametres!$G$2,$Q283=Parametres!$G$3),J283,D283)</f>
        <v>-5367.57</v>
      </c>
      <c r="P283" s="611">
        <f>+IF(OR($Q283=Parametres!$G$2,$Q283=Parametres!$G$3),K283,E283)</f>
        <v>-21012.99</v>
      </c>
      <c r="Q283" s="610" t="str">
        <f t="shared" si="18"/>
        <v>6-Coût des ventes</v>
      </c>
      <c r="R283" s="609" t="str">
        <f t="shared" si="19"/>
        <v>5792</v>
      </c>
      <c r="S283" s="610">
        <f t="shared" si="20"/>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1098</v>
      </c>
      <c r="B284" s="950" t="s">
        <v>1100</v>
      </c>
      <c r="C284" s="952">
        <v>460692.04</v>
      </c>
      <c r="D284" s="952">
        <v>29910.06</v>
      </c>
      <c r="E284" s="952">
        <v>490602.1</v>
      </c>
      <c r="F284" s="950" t="s">
        <v>1099</v>
      </c>
      <c r="G284" s="950" t="s">
        <v>1100</v>
      </c>
      <c r="H284" s="929"/>
      <c r="I284" s="929"/>
      <c r="J284" s="929"/>
      <c r="K284" s="929"/>
      <c r="L284" s="609" t="str">
        <f t="shared" si="21"/>
        <v>6101</v>
      </c>
      <c r="M284" s="610" t="str">
        <f t="shared" si="17"/>
        <v>COMMISSION VENDEUR NEUFS</v>
      </c>
      <c r="N284" s="611">
        <f>+IF(OR($Q284=Parametres!$G$2,$Q284=Parametres!$G$3),I284,C284)</f>
        <v>460692.04</v>
      </c>
      <c r="O284" s="615">
        <f>+IF(OR($Q284=Parametres!$G$2,$Q284=Parametres!$G$3),J284,D284)</f>
        <v>29910.06</v>
      </c>
      <c r="P284" s="611">
        <f>+IF(OR($Q284=Parametres!$G$2,$Q284=Parametres!$G$3),K284,E284)</f>
        <v>490602.1</v>
      </c>
      <c r="Q284" s="610" t="str">
        <f t="shared" si="18"/>
        <v>7-Dépenses</v>
      </c>
      <c r="R284" s="609" t="str">
        <f t="shared" si="19"/>
        <v>6101</v>
      </c>
      <c r="S284" s="610">
        <f t="shared" si="20"/>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1101</v>
      </c>
      <c r="B285" s="950" t="s">
        <v>1102</v>
      </c>
      <c r="C285" s="952">
        <v>196964.34</v>
      </c>
      <c r="D285" s="952">
        <v>14353.95</v>
      </c>
      <c r="E285" s="952">
        <v>211318.29</v>
      </c>
      <c r="F285" s="950" t="s">
        <v>1099</v>
      </c>
      <c r="G285" s="950" t="s">
        <v>1102</v>
      </c>
      <c r="H285" s="929"/>
      <c r="I285" s="929"/>
      <c r="J285" s="929"/>
      <c r="K285" s="929"/>
      <c r="L285" s="609" t="str">
        <f t="shared" si="21"/>
        <v>6102</v>
      </c>
      <c r="M285" s="610" t="str">
        <f t="shared" si="17"/>
        <v>RENUMERATION F &amp; I</v>
      </c>
      <c r="N285" s="611">
        <f>+IF(OR($Q285=Parametres!$G$2,$Q285=Parametres!$G$3),I285,C285)</f>
        <v>196964.34</v>
      </c>
      <c r="O285" s="615">
        <f>+IF(OR($Q285=Parametres!$G$2,$Q285=Parametres!$G$3),J285,D285)</f>
        <v>14353.95</v>
      </c>
      <c r="P285" s="611">
        <f>+IF(OR($Q285=Parametres!$G$2,$Q285=Parametres!$G$3),K285,E285)</f>
        <v>211318.29</v>
      </c>
      <c r="Q285" s="610" t="str">
        <f t="shared" si="18"/>
        <v>7-Dépenses</v>
      </c>
      <c r="R285" s="609" t="str">
        <f t="shared" si="19"/>
        <v>6102</v>
      </c>
      <c r="S285" s="610">
        <f t="shared" si="2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1103</v>
      </c>
      <c r="B286" s="950" t="s">
        <v>1104</v>
      </c>
      <c r="C286" s="952">
        <v>1055.6600000000001</v>
      </c>
      <c r="D286" s="952">
        <v>249.5</v>
      </c>
      <c r="E286" s="952">
        <v>1305.1600000000001</v>
      </c>
      <c r="F286" s="950" t="s">
        <v>1099</v>
      </c>
      <c r="G286" s="950" t="s">
        <v>1104</v>
      </c>
      <c r="H286" s="929"/>
      <c r="I286" s="929"/>
      <c r="J286" s="929"/>
      <c r="K286" s="929"/>
      <c r="L286" s="609" t="str">
        <f t="shared" si="21"/>
        <v>6103</v>
      </c>
      <c r="M286" s="610" t="str">
        <f t="shared" si="17"/>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si="18"/>
        <v>7-Dépenses</v>
      </c>
      <c r="R286" s="609" t="str">
        <f t="shared" si="19"/>
        <v>6103</v>
      </c>
      <c r="S286" s="610">
        <f t="shared" si="20"/>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1105</v>
      </c>
      <c r="B287" s="950" t="s">
        <v>1106</v>
      </c>
      <c r="C287" s="952">
        <v>52787.58</v>
      </c>
      <c r="D287" s="952">
        <v>3105.58</v>
      </c>
      <c r="E287" s="952">
        <v>55893.16</v>
      </c>
      <c r="F287" s="950" t="s">
        <v>1099</v>
      </c>
      <c r="G287" s="950" t="s">
        <v>1106</v>
      </c>
      <c r="H287" s="929"/>
      <c r="I287" s="929"/>
      <c r="J287" s="929"/>
      <c r="K287" s="929"/>
      <c r="L287" s="609" t="str">
        <f t="shared" si="21"/>
        <v>6106</v>
      </c>
      <c r="M287" s="610" t="str">
        <f t="shared" si="17"/>
        <v>ENTRETIEN DES STOCKS</v>
      </c>
      <c r="N287" s="611">
        <f>+IF(OR($Q287=Parametres!$G$2,$Q287=Parametres!$G$3),I287,C287)</f>
        <v>52787.58</v>
      </c>
      <c r="O287" s="615">
        <f>+IF(OR($Q287=Parametres!$G$2,$Q287=Parametres!$G$3),J287,D287)</f>
        <v>3105.58</v>
      </c>
      <c r="P287" s="611">
        <f>+IF(OR($Q287=Parametres!$G$2,$Q287=Parametres!$G$3),K287,E287)</f>
        <v>55893.16</v>
      </c>
      <c r="Q287" s="610" t="str">
        <f t="shared" si="18"/>
        <v>7-Dépenses</v>
      </c>
      <c r="R287" s="609" t="str">
        <f t="shared" si="19"/>
        <v>6106</v>
      </c>
      <c r="S287" s="610">
        <f t="shared" si="20"/>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1107</v>
      </c>
      <c r="B288" s="950" t="s">
        <v>1108</v>
      </c>
      <c r="C288" s="952">
        <v>20315</v>
      </c>
      <c r="D288" s="952">
        <v>9068.61</v>
      </c>
      <c r="E288" s="952">
        <v>29383.61</v>
      </c>
      <c r="F288" s="950" t="s">
        <v>1099</v>
      </c>
      <c r="G288" s="950" t="s">
        <v>1108</v>
      </c>
      <c r="H288" s="929"/>
      <c r="I288" s="929"/>
      <c r="J288" s="929"/>
      <c r="K288" s="929"/>
      <c r="L288" s="609" t="str">
        <f t="shared" si="21"/>
        <v>6107</v>
      </c>
      <c r="M288" s="610" t="str">
        <f t="shared" si="17"/>
        <v>INTERET-PLAN DE FINANCEMENT</v>
      </c>
      <c r="N288" s="611">
        <f>+IF(OR($Q288=Parametres!$G$2,$Q288=Parametres!$G$3),I288,C288)</f>
        <v>20315</v>
      </c>
      <c r="O288" s="615">
        <f>+IF(OR($Q288=Parametres!$G$2,$Q288=Parametres!$G$3),J288,D288)</f>
        <v>9068.61</v>
      </c>
      <c r="P288" s="611">
        <f>+IF(OR($Q288=Parametres!$G$2,$Q288=Parametres!$G$3),K288,E288)</f>
        <v>29383.61</v>
      </c>
      <c r="Q288" s="610" t="str">
        <f t="shared" si="18"/>
        <v>7-Dépenses</v>
      </c>
      <c r="R288" s="609" t="str">
        <f t="shared" si="19"/>
        <v>6107</v>
      </c>
      <c r="S288" s="610">
        <f t="shared" si="20"/>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1109</v>
      </c>
      <c r="B289" s="950" t="s">
        <v>1110</v>
      </c>
      <c r="C289" s="952">
        <v>40162.28</v>
      </c>
      <c r="D289" s="952">
        <v>6194.72</v>
      </c>
      <c r="E289" s="952">
        <v>46357</v>
      </c>
      <c r="F289" s="950" t="s">
        <v>1099</v>
      </c>
      <c r="G289" s="950" t="s">
        <v>1110</v>
      </c>
      <c r="H289" s="927"/>
      <c r="I289" s="928"/>
      <c r="J289" s="928"/>
      <c r="K289" s="928"/>
      <c r="L289" s="609" t="str">
        <f t="shared" si="21"/>
        <v>6108</v>
      </c>
      <c r="M289" s="610" t="str">
        <f t="shared" si="17"/>
        <v>FRAIS DE LIVRAISON</v>
      </c>
      <c r="N289" s="611">
        <f>+IF(OR($Q289=Parametres!$G$2,$Q289=Parametres!$G$3),I289,C289)</f>
        <v>40162.28</v>
      </c>
      <c r="O289" s="615">
        <f>+IF(OR($Q289=Parametres!$G$2,$Q289=Parametres!$G$3),J289,D289)</f>
        <v>6194.72</v>
      </c>
      <c r="P289" s="611">
        <f>+IF(OR($Q289=Parametres!$G$2,$Q289=Parametres!$G$3),K289,E289)</f>
        <v>46357</v>
      </c>
      <c r="Q289" s="610" t="str">
        <f t="shared" si="18"/>
        <v>7-Dépenses</v>
      </c>
      <c r="R289" s="609" t="str">
        <f t="shared" si="19"/>
        <v>6108</v>
      </c>
      <c r="S289" s="610">
        <f t="shared" si="20"/>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1111</v>
      </c>
      <c r="B290" s="950" t="s">
        <v>1112</v>
      </c>
      <c r="C290" s="952">
        <v>169914.96</v>
      </c>
      <c r="D290" s="952">
        <v>16734.32</v>
      </c>
      <c r="E290" s="952">
        <v>186649.28</v>
      </c>
      <c r="F290" s="950" t="s">
        <v>1099</v>
      </c>
      <c r="G290" s="950" t="s">
        <v>1112</v>
      </c>
      <c r="H290" s="927"/>
      <c r="I290" s="928"/>
      <c r="J290" s="928"/>
      <c r="K290" s="928"/>
      <c r="L290" s="609" t="str">
        <f t="shared" si="21"/>
        <v>6114</v>
      </c>
      <c r="M290" s="610" t="str">
        <f t="shared" si="17"/>
        <v>PUBLICITE</v>
      </c>
      <c r="N290" s="611">
        <f>+IF(OR($Q290=Parametres!$G$2,$Q290=Parametres!$G$3),I290,C290)</f>
        <v>169914.96</v>
      </c>
      <c r="O290" s="615">
        <f>+IF(OR($Q290=Parametres!$G$2,$Q290=Parametres!$G$3),J290,D290)</f>
        <v>16734.32</v>
      </c>
      <c r="P290" s="611">
        <f>+IF(OR($Q290=Parametres!$G$2,$Q290=Parametres!$G$3),K290,E290)</f>
        <v>186649.28</v>
      </c>
      <c r="Q290" s="610" t="str">
        <f t="shared" si="18"/>
        <v>7-Dépenses</v>
      </c>
      <c r="R290" s="609" t="str">
        <f t="shared" si="19"/>
        <v>6114</v>
      </c>
      <c r="S290" s="610">
        <f t="shared" si="20"/>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1113</v>
      </c>
      <c r="B291" s="950" t="s">
        <v>2202</v>
      </c>
      <c r="C291" s="952">
        <v>-66850</v>
      </c>
      <c r="D291" s="952">
        <v>-5550</v>
      </c>
      <c r="E291" s="952">
        <v>-72400</v>
      </c>
      <c r="F291" s="950" t="s">
        <v>1099</v>
      </c>
      <c r="G291" s="950" t="s">
        <v>1112</v>
      </c>
      <c r="H291" s="927"/>
      <c r="I291" s="928"/>
      <c r="J291" s="928"/>
      <c r="K291" s="928"/>
      <c r="L291" s="609" t="str">
        <f t="shared" si="21"/>
        <v>6115</v>
      </c>
      <c r="M291" s="610" t="str">
        <f t="shared" si="17"/>
        <v>CREDIT PUBLICITE NEUF</v>
      </c>
      <c r="N291" s="611">
        <f>+IF(OR($Q291=Parametres!$G$2,$Q291=Parametres!$G$3),I291,C291)</f>
        <v>-66850</v>
      </c>
      <c r="O291" s="615">
        <f>+IF(OR($Q291=Parametres!$G$2,$Q291=Parametres!$G$3),J291,D291)</f>
        <v>-5550</v>
      </c>
      <c r="P291" s="611">
        <f>+IF(OR($Q291=Parametres!$G$2,$Q291=Parametres!$G$3),K291,E291)</f>
        <v>-72400</v>
      </c>
      <c r="Q291" s="610" t="str">
        <f t="shared" si="18"/>
        <v>7-Dépenses</v>
      </c>
      <c r="R291" s="609" t="str">
        <f t="shared" si="19"/>
        <v>6114</v>
      </c>
      <c r="S291" s="610">
        <f t="shared" si="20"/>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1114</v>
      </c>
      <c r="B292" s="950" t="s">
        <v>1115</v>
      </c>
      <c r="C292" s="952">
        <v>80091.91</v>
      </c>
      <c r="D292" s="952">
        <v>8369.7099999999991</v>
      </c>
      <c r="E292" s="952">
        <v>88461.62</v>
      </c>
      <c r="F292" s="950" t="s">
        <v>1099</v>
      </c>
      <c r="G292" s="950" t="s">
        <v>1115</v>
      </c>
      <c r="H292" s="927"/>
      <c r="I292" s="928"/>
      <c r="J292" s="928"/>
      <c r="K292" s="928"/>
      <c r="L292" s="609" t="str">
        <f t="shared" si="21"/>
        <v>6121</v>
      </c>
      <c r="M292" s="610" t="str">
        <f t="shared" si="17"/>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si="18"/>
        <v>7-Dépenses</v>
      </c>
      <c r="R292" s="609" t="str">
        <f t="shared" si="19"/>
        <v>6121</v>
      </c>
      <c r="S292" s="610">
        <f t="shared" si="20"/>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1116</v>
      </c>
      <c r="B293" s="950" t="s">
        <v>1117</v>
      </c>
      <c r="C293" s="952">
        <v>165503.76999999999</v>
      </c>
      <c r="D293" s="952">
        <v>13251.53</v>
      </c>
      <c r="E293" s="952">
        <v>178755.3</v>
      </c>
      <c r="F293" s="950" t="s">
        <v>1099</v>
      </c>
      <c r="G293" s="950" t="s">
        <v>1117</v>
      </c>
      <c r="H293" s="927"/>
      <c r="I293" s="928"/>
      <c r="J293" s="928"/>
      <c r="K293" s="928"/>
      <c r="L293" s="609" t="str">
        <f t="shared" si="21"/>
        <v>6122</v>
      </c>
      <c r="M293" s="610" t="str">
        <f t="shared" si="17"/>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si="18"/>
        <v>7-Dépenses</v>
      </c>
      <c r="R293" s="609" t="str">
        <f t="shared" si="19"/>
        <v>6122</v>
      </c>
      <c r="S293" s="610">
        <f t="shared" si="20"/>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1118</v>
      </c>
      <c r="B294" s="950" t="s">
        <v>1119</v>
      </c>
      <c r="C294" s="952">
        <v>85532.85</v>
      </c>
      <c r="D294" s="952">
        <v>8271.85</v>
      </c>
      <c r="E294" s="952">
        <v>93804.7</v>
      </c>
      <c r="F294" s="950" t="s">
        <v>1099</v>
      </c>
      <c r="G294" s="950" t="s">
        <v>1119</v>
      </c>
      <c r="H294" s="927"/>
      <c r="I294" s="928"/>
      <c r="J294" s="928"/>
      <c r="K294" s="928"/>
      <c r="L294" s="609" t="str">
        <f t="shared" si="21"/>
        <v>6123</v>
      </c>
      <c r="M294" s="610" t="str">
        <f t="shared" si="17"/>
        <v>SAL. &amp; RENUM. - CLERICAL</v>
      </c>
      <c r="N294" s="611">
        <f>+IF(OR($Q294=Parametres!$G$2,$Q294=Parametres!$G$3),I294,C294)</f>
        <v>85532.85</v>
      </c>
      <c r="O294" s="611">
        <f>+IF(OR($Q294=Parametres!$G$2,$Q294=Parametres!$G$3),J294,D294)</f>
        <v>8271.85</v>
      </c>
      <c r="P294" s="611">
        <f>+IF(OR($Q294=Parametres!$G$2,$Q294=Parametres!$G$3),K294,E294)</f>
        <v>93804.7</v>
      </c>
      <c r="Q294" s="610" t="str">
        <f t="shared" si="18"/>
        <v>7-Dépenses</v>
      </c>
      <c r="R294" s="609" t="str">
        <f t="shared" si="19"/>
        <v>6123</v>
      </c>
      <c r="S294" s="610">
        <f t="shared" si="20"/>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1120</v>
      </c>
      <c r="B295" s="950" t="s">
        <v>1121</v>
      </c>
      <c r="C295" s="952">
        <v>45852.26</v>
      </c>
      <c r="D295" s="952">
        <v>6556.67</v>
      </c>
      <c r="E295" s="952">
        <v>52408.93</v>
      </c>
      <c r="F295" s="950" t="s">
        <v>1099</v>
      </c>
      <c r="G295" s="950" t="s">
        <v>1121</v>
      </c>
      <c r="H295" s="927"/>
      <c r="I295" s="928"/>
      <c r="J295" s="928"/>
      <c r="K295" s="928"/>
      <c r="L295" s="609" t="str">
        <f t="shared" si="21"/>
        <v>6124</v>
      </c>
      <c r="M295" s="610" t="str">
        <f t="shared" si="17"/>
        <v>SALAIRES &amp; RENUM. - AUTRES</v>
      </c>
      <c r="N295" s="611">
        <f>+IF(OR($Q295=Parametres!$G$2,$Q295=Parametres!$G$3),I295,C295)</f>
        <v>45852.26</v>
      </c>
      <c r="O295" s="611">
        <f>+IF(OR($Q295=Parametres!$G$2,$Q295=Parametres!$G$3),J295,D295)</f>
        <v>6556.67</v>
      </c>
      <c r="P295" s="611">
        <f>+IF(OR($Q295=Parametres!$G$2,$Q295=Parametres!$G$3),K295,E295)</f>
        <v>52408.93</v>
      </c>
      <c r="Q295" s="610" t="str">
        <f t="shared" si="18"/>
        <v>7-Dépenses</v>
      </c>
      <c r="R295" s="609" t="str">
        <f t="shared" si="19"/>
        <v>6124</v>
      </c>
      <c r="S295" s="610">
        <f t="shared" si="2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1122</v>
      </c>
      <c r="B296" s="950" t="s">
        <v>1123</v>
      </c>
      <c r="C296" s="952">
        <v>152615.57</v>
      </c>
      <c r="D296" s="952">
        <v>33705.11</v>
      </c>
      <c r="E296" s="952">
        <v>186320.68</v>
      </c>
      <c r="F296" s="950" t="s">
        <v>1099</v>
      </c>
      <c r="G296" s="950" t="s">
        <v>1123</v>
      </c>
      <c r="H296" s="927"/>
      <c r="I296" s="928"/>
      <c r="J296" s="928"/>
      <c r="K296" s="928"/>
      <c r="L296" s="609" t="str">
        <f t="shared" si="21"/>
        <v>6129</v>
      </c>
      <c r="M296" s="610" t="str">
        <f t="shared" si="17"/>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si="18"/>
        <v>7-Dépenses</v>
      </c>
      <c r="R296" s="609" t="str">
        <f t="shared" si="19"/>
        <v>6129</v>
      </c>
      <c r="S296" s="610">
        <f t="shared" si="20"/>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1124</v>
      </c>
      <c r="B297" s="950" t="s">
        <v>1125</v>
      </c>
      <c r="C297" s="952">
        <v>33970.050000000003</v>
      </c>
      <c r="D297" s="952">
        <v>9053.94</v>
      </c>
      <c r="E297" s="952">
        <v>43023.99</v>
      </c>
      <c r="F297" s="950" t="s">
        <v>1099</v>
      </c>
      <c r="G297" s="950" t="s">
        <v>1125</v>
      </c>
      <c r="H297" s="927"/>
      <c r="I297" s="928"/>
      <c r="J297" s="928"/>
      <c r="K297" s="928"/>
      <c r="L297" s="609" t="str">
        <f t="shared" si="21"/>
        <v>6131</v>
      </c>
      <c r="M297" s="610" t="str">
        <f t="shared" si="17"/>
        <v>CSST</v>
      </c>
      <c r="N297" s="611">
        <f>+IF(OR($Q297=Parametres!$G$2,$Q297=Parametres!$G$3),I297,C297)</f>
        <v>33970.050000000003</v>
      </c>
      <c r="O297" s="611">
        <f>+IF(OR($Q297=Parametres!$G$2,$Q297=Parametres!$G$3),J297,D297)</f>
        <v>9053.94</v>
      </c>
      <c r="P297" s="611">
        <f>+IF(OR($Q297=Parametres!$G$2,$Q297=Parametres!$G$3),K297,E297)</f>
        <v>43023.99</v>
      </c>
      <c r="Q297" s="610" t="str">
        <f t="shared" si="18"/>
        <v>7-Dépenses</v>
      </c>
      <c r="R297" s="609" t="str">
        <f t="shared" si="19"/>
        <v>6131</v>
      </c>
      <c r="S297" s="610">
        <f t="shared" si="20"/>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1126</v>
      </c>
      <c r="B298" s="950" t="s">
        <v>1127</v>
      </c>
      <c r="C298" s="952">
        <v>175165.9</v>
      </c>
      <c r="D298" s="952">
        <v>22415.47</v>
      </c>
      <c r="E298" s="952">
        <v>197581.37</v>
      </c>
      <c r="F298" s="950" t="s">
        <v>1099</v>
      </c>
      <c r="G298" s="950" t="s">
        <v>1127</v>
      </c>
      <c r="H298" s="927"/>
      <c r="I298" s="928"/>
      <c r="J298" s="928"/>
      <c r="K298" s="928"/>
      <c r="L298" s="609" t="str">
        <f t="shared" si="21"/>
        <v>6132</v>
      </c>
      <c r="M298" s="610" t="str">
        <f t="shared" si="17"/>
        <v>RRQ RAMQ AC</v>
      </c>
      <c r="N298" s="611">
        <f>+IF(OR($Q298=Parametres!$G$2,$Q298=Parametres!$G$3),I298,C298)</f>
        <v>175165.9</v>
      </c>
      <c r="O298" s="611">
        <f>+IF(OR($Q298=Parametres!$G$2,$Q298=Parametres!$G$3),J298,D298)</f>
        <v>22415.47</v>
      </c>
      <c r="P298" s="611">
        <f>+IF(OR($Q298=Parametres!$G$2,$Q298=Parametres!$G$3),K298,E298)</f>
        <v>197581.37</v>
      </c>
      <c r="Q298" s="610" t="str">
        <f t="shared" si="18"/>
        <v>7-Dépenses</v>
      </c>
      <c r="R298" s="609" t="str">
        <f t="shared" si="19"/>
        <v>6132</v>
      </c>
      <c r="S298" s="610">
        <f t="shared" si="20"/>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1128</v>
      </c>
      <c r="B299" s="950" t="s">
        <v>1129</v>
      </c>
      <c r="C299" s="952">
        <v>0</v>
      </c>
      <c r="D299" s="952">
        <v>1484.98</v>
      </c>
      <c r="E299" s="952">
        <v>1484.98</v>
      </c>
      <c r="F299" s="950" t="s">
        <v>1099</v>
      </c>
      <c r="G299" s="950" t="s">
        <v>1129</v>
      </c>
      <c r="H299" s="927"/>
      <c r="I299" s="928"/>
      <c r="J299" s="928"/>
      <c r="K299" s="928"/>
      <c r="L299" s="609" t="str">
        <f t="shared" si="21"/>
        <v>6133</v>
      </c>
      <c r="M299" s="610" t="str">
        <f t="shared" si="17"/>
        <v>FOND PENSION - NEUF</v>
      </c>
      <c r="N299" s="611">
        <f>+IF(OR($Q299=Parametres!$G$2,$Q299=Parametres!$G$3),I299,C299)</f>
        <v>0</v>
      </c>
      <c r="O299" s="611">
        <f>+IF(OR($Q299=Parametres!$G$2,$Q299=Parametres!$G$3),J299,D299)</f>
        <v>1484.98</v>
      </c>
      <c r="P299" s="611">
        <f>+IF(OR($Q299=Parametres!$G$2,$Q299=Parametres!$G$3),K299,E299)</f>
        <v>1484.98</v>
      </c>
      <c r="Q299" s="610" t="str">
        <f t="shared" si="18"/>
        <v>7-Dépenses</v>
      </c>
      <c r="R299" s="609" t="str">
        <f t="shared" si="19"/>
        <v>6133</v>
      </c>
      <c r="S299" s="610">
        <f t="shared" si="20"/>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1130</v>
      </c>
      <c r="B300" s="950" t="s">
        <v>1131</v>
      </c>
      <c r="C300" s="952">
        <v>69862.69</v>
      </c>
      <c r="D300" s="952">
        <v>5142.59</v>
      </c>
      <c r="E300" s="952">
        <v>75005.279999999999</v>
      </c>
      <c r="F300" s="950" t="s">
        <v>1099</v>
      </c>
      <c r="G300" s="950" t="s">
        <v>1131</v>
      </c>
      <c r="H300" s="927"/>
      <c r="I300" s="928"/>
      <c r="J300" s="928"/>
      <c r="K300" s="928"/>
      <c r="L300" s="609" t="str">
        <f t="shared" si="21"/>
        <v>6139</v>
      </c>
      <c r="M300" s="610" t="str">
        <f t="shared" si="17"/>
        <v>ASSURANCE GROUPS</v>
      </c>
      <c r="N300" s="611">
        <f>+IF(OR($Q300=Parametres!$G$2,$Q300=Parametres!$G$3),I300,C300)</f>
        <v>69862.69</v>
      </c>
      <c r="O300" s="611">
        <f>+IF(OR($Q300=Parametres!$G$2,$Q300=Parametres!$G$3),J300,D300)</f>
        <v>5142.59</v>
      </c>
      <c r="P300" s="611">
        <f>+IF(OR($Q300=Parametres!$G$2,$Q300=Parametres!$G$3),K300,E300)</f>
        <v>75005.279999999999</v>
      </c>
      <c r="Q300" s="610" t="str">
        <f t="shared" si="18"/>
        <v>7-Dépenses</v>
      </c>
      <c r="R300" s="609" t="str">
        <f t="shared" si="19"/>
        <v>6139</v>
      </c>
      <c r="S300" s="610">
        <f t="shared" si="20"/>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1132</v>
      </c>
      <c r="B301" s="950" t="s">
        <v>1133</v>
      </c>
      <c r="C301" s="952">
        <v>339.81</v>
      </c>
      <c r="D301" s="952">
        <v>0</v>
      </c>
      <c r="E301" s="952">
        <v>339.81</v>
      </c>
      <c r="F301" s="950" t="s">
        <v>1099</v>
      </c>
      <c r="G301" s="950" t="s">
        <v>1133</v>
      </c>
      <c r="H301" s="927"/>
      <c r="I301" s="928"/>
      <c r="J301" s="928"/>
      <c r="K301" s="928"/>
      <c r="L301" s="609" t="str">
        <f t="shared" si="21"/>
        <v>6142</v>
      </c>
      <c r="M301" s="610" t="str">
        <f t="shared" si="17"/>
        <v>FOURNITURES &amp; PETITS OUTILS</v>
      </c>
      <c r="N301" s="611">
        <f>+IF(OR($Q301=Parametres!$G$2,$Q301=Parametres!$G$3),I301,C301)</f>
        <v>339.81</v>
      </c>
      <c r="O301" s="611">
        <f>+IF(OR($Q301=Parametres!$G$2,$Q301=Parametres!$G$3),J301,D301)</f>
        <v>0</v>
      </c>
      <c r="P301" s="611">
        <f>+IF(OR($Q301=Parametres!$G$2,$Q301=Parametres!$G$3),K301,E301)</f>
        <v>339.81</v>
      </c>
      <c r="Q301" s="610" t="str">
        <f t="shared" si="18"/>
        <v>7-Dépenses</v>
      </c>
      <c r="R301" s="609" t="str">
        <f t="shared" si="19"/>
        <v>6142</v>
      </c>
      <c r="S301" s="610">
        <f t="shared" si="20"/>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1134</v>
      </c>
      <c r="B302" s="950" t="s">
        <v>1135</v>
      </c>
      <c r="C302" s="952">
        <v>113.99</v>
      </c>
      <c r="D302" s="952">
        <v>0</v>
      </c>
      <c r="E302" s="952">
        <v>113.99</v>
      </c>
      <c r="F302" s="950" t="s">
        <v>1099</v>
      </c>
      <c r="G302" s="950" t="s">
        <v>1135</v>
      </c>
      <c r="H302" s="927"/>
      <c r="I302" s="928"/>
      <c r="J302" s="928"/>
      <c r="K302" s="928"/>
      <c r="L302" s="609" t="str">
        <f t="shared" si="21"/>
        <v>6143</v>
      </c>
      <c r="M302" s="610" t="str">
        <f t="shared" si="17"/>
        <v>UNIFORMES &amp; LESSIVE</v>
      </c>
      <c r="N302" s="611">
        <f>+IF(OR($Q302=Parametres!$G$2,$Q302=Parametres!$G$3),I302,C302)</f>
        <v>113.99</v>
      </c>
      <c r="O302" s="611">
        <f>+IF(OR($Q302=Parametres!$G$2,$Q302=Parametres!$G$3),J302,D302)</f>
        <v>0</v>
      </c>
      <c r="P302" s="611">
        <f>+IF(OR($Q302=Parametres!$G$2,$Q302=Parametres!$G$3),K302,E302)</f>
        <v>113.99</v>
      </c>
      <c r="Q302" s="610" t="str">
        <f t="shared" si="18"/>
        <v>7-Dépenses</v>
      </c>
      <c r="R302" s="609" t="str">
        <f t="shared" si="19"/>
        <v>6143</v>
      </c>
      <c r="S302" s="610">
        <f t="shared" si="20"/>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1136</v>
      </c>
      <c r="B303" s="950" t="s">
        <v>1137</v>
      </c>
      <c r="C303" s="952">
        <v>13726.62</v>
      </c>
      <c r="D303" s="952">
        <v>2965.24</v>
      </c>
      <c r="E303" s="952">
        <v>16691.86</v>
      </c>
      <c r="F303" s="950" t="s">
        <v>1099</v>
      </c>
      <c r="G303" s="950" t="s">
        <v>1137</v>
      </c>
      <c r="H303" s="927"/>
      <c r="I303" s="928"/>
      <c r="J303" s="928"/>
      <c r="K303" s="928"/>
      <c r="L303" s="609" t="str">
        <f t="shared" si="21"/>
        <v>6144</v>
      </c>
      <c r="M303" s="610" t="str">
        <f t="shared" si="17"/>
        <v>FORMATION</v>
      </c>
      <c r="N303" s="611">
        <f>+IF(OR($Q303=Parametres!$G$2,$Q303=Parametres!$G$3),I303,C303)</f>
        <v>13726.62</v>
      </c>
      <c r="O303" s="611">
        <f>+IF(OR($Q303=Parametres!$G$2,$Q303=Parametres!$G$3),J303,D303)</f>
        <v>2965.24</v>
      </c>
      <c r="P303" s="611">
        <f>+IF(OR($Q303=Parametres!$G$2,$Q303=Parametres!$G$3),K303,E303)</f>
        <v>16691.86</v>
      </c>
      <c r="Q303" s="610" t="str">
        <f t="shared" si="18"/>
        <v>7-Dépenses</v>
      </c>
      <c r="R303" s="609" t="str">
        <f t="shared" si="19"/>
        <v>6144</v>
      </c>
      <c r="S303" s="610">
        <f t="shared" si="20"/>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1138</v>
      </c>
      <c r="B304" s="950" t="s">
        <v>1139</v>
      </c>
      <c r="C304" s="952">
        <v>91428.6</v>
      </c>
      <c r="D304" s="952">
        <v>12232.5</v>
      </c>
      <c r="E304" s="952">
        <v>103661.1</v>
      </c>
      <c r="F304" s="950" t="s">
        <v>1099</v>
      </c>
      <c r="G304" s="950" t="s">
        <v>1139</v>
      </c>
      <c r="H304" s="927"/>
      <c r="I304" s="928"/>
      <c r="J304" s="928"/>
      <c r="K304" s="928"/>
      <c r="L304" s="609" t="str">
        <f t="shared" si="21"/>
        <v>6145</v>
      </c>
      <c r="M304" s="610" t="str">
        <f t="shared" si="17"/>
        <v>VEHICULE DE COMPAGNIE - DEPENS</v>
      </c>
      <c r="N304" s="611">
        <f>+IF(OR($Q304=Parametres!$G$2,$Q304=Parametres!$G$3),I304,C304)</f>
        <v>91428.6</v>
      </c>
      <c r="O304" s="611">
        <f>+IF(OR($Q304=Parametres!$G$2,$Q304=Parametres!$G$3),J304,D304)</f>
        <v>12232.5</v>
      </c>
      <c r="P304" s="611">
        <f>+IF(OR($Q304=Parametres!$G$2,$Q304=Parametres!$G$3),K304,E304)</f>
        <v>103661.1</v>
      </c>
      <c r="Q304" s="610" t="str">
        <f t="shared" si="18"/>
        <v>7-Dépenses</v>
      </c>
      <c r="R304" s="609" t="str">
        <f t="shared" si="19"/>
        <v>6145</v>
      </c>
      <c r="S304" s="610">
        <f t="shared" si="20"/>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1140</v>
      </c>
      <c r="B305" s="950" t="s">
        <v>1141</v>
      </c>
      <c r="C305" s="952">
        <v>1572.14</v>
      </c>
      <c r="D305" s="952">
        <v>158.28</v>
      </c>
      <c r="E305" s="952">
        <v>1730.42</v>
      </c>
      <c r="F305" s="950" t="s">
        <v>1099</v>
      </c>
      <c r="G305" s="950" t="s">
        <v>1141</v>
      </c>
      <c r="H305" s="927"/>
      <c r="I305" s="928"/>
      <c r="J305" s="928"/>
      <c r="K305" s="928"/>
      <c r="L305" s="609" t="str">
        <f t="shared" si="21"/>
        <v>6147</v>
      </c>
      <c r="M305" s="610" t="str">
        <f t="shared" si="17"/>
        <v>FRET/EXPRESS/TRANS. PAR CAMION</v>
      </c>
      <c r="N305" s="611">
        <f>+IF(OR($Q305=Parametres!$G$2,$Q305=Parametres!$G$3),I305,C305)</f>
        <v>1572.14</v>
      </c>
      <c r="O305" s="611">
        <f>+IF(OR($Q305=Parametres!$G$2,$Q305=Parametres!$G$3),J305,D305)</f>
        <v>158.28</v>
      </c>
      <c r="P305" s="611">
        <f>+IF(OR($Q305=Parametres!$G$2,$Q305=Parametres!$G$3),K305,E305)</f>
        <v>1730.42</v>
      </c>
      <c r="Q305" s="610" t="str">
        <f t="shared" si="18"/>
        <v>7-Dépenses</v>
      </c>
      <c r="R305" s="609" t="str">
        <f t="shared" si="19"/>
        <v>6147</v>
      </c>
      <c r="S305" s="610">
        <f t="shared" si="2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1142</v>
      </c>
      <c r="B306" s="950" t="s">
        <v>1143</v>
      </c>
      <c r="C306" s="952">
        <v>83241.56</v>
      </c>
      <c r="D306" s="952">
        <v>5935.79</v>
      </c>
      <c r="E306" s="952">
        <v>89177.35</v>
      </c>
      <c r="F306" s="950" t="s">
        <v>1099</v>
      </c>
      <c r="G306" s="950" t="s">
        <v>1143</v>
      </c>
      <c r="H306" s="927"/>
      <c r="I306" s="928"/>
      <c r="J306" s="928"/>
      <c r="K306" s="928"/>
      <c r="L306" s="609" t="str">
        <f t="shared" si="21"/>
        <v>6151</v>
      </c>
      <c r="M306" s="610" t="str">
        <f t="shared" si="17"/>
        <v>DEP. DU TRAITEMENT DES DONNEES</v>
      </c>
      <c r="N306" s="611">
        <f>+IF(OR($Q306=Parametres!$G$2,$Q306=Parametres!$G$3),I306,C306)</f>
        <v>83241.56</v>
      </c>
      <c r="O306" s="611">
        <f>+IF(OR($Q306=Parametres!$G$2,$Q306=Parametres!$G$3),J306,D306)</f>
        <v>5935.79</v>
      </c>
      <c r="P306" s="611">
        <f>+IF(OR($Q306=Parametres!$G$2,$Q306=Parametres!$G$3),K306,E306)</f>
        <v>89177.35</v>
      </c>
      <c r="Q306" s="610" t="str">
        <f t="shared" si="18"/>
        <v>7-Dépenses</v>
      </c>
      <c r="R306" s="609" t="str">
        <f t="shared" si="19"/>
        <v>6151</v>
      </c>
      <c r="S306" s="610">
        <f t="shared" si="20"/>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1144</v>
      </c>
      <c r="B307" s="950" t="s">
        <v>1145</v>
      </c>
      <c r="C307" s="952">
        <v>7650.15</v>
      </c>
      <c r="D307" s="952">
        <v>942.03</v>
      </c>
      <c r="E307" s="952">
        <v>8592.18</v>
      </c>
      <c r="F307" s="950" t="s">
        <v>1099</v>
      </c>
      <c r="G307" s="950" t="s">
        <v>1145</v>
      </c>
      <c r="H307" s="927"/>
      <c r="I307" s="928"/>
      <c r="J307" s="928"/>
      <c r="K307" s="928"/>
      <c r="L307" s="609" t="str">
        <f t="shared" si="21"/>
        <v>6152</v>
      </c>
      <c r="M307" s="610" t="str">
        <f t="shared" si="17"/>
        <v>PAPETERIE</v>
      </c>
      <c r="N307" s="611">
        <f>+IF(OR($Q307=Parametres!$G$2,$Q307=Parametres!$G$3),I307,C307)</f>
        <v>7650.15</v>
      </c>
      <c r="O307" s="611">
        <f>+IF(OR($Q307=Parametres!$G$2,$Q307=Parametres!$G$3),J307,D307)</f>
        <v>942.03</v>
      </c>
      <c r="P307" s="611">
        <f>+IF(OR($Q307=Parametres!$G$2,$Q307=Parametres!$G$3),K307,E307)</f>
        <v>8592.18</v>
      </c>
      <c r="Q307" s="610" t="str">
        <f t="shared" si="18"/>
        <v>7-Dépenses</v>
      </c>
      <c r="R307" s="609" t="str">
        <f t="shared" si="19"/>
        <v>6152</v>
      </c>
      <c r="S307" s="610">
        <f t="shared" si="20"/>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1146</v>
      </c>
      <c r="B308" s="950" t="s">
        <v>1147</v>
      </c>
      <c r="C308" s="952">
        <v>2959.06</v>
      </c>
      <c r="D308" s="952">
        <v>241.05</v>
      </c>
      <c r="E308" s="952">
        <v>3200.11</v>
      </c>
      <c r="F308" s="950" t="s">
        <v>1099</v>
      </c>
      <c r="G308" s="950" t="s">
        <v>1147</v>
      </c>
      <c r="H308" s="927"/>
      <c r="I308" s="928"/>
      <c r="J308" s="928"/>
      <c r="K308" s="928"/>
      <c r="L308" s="609" t="str">
        <f t="shared" si="21"/>
        <v>6153</v>
      </c>
      <c r="M308" s="610" t="str">
        <f t="shared" si="17"/>
        <v>TELEPHONE ET TELEX</v>
      </c>
      <c r="N308" s="611">
        <f>+IF(OR($Q308=Parametres!$G$2,$Q308=Parametres!$G$3),I308,C308)</f>
        <v>2959.06</v>
      </c>
      <c r="O308" s="611">
        <f>+IF(OR($Q308=Parametres!$G$2,$Q308=Parametres!$G$3),J308,D308)</f>
        <v>241.05</v>
      </c>
      <c r="P308" s="611">
        <f>+IF(OR($Q308=Parametres!$G$2,$Q308=Parametres!$G$3),K308,E308)</f>
        <v>3200.11</v>
      </c>
      <c r="Q308" s="610" t="str">
        <f t="shared" si="18"/>
        <v>7-Dépenses</v>
      </c>
      <c r="R308" s="609" t="str">
        <f t="shared" si="19"/>
        <v>6153</v>
      </c>
      <c r="S308" s="610">
        <f t="shared" si="20"/>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1148</v>
      </c>
      <c r="B309" s="950" t="s">
        <v>1149</v>
      </c>
      <c r="C309" s="952">
        <v>2931.35</v>
      </c>
      <c r="D309" s="952">
        <v>-3.75</v>
      </c>
      <c r="E309" s="952">
        <v>2927.6</v>
      </c>
      <c r="F309" s="950" t="s">
        <v>1099</v>
      </c>
      <c r="G309" s="950" t="s">
        <v>1149</v>
      </c>
      <c r="H309" s="927"/>
      <c r="I309" s="928"/>
      <c r="J309" s="928"/>
      <c r="K309" s="928"/>
      <c r="L309" s="609" t="str">
        <f t="shared" si="21"/>
        <v>6155</v>
      </c>
      <c r="M309" s="610" t="str">
        <f t="shared" si="17"/>
        <v>DEPENSES DIVERS</v>
      </c>
      <c r="N309" s="611">
        <f>+IF(OR($Q309=Parametres!$G$2,$Q309=Parametres!$G$3),I309,C309)</f>
        <v>2931.35</v>
      </c>
      <c r="O309" s="611">
        <f>+IF(OR($Q309=Parametres!$G$2,$Q309=Parametres!$G$3),J309,D309)</f>
        <v>-3.75</v>
      </c>
      <c r="P309" s="611">
        <f>+IF(OR($Q309=Parametres!$G$2,$Q309=Parametres!$G$3),K309,E309)</f>
        <v>2927.6</v>
      </c>
      <c r="Q309" s="610" t="str">
        <f t="shared" si="18"/>
        <v>7-Dépenses</v>
      </c>
      <c r="R309" s="609" t="str">
        <f t="shared" si="19"/>
        <v>6155</v>
      </c>
      <c r="S309" s="610">
        <f t="shared" si="20"/>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1150</v>
      </c>
      <c r="B310" s="950" t="s">
        <v>1151</v>
      </c>
      <c r="C310" s="952">
        <v>12492.64</v>
      </c>
      <c r="D310" s="952">
        <v>862.19</v>
      </c>
      <c r="E310" s="952">
        <v>13354.83</v>
      </c>
      <c r="F310" s="950" t="s">
        <v>1099</v>
      </c>
      <c r="G310" s="950" t="s">
        <v>1151</v>
      </c>
      <c r="H310" s="927"/>
      <c r="I310" s="928"/>
      <c r="J310" s="928"/>
      <c r="K310" s="928"/>
      <c r="L310" s="609" t="str">
        <f t="shared" si="21"/>
        <v>6156</v>
      </c>
      <c r="M310" s="610" t="str">
        <f t="shared" si="17"/>
        <v>FRAIS REPRESENTATION - NEUF</v>
      </c>
      <c r="N310" s="611">
        <f>+IF(OR($Q310=Parametres!$G$2,$Q310=Parametres!$G$3),I310,C310)</f>
        <v>12492.64</v>
      </c>
      <c r="O310" s="611">
        <f>+IF(OR($Q310=Parametres!$G$2,$Q310=Parametres!$G$3),J310,D310)</f>
        <v>862.19</v>
      </c>
      <c r="P310" s="611">
        <f>+IF(OR($Q310=Parametres!$G$2,$Q310=Parametres!$G$3),K310,E310)</f>
        <v>13354.83</v>
      </c>
      <c r="Q310" s="610" t="str">
        <f t="shared" si="18"/>
        <v>7-Dépenses</v>
      </c>
      <c r="R310" s="609" t="str">
        <f t="shared" si="19"/>
        <v>6156</v>
      </c>
      <c r="S310" s="610">
        <f t="shared" si="20"/>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1152</v>
      </c>
      <c r="B311" s="950" t="s">
        <v>3332</v>
      </c>
      <c r="C311" s="952">
        <v>49147.26</v>
      </c>
      <c r="D311" s="952">
        <v>-3163.38</v>
      </c>
      <c r="E311" s="952">
        <v>45983.88</v>
      </c>
      <c r="F311" s="950" t="s">
        <v>1099</v>
      </c>
      <c r="G311" s="950" t="s">
        <v>1153</v>
      </c>
      <c r="H311" s="927"/>
      <c r="I311" s="928"/>
      <c r="J311" s="928"/>
      <c r="K311" s="928"/>
      <c r="L311" s="609" t="str">
        <f t="shared" si="21"/>
        <v>6157</v>
      </c>
      <c r="M311" s="610" t="str">
        <f t="shared" si="17"/>
        <v>FRAIS BANCAIRES - NEUF</v>
      </c>
      <c r="N311" s="611">
        <f>+IF(OR($Q311=Parametres!$G$2,$Q311=Parametres!$G$3),I311,C311)</f>
        <v>49147.26</v>
      </c>
      <c r="O311" s="611">
        <f>+IF(OR($Q311=Parametres!$G$2,$Q311=Parametres!$G$3),J311,D311)</f>
        <v>-3163.38</v>
      </c>
      <c r="P311" s="611">
        <f>+IF(OR($Q311=Parametres!$G$2,$Q311=Parametres!$G$3),K311,E311)</f>
        <v>45983.88</v>
      </c>
      <c r="Q311" s="610" t="str">
        <f t="shared" si="18"/>
        <v>7-Dépenses</v>
      </c>
      <c r="R311" s="609" t="str">
        <f t="shared" si="19"/>
        <v>615</v>
      </c>
      <c r="S311" s="610">
        <f t="shared" si="20"/>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1154</v>
      </c>
      <c r="B312" s="950" t="s">
        <v>1155</v>
      </c>
      <c r="C312" s="952">
        <v>74595.070000000007</v>
      </c>
      <c r="D312" s="952">
        <v>6386.01</v>
      </c>
      <c r="E312" s="952">
        <v>80981.08</v>
      </c>
      <c r="F312" s="950" t="s">
        <v>1099</v>
      </c>
      <c r="G312" s="950" t="s">
        <v>1155</v>
      </c>
      <c r="H312" s="927"/>
      <c r="I312" s="928"/>
      <c r="J312" s="928"/>
      <c r="K312" s="928"/>
      <c r="L312" s="609" t="str">
        <f t="shared" si="21"/>
        <v>6159</v>
      </c>
      <c r="M312" s="610" t="str">
        <f t="shared" si="17"/>
        <v>SERVICE EXTERIEUR</v>
      </c>
      <c r="N312" s="611">
        <f>+IF(OR($Q312=Parametres!$G$2,$Q312=Parametres!$G$3),I312,C312)</f>
        <v>74595.070000000007</v>
      </c>
      <c r="O312" s="611">
        <f>+IF(OR($Q312=Parametres!$G$2,$Q312=Parametres!$G$3),J312,D312)</f>
        <v>6386.01</v>
      </c>
      <c r="P312" s="611">
        <f>+IF(OR($Q312=Parametres!$G$2,$Q312=Parametres!$G$3),K312,E312)</f>
        <v>80981.08</v>
      </c>
      <c r="Q312" s="610" t="str">
        <f t="shared" si="18"/>
        <v>7-Dépenses</v>
      </c>
      <c r="R312" s="609" t="str">
        <f t="shared" si="19"/>
        <v>6159</v>
      </c>
      <c r="S312" s="610">
        <f t="shared" si="20"/>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1156</v>
      </c>
      <c r="B313" s="950" t="s">
        <v>1157</v>
      </c>
      <c r="C313" s="952">
        <v>15187.04</v>
      </c>
      <c r="D313" s="952">
        <v>1380.64</v>
      </c>
      <c r="E313" s="952">
        <v>16567.68</v>
      </c>
      <c r="F313" s="950" t="s">
        <v>1099</v>
      </c>
      <c r="G313" s="950" t="s">
        <v>1157</v>
      </c>
      <c r="H313" s="927"/>
      <c r="I313" s="928"/>
      <c r="J313" s="928"/>
      <c r="K313" s="928"/>
      <c r="L313" s="609" t="str">
        <f t="shared" si="21"/>
        <v>6161</v>
      </c>
      <c r="M313" s="610" t="str">
        <f t="shared" si="17"/>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si="18"/>
        <v>7-Dépenses</v>
      </c>
      <c r="R313" s="609" t="str">
        <f t="shared" si="19"/>
        <v>6161</v>
      </c>
      <c r="S313" s="610">
        <f t="shared" si="20"/>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1158</v>
      </c>
      <c r="B314" s="950" t="s">
        <v>1159</v>
      </c>
      <c r="C314" s="952">
        <v>8906.51</v>
      </c>
      <c r="D314" s="952">
        <v>297.87</v>
      </c>
      <c r="E314" s="952">
        <v>9204.3799999999992</v>
      </c>
      <c r="F314" s="950" t="s">
        <v>1099</v>
      </c>
      <c r="G314" s="950" t="s">
        <v>1159</v>
      </c>
      <c r="H314" s="927"/>
      <c r="I314" s="928"/>
      <c r="J314" s="928"/>
      <c r="K314" s="928"/>
      <c r="L314" s="609" t="str">
        <f t="shared" si="21"/>
        <v>6181</v>
      </c>
      <c r="M314" s="610" t="str">
        <f t="shared" si="17"/>
        <v>ELECTRICITE CHAUFFAGE</v>
      </c>
      <c r="N314" s="611">
        <f>+IF(OR($Q314=Parametres!$G$2,$Q314=Parametres!$G$3),I314,C314)</f>
        <v>8906.51</v>
      </c>
      <c r="O314" s="611">
        <f>+IF(OR($Q314=Parametres!$G$2,$Q314=Parametres!$G$3),J314,D314)</f>
        <v>297.87</v>
      </c>
      <c r="P314" s="611">
        <f>+IF(OR($Q314=Parametres!$G$2,$Q314=Parametres!$G$3),K314,E314)</f>
        <v>9204.3799999999992</v>
      </c>
      <c r="Q314" s="610" t="str">
        <f t="shared" si="18"/>
        <v>7-Dépenses</v>
      </c>
      <c r="R314" s="609" t="str">
        <f t="shared" si="19"/>
        <v>6181</v>
      </c>
      <c r="S314" s="610">
        <f t="shared" si="20"/>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1160</v>
      </c>
      <c r="B315" s="950" t="s">
        <v>1161</v>
      </c>
      <c r="C315" s="952">
        <v>91520</v>
      </c>
      <c r="D315" s="952">
        <v>8320</v>
      </c>
      <c r="E315" s="952">
        <v>99840</v>
      </c>
      <c r="F315" s="950" t="s">
        <v>1099</v>
      </c>
      <c r="G315" s="950" t="s">
        <v>1161</v>
      </c>
      <c r="H315" s="927"/>
      <c r="I315" s="928"/>
      <c r="J315" s="928"/>
      <c r="K315" s="928"/>
      <c r="L315" s="609" t="str">
        <f t="shared" si="21"/>
        <v>6182</v>
      </c>
      <c r="M315" s="610" t="str">
        <f t="shared" si="17"/>
        <v>LOYER NEUFS</v>
      </c>
      <c r="N315" s="611">
        <f>+IF(OR($Q315=Parametres!$G$2,$Q315=Parametres!$G$3),I315,C315)</f>
        <v>91520</v>
      </c>
      <c r="O315" s="611">
        <f>+IF(OR($Q315=Parametres!$G$2,$Q315=Parametres!$G$3),J315,D315)</f>
        <v>8320</v>
      </c>
      <c r="P315" s="611">
        <f>+IF(OR($Q315=Parametres!$G$2,$Q315=Parametres!$G$3),K315,E315)</f>
        <v>99840</v>
      </c>
      <c r="Q315" s="610" t="str">
        <f t="shared" si="18"/>
        <v>7-Dépenses</v>
      </c>
      <c r="R315" s="609" t="str">
        <f t="shared" si="19"/>
        <v>6182</v>
      </c>
      <c r="S315" s="610">
        <f t="shared" si="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1162</v>
      </c>
      <c r="B316" s="950" t="s">
        <v>1163</v>
      </c>
      <c r="C316" s="952">
        <v>15033.92</v>
      </c>
      <c r="D316" s="952">
        <v>1366.72</v>
      </c>
      <c r="E316" s="952">
        <v>16400.64</v>
      </c>
      <c r="F316" s="950" t="s">
        <v>1099</v>
      </c>
      <c r="G316" s="950" t="s">
        <v>1163</v>
      </c>
      <c r="H316" s="927"/>
      <c r="I316" s="928"/>
      <c r="J316" s="928"/>
      <c r="K316" s="928"/>
      <c r="L316" s="609" t="str">
        <f t="shared" si="21"/>
        <v>6186</v>
      </c>
      <c r="M316" s="610" t="str">
        <f t="shared" si="17"/>
        <v>ASSURANCE BATIMENT</v>
      </c>
      <c r="N316" s="611">
        <f>+IF(OR($Q316=Parametres!$G$2,$Q316=Parametres!$G$3),I316,C316)</f>
        <v>15033.92</v>
      </c>
      <c r="O316" s="611">
        <f>+IF(OR($Q316=Parametres!$G$2,$Q316=Parametres!$G$3),J316,D316)</f>
        <v>1366.72</v>
      </c>
      <c r="P316" s="611">
        <f>+IF(OR($Q316=Parametres!$G$2,$Q316=Parametres!$G$3),K316,E316)</f>
        <v>16400.64</v>
      </c>
      <c r="Q316" s="610" t="str">
        <f t="shared" si="18"/>
        <v>7-Dépenses</v>
      </c>
      <c r="R316" s="609" t="str">
        <f t="shared" si="19"/>
        <v>6186</v>
      </c>
      <c r="S316" s="610">
        <f t="shared" si="20"/>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1164</v>
      </c>
      <c r="B317" s="950" t="s">
        <v>1165</v>
      </c>
      <c r="C317" s="952">
        <v>17353.599999999999</v>
      </c>
      <c r="D317" s="952">
        <v>529.92999999999995</v>
      </c>
      <c r="E317" s="952">
        <v>17883.53</v>
      </c>
      <c r="F317" s="950" t="s">
        <v>1099</v>
      </c>
      <c r="G317" s="950" t="s">
        <v>1165</v>
      </c>
      <c r="H317" s="927"/>
      <c r="I317" s="928"/>
      <c r="J317" s="928"/>
      <c r="K317" s="928"/>
      <c r="L317" s="609" t="str">
        <f t="shared" si="21"/>
        <v>6187</v>
      </c>
      <c r="M317" s="610" t="str">
        <f t="shared" si="17"/>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si="18"/>
        <v>7-Dépenses</v>
      </c>
      <c r="R317" s="609" t="str">
        <f t="shared" si="19"/>
        <v>6187</v>
      </c>
      <c r="S317" s="610">
        <f t="shared" si="20"/>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1166</v>
      </c>
      <c r="B318" s="950" t="s">
        <v>1167</v>
      </c>
      <c r="C318" s="952">
        <v>11545.6</v>
      </c>
      <c r="D318" s="952">
        <v>1049.5999999999999</v>
      </c>
      <c r="E318" s="952">
        <v>12595.2</v>
      </c>
      <c r="F318" s="950" t="s">
        <v>1099</v>
      </c>
      <c r="G318" s="950" t="s">
        <v>1167</v>
      </c>
      <c r="H318" s="927"/>
      <c r="I318" s="928"/>
      <c r="J318" s="928"/>
      <c r="K318" s="928"/>
      <c r="L318" s="609" t="str">
        <f t="shared" si="21"/>
        <v>6193</v>
      </c>
      <c r="M318" s="610" t="str">
        <f t="shared" si="17"/>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si="18"/>
        <v>7-Dépenses</v>
      </c>
      <c r="R318" s="609" t="str">
        <f t="shared" si="19"/>
        <v>6193</v>
      </c>
      <c r="S318" s="610">
        <f t="shared" si="20"/>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1168</v>
      </c>
      <c r="B319" s="950" t="s">
        <v>1169</v>
      </c>
      <c r="C319" s="952">
        <v>21554.17</v>
      </c>
      <c r="D319" s="952">
        <v>1959.47</v>
      </c>
      <c r="E319" s="952">
        <v>23513.64</v>
      </c>
      <c r="F319" s="950" t="s">
        <v>1099</v>
      </c>
      <c r="G319" s="950" t="s">
        <v>1169</v>
      </c>
      <c r="H319" s="927"/>
      <c r="I319" s="928"/>
      <c r="J319" s="928"/>
      <c r="K319" s="928"/>
      <c r="L319" s="609" t="str">
        <f t="shared" si="21"/>
        <v>6194</v>
      </c>
      <c r="M319" s="610" t="str">
        <f t="shared" si="17"/>
        <v>HONORAIRES PROFESSIONNELS</v>
      </c>
      <c r="N319" s="611">
        <f>+IF(OR($Q319=Parametres!$G$2,$Q319=Parametres!$G$3),I319,C319)</f>
        <v>21554.17</v>
      </c>
      <c r="O319" s="611">
        <f>+IF(OR($Q319=Parametres!$G$2,$Q319=Parametres!$G$3),J319,D319)</f>
        <v>1959.47</v>
      </c>
      <c r="P319" s="611">
        <f>+IF(OR($Q319=Parametres!$G$2,$Q319=Parametres!$G$3),K319,E319)</f>
        <v>23513.64</v>
      </c>
      <c r="Q319" s="610" t="str">
        <f t="shared" si="18"/>
        <v>7-Dépenses</v>
      </c>
      <c r="R319" s="609" t="str">
        <f t="shared" si="19"/>
        <v>6194</v>
      </c>
      <c r="S319" s="610">
        <f t="shared" si="20"/>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1170</v>
      </c>
      <c r="B320" s="950" t="s">
        <v>2264</v>
      </c>
      <c r="C320" s="952">
        <v>276749.90000000002</v>
      </c>
      <c r="D320" s="952">
        <v>10925.41</v>
      </c>
      <c r="E320" s="952">
        <v>287675.31</v>
      </c>
      <c r="F320" s="950" t="s">
        <v>1099</v>
      </c>
      <c r="G320" s="950" t="s">
        <v>1100</v>
      </c>
      <c r="H320" s="927"/>
      <c r="I320" s="928"/>
      <c r="J320" s="928"/>
      <c r="K320" s="928"/>
      <c r="L320" s="609" t="str">
        <f t="shared" si="21"/>
        <v>6201</v>
      </c>
      <c r="M320" s="610" t="str">
        <f t="shared" si="17"/>
        <v>COMMISSION USAGES</v>
      </c>
      <c r="N320" s="611">
        <f>+IF(OR($Q320=Parametres!$G$2,$Q320=Parametres!$G$3),I320,C320)</f>
        <v>276749.90000000002</v>
      </c>
      <c r="O320" s="611">
        <f>+IF(OR($Q320=Parametres!$G$2,$Q320=Parametres!$G$3),J320,D320)</f>
        <v>10925.41</v>
      </c>
      <c r="P320" s="611">
        <f>+IF(OR($Q320=Parametres!$G$2,$Q320=Parametres!$G$3),K320,E320)</f>
        <v>287675.31</v>
      </c>
      <c r="Q320" s="610" t="str">
        <f t="shared" si="18"/>
        <v>7-Dépenses</v>
      </c>
      <c r="R320" s="609" t="str">
        <f t="shared" si="19"/>
        <v>6101</v>
      </c>
      <c r="S320" s="610">
        <f t="shared" si="20"/>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1101</v>
      </c>
      <c r="B321" s="950" t="s">
        <v>2267</v>
      </c>
      <c r="C321" s="952">
        <v>244478.97</v>
      </c>
      <c r="D321" s="952">
        <v>13256.64</v>
      </c>
      <c r="E321" s="952">
        <v>257735.61</v>
      </c>
      <c r="F321" s="950" t="s">
        <v>1099</v>
      </c>
      <c r="G321" s="950" t="s">
        <v>1102</v>
      </c>
      <c r="H321" s="927"/>
      <c r="I321" s="928"/>
      <c r="J321" s="928"/>
      <c r="K321" s="928"/>
      <c r="L321" s="609" t="str">
        <f t="shared" si="21"/>
        <v>6202</v>
      </c>
      <c r="M321" s="610" t="str">
        <f t="shared" si="17"/>
        <v>RENUMERATION F &amp; I</v>
      </c>
      <c r="N321" s="611">
        <f>+IF(OR($Q321=Parametres!$G$2,$Q321=Parametres!$G$3),I321,C321)</f>
        <v>244478.97</v>
      </c>
      <c r="O321" s="611">
        <f>+IF(OR($Q321=Parametres!$G$2,$Q321=Parametres!$G$3),J321,D321)</f>
        <v>13256.64</v>
      </c>
      <c r="P321" s="611">
        <f>+IF(OR($Q321=Parametres!$G$2,$Q321=Parametres!$G$3),K321,E321)</f>
        <v>257735.61</v>
      </c>
      <c r="Q321" s="610" t="str">
        <f t="shared" si="18"/>
        <v>7-Dépenses</v>
      </c>
      <c r="R321" s="609" t="str">
        <f t="shared" si="19"/>
        <v>6102</v>
      </c>
      <c r="S321" s="610">
        <f t="shared" si="20"/>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1171</v>
      </c>
      <c r="B322" s="950" t="s">
        <v>2270</v>
      </c>
      <c r="C322" s="952">
        <v>1812.09</v>
      </c>
      <c r="D322" s="952">
        <v>0</v>
      </c>
      <c r="E322" s="952">
        <v>1812.09</v>
      </c>
      <c r="F322" s="950" t="s">
        <v>1099</v>
      </c>
      <c r="G322" s="950" t="s">
        <v>1104</v>
      </c>
      <c r="H322" s="927"/>
      <c r="I322" s="928"/>
      <c r="J322" s="928"/>
      <c r="K322" s="928"/>
      <c r="L322" s="609" t="str">
        <f t="shared" si="21"/>
        <v>6203</v>
      </c>
      <c r="M322" s="610" t="str">
        <f t="shared" si="17"/>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Q385" si="22">+F322</f>
        <v>7-Dépenses</v>
      </c>
      <c r="R322" s="609" t="str">
        <f t="shared" ref="R322:R385" si="23">+G322</f>
        <v>6103</v>
      </c>
      <c r="S322" s="610">
        <f t="shared" ref="S322:S385" si="24">+H322</f>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1105</v>
      </c>
      <c r="B323" s="950" t="s">
        <v>2273</v>
      </c>
      <c r="C323" s="952">
        <v>51151.41</v>
      </c>
      <c r="D323" s="952">
        <v>4374.82</v>
      </c>
      <c r="E323" s="952">
        <v>55526.23</v>
      </c>
      <c r="F323" s="950" t="s">
        <v>1099</v>
      </c>
      <c r="G323" s="950" t="s">
        <v>1106</v>
      </c>
      <c r="H323" s="927"/>
      <c r="I323" s="928"/>
      <c r="J323" s="928"/>
      <c r="K323" s="928"/>
      <c r="L323" s="609" t="str">
        <f t="shared" ref="L323:L386" si="25">TEXT(B323,0)</f>
        <v>6206</v>
      </c>
      <c r="M323" s="610" t="str">
        <f t="shared" si="17"/>
        <v>ENTRETIEN DES STOCKS</v>
      </c>
      <c r="N323" s="611">
        <f>+IF(OR($Q323=Parametres!$G$2,$Q323=Parametres!$G$3),I323,C323)</f>
        <v>51151.41</v>
      </c>
      <c r="O323" s="611">
        <f>+IF(OR($Q323=Parametres!$G$2,$Q323=Parametres!$G$3),J323,D323)</f>
        <v>4374.82</v>
      </c>
      <c r="P323" s="611">
        <f>+IF(OR($Q323=Parametres!$G$2,$Q323=Parametres!$G$3),K323,E323)</f>
        <v>55526.23</v>
      </c>
      <c r="Q323" s="610" t="str">
        <f t="shared" si="22"/>
        <v>7-Dépenses</v>
      </c>
      <c r="R323" s="609" t="str">
        <f t="shared" si="23"/>
        <v>6106</v>
      </c>
      <c r="S323" s="610">
        <f t="shared" si="24"/>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1107</v>
      </c>
      <c r="B324" s="950" t="s">
        <v>2276</v>
      </c>
      <c r="C324" s="952">
        <v>28976.73</v>
      </c>
      <c r="D324" s="952">
        <v>9450.74</v>
      </c>
      <c r="E324" s="952">
        <v>38427.47</v>
      </c>
      <c r="F324" s="950" t="s">
        <v>1099</v>
      </c>
      <c r="G324" s="950" t="s">
        <v>1108</v>
      </c>
      <c r="H324" s="927"/>
      <c r="I324" s="928"/>
      <c r="J324" s="928"/>
      <c r="K324" s="928"/>
      <c r="L324" s="609" t="str">
        <f t="shared" si="25"/>
        <v>6207</v>
      </c>
      <c r="M324" s="610" t="str">
        <f t="shared" si="17"/>
        <v>INTERET-PLAN DE FINANCEMENT</v>
      </c>
      <c r="N324" s="611">
        <f>+IF(OR($Q324=Parametres!$G$2,$Q324=Parametres!$G$3),I324,C324)</f>
        <v>28976.73</v>
      </c>
      <c r="O324" s="611">
        <f>+IF(OR($Q324=Parametres!$G$2,$Q324=Parametres!$G$3),J324,D324)</f>
        <v>9450.74</v>
      </c>
      <c r="P324" s="611">
        <f>+IF(OR($Q324=Parametres!$G$2,$Q324=Parametres!$G$3),K324,E324)</f>
        <v>38427.47</v>
      </c>
      <c r="Q324" s="610" t="str">
        <f t="shared" si="22"/>
        <v>7-Dépenses</v>
      </c>
      <c r="R324" s="609" t="str">
        <f t="shared" si="23"/>
        <v>6107</v>
      </c>
      <c r="S324" s="610">
        <f t="shared" si="24"/>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1109</v>
      </c>
      <c r="B325" s="950" t="s">
        <v>2279</v>
      </c>
      <c r="C325" s="952">
        <v>7787.54</v>
      </c>
      <c r="D325" s="952">
        <v>2310.11</v>
      </c>
      <c r="E325" s="952">
        <v>10097.65</v>
      </c>
      <c r="F325" s="950" t="s">
        <v>1099</v>
      </c>
      <c r="G325" s="950" t="s">
        <v>1110</v>
      </c>
      <c r="H325" s="927"/>
      <c r="I325" s="928"/>
      <c r="J325" s="928"/>
      <c r="K325" s="928"/>
      <c r="L325" s="609" t="str">
        <f t="shared" si="25"/>
        <v>6208</v>
      </c>
      <c r="M325" s="610" t="str">
        <f t="shared" si="17"/>
        <v>FRAIS DE LIVRAISON</v>
      </c>
      <c r="N325" s="611">
        <f>+IF(OR($Q325=Parametres!$G$2,$Q325=Parametres!$G$3),I325,C325)</f>
        <v>7787.54</v>
      </c>
      <c r="O325" s="611">
        <f>+IF(OR($Q325=Parametres!$G$2,$Q325=Parametres!$G$3),J325,D325)</f>
        <v>2310.11</v>
      </c>
      <c r="P325" s="611">
        <f>+IF(OR($Q325=Parametres!$G$2,$Q325=Parametres!$G$3),K325,E325)</f>
        <v>10097.65</v>
      </c>
      <c r="Q325" s="610" t="str">
        <f t="shared" si="22"/>
        <v>7-Dépenses</v>
      </c>
      <c r="R325" s="609" t="str">
        <f t="shared" si="23"/>
        <v>6108</v>
      </c>
      <c r="S325" s="610">
        <f t="shared" si="24"/>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1111</v>
      </c>
      <c r="B326" s="950" t="s">
        <v>2285</v>
      </c>
      <c r="C326" s="952">
        <v>97727.83</v>
      </c>
      <c r="D326" s="952">
        <v>11744.93</v>
      </c>
      <c r="E326" s="952">
        <v>109472.76</v>
      </c>
      <c r="F326" s="950" t="s">
        <v>1099</v>
      </c>
      <c r="G326" s="950" t="s">
        <v>1112</v>
      </c>
      <c r="H326" s="927"/>
      <c r="I326" s="928"/>
      <c r="J326" s="928"/>
      <c r="K326" s="928"/>
      <c r="L326" s="609" t="str">
        <f t="shared" si="25"/>
        <v>6214</v>
      </c>
      <c r="M326" s="610" t="str">
        <f t="shared" si="17"/>
        <v>PUBLICITE</v>
      </c>
      <c r="N326" s="611">
        <f>+IF(OR($Q326=Parametres!$G$2,$Q326=Parametres!$G$3),I326,C326)</f>
        <v>97727.83</v>
      </c>
      <c r="O326" s="611">
        <f>+IF(OR($Q326=Parametres!$G$2,$Q326=Parametres!$G$3),J326,D326)</f>
        <v>11744.93</v>
      </c>
      <c r="P326" s="611">
        <f>+IF(OR($Q326=Parametres!$G$2,$Q326=Parametres!$G$3),K326,E326)</f>
        <v>109472.76</v>
      </c>
      <c r="Q326" s="610" t="str">
        <f t="shared" si="22"/>
        <v>7-Dépenses</v>
      </c>
      <c r="R326" s="609" t="str">
        <f t="shared" si="23"/>
        <v>6114</v>
      </c>
      <c r="S326" s="610">
        <f t="shared" si="24"/>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1172</v>
      </c>
      <c r="B327" s="950" t="s">
        <v>2288</v>
      </c>
      <c r="C327" s="952">
        <v>-35300</v>
      </c>
      <c r="D327" s="952">
        <v>-2400</v>
      </c>
      <c r="E327" s="952">
        <v>-37700</v>
      </c>
      <c r="F327" s="950" t="s">
        <v>1099</v>
      </c>
      <c r="G327" s="950" t="s">
        <v>1112</v>
      </c>
      <c r="H327" s="927"/>
      <c r="I327" s="928"/>
      <c r="J327" s="928"/>
      <c r="K327" s="928"/>
      <c r="L327" s="609" t="str">
        <f t="shared" si="25"/>
        <v>6215</v>
      </c>
      <c r="M327" s="610" t="str">
        <f t="shared" si="17"/>
        <v>CREDIT PUBLICITE USAGES</v>
      </c>
      <c r="N327" s="611">
        <f>+IF(OR($Q327=Parametres!$G$2,$Q327=Parametres!$G$3),I327,C327)</f>
        <v>-35300</v>
      </c>
      <c r="O327" s="611">
        <f>+IF(OR($Q327=Parametres!$G$2,$Q327=Parametres!$G$3),J327,D327)</f>
        <v>-2400</v>
      </c>
      <c r="P327" s="611">
        <f>+IF(OR($Q327=Parametres!$G$2,$Q327=Parametres!$G$3),K327,E327)</f>
        <v>-37700</v>
      </c>
      <c r="Q327" s="610" t="str">
        <f t="shared" si="22"/>
        <v>7-Dépenses</v>
      </c>
      <c r="R327" s="609" t="str">
        <f t="shared" si="23"/>
        <v>6114</v>
      </c>
      <c r="S327" s="610">
        <f t="shared" si="24"/>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1114</v>
      </c>
      <c r="B328" s="950" t="s">
        <v>2294</v>
      </c>
      <c r="C328" s="952">
        <v>17798.060000000001</v>
      </c>
      <c r="D328" s="952">
        <v>1859.92</v>
      </c>
      <c r="E328" s="952">
        <v>19657.98</v>
      </c>
      <c r="F328" s="950" t="s">
        <v>1099</v>
      </c>
      <c r="G328" s="950" t="s">
        <v>1115</v>
      </c>
      <c r="H328" s="927"/>
      <c r="I328" s="928"/>
      <c r="J328" s="928"/>
      <c r="K328" s="928"/>
      <c r="L328" s="609" t="str">
        <f t="shared" si="25"/>
        <v>6221</v>
      </c>
      <c r="M328" s="610" t="str">
        <f t="shared" si="17"/>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si="22"/>
        <v>7-Dépenses</v>
      </c>
      <c r="R328" s="609" t="str">
        <f t="shared" si="23"/>
        <v>6121</v>
      </c>
      <c r="S328" s="610">
        <f t="shared" si="2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1116</v>
      </c>
      <c r="B329" s="950" t="s">
        <v>2297</v>
      </c>
      <c r="C329" s="952">
        <v>108665.56</v>
      </c>
      <c r="D329" s="952">
        <v>7995.62</v>
      </c>
      <c r="E329" s="952">
        <v>116661.18</v>
      </c>
      <c r="F329" s="950" t="s">
        <v>1099</v>
      </c>
      <c r="G329" s="950" t="s">
        <v>1117</v>
      </c>
      <c r="H329" s="927"/>
      <c r="I329" s="928"/>
      <c r="J329" s="928"/>
      <c r="K329" s="928"/>
      <c r="L329" s="609" t="str">
        <f t="shared" si="25"/>
        <v>6222</v>
      </c>
      <c r="M329" s="610" t="str">
        <f t="shared" si="17"/>
        <v>SAL SUPERVISION / GERANT</v>
      </c>
      <c r="N329" s="611">
        <f>+IF(OR($Q329=Parametres!$G$2,$Q329=Parametres!$G$3),I329,C329)</f>
        <v>108665.56</v>
      </c>
      <c r="O329" s="611">
        <f>+IF(OR($Q329=Parametres!$G$2,$Q329=Parametres!$G$3),J329,D329)</f>
        <v>7995.62</v>
      </c>
      <c r="P329" s="611">
        <f>+IF(OR($Q329=Parametres!$G$2,$Q329=Parametres!$G$3),K329,E329)</f>
        <v>116661.18</v>
      </c>
      <c r="Q329" s="610" t="str">
        <f t="shared" si="22"/>
        <v>7-Dépenses</v>
      </c>
      <c r="R329" s="609" t="str">
        <f t="shared" si="23"/>
        <v>6122</v>
      </c>
      <c r="S329" s="610">
        <f t="shared" si="24"/>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1118</v>
      </c>
      <c r="B330" s="950" t="s">
        <v>2300</v>
      </c>
      <c r="C330" s="952">
        <v>19007.28</v>
      </c>
      <c r="D330" s="952">
        <v>2858.19</v>
      </c>
      <c r="E330" s="952">
        <v>21865.47</v>
      </c>
      <c r="F330" s="950" t="s">
        <v>1099</v>
      </c>
      <c r="G330" s="950" t="s">
        <v>1119</v>
      </c>
      <c r="H330" s="927"/>
      <c r="I330" s="928"/>
      <c r="J330" s="928"/>
      <c r="K330" s="928"/>
      <c r="L330" s="609" t="str">
        <f t="shared" si="25"/>
        <v>6223</v>
      </c>
      <c r="M330" s="610" t="str">
        <f t="shared" si="17"/>
        <v>SAL. &amp; RENUM. - CLERICAL</v>
      </c>
      <c r="N330" s="611">
        <f>+IF(OR($Q330=Parametres!$G$2,$Q330=Parametres!$G$3),I330,C330)</f>
        <v>19007.28</v>
      </c>
      <c r="O330" s="611">
        <f>+IF(OR($Q330=Parametres!$G$2,$Q330=Parametres!$G$3),J330,D330)</f>
        <v>2858.19</v>
      </c>
      <c r="P330" s="611">
        <f>+IF(OR($Q330=Parametres!$G$2,$Q330=Parametres!$G$3),K330,E330)</f>
        <v>21865.47</v>
      </c>
      <c r="Q330" s="610" t="str">
        <f t="shared" si="22"/>
        <v>7-Dépenses</v>
      </c>
      <c r="R330" s="609" t="str">
        <f t="shared" si="23"/>
        <v>6123</v>
      </c>
      <c r="S330" s="610">
        <f t="shared" si="24"/>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1173</v>
      </c>
      <c r="B331" s="950" t="s">
        <v>2303</v>
      </c>
      <c r="C331" s="952">
        <v>83330.259999999995</v>
      </c>
      <c r="D331" s="952">
        <v>8410.67</v>
      </c>
      <c r="E331" s="952">
        <v>91740.93</v>
      </c>
      <c r="F331" s="950" t="s">
        <v>1099</v>
      </c>
      <c r="G331" s="950" t="s">
        <v>1121</v>
      </c>
      <c r="H331" s="927"/>
      <c r="I331" s="928"/>
      <c r="J331" s="928"/>
      <c r="K331" s="928"/>
      <c r="L331" s="609" t="str">
        <f t="shared" si="25"/>
        <v>6224</v>
      </c>
      <c r="M331" s="610" t="str">
        <f t="shared" si="17"/>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si="22"/>
        <v>7-Dépenses</v>
      </c>
      <c r="R331" s="609" t="str">
        <f t="shared" si="23"/>
        <v>6124</v>
      </c>
      <c r="S331" s="610">
        <f t="shared" si="24"/>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1174</v>
      </c>
      <c r="B332" s="950" t="s">
        <v>2304</v>
      </c>
      <c r="C332" s="952">
        <v>40448.980000000003</v>
      </c>
      <c r="D332" s="952">
        <v>8469.86</v>
      </c>
      <c r="E332" s="952">
        <v>48918.84</v>
      </c>
      <c r="F332" s="950" t="s">
        <v>1099</v>
      </c>
      <c r="G332" s="950" t="s">
        <v>1123</v>
      </c>
      <c r="H332" s="927"/>
      <c r="I332" s="928"/>
      <c r="J332" s="928"/>
      <c r="K332" s="928"/>
      <c r="L332" s="609" t="str">
        <f t="shared" si="25"/>
        <v>6229</v>
      </c>
      <c r="M332" s="610" t="str">
        <f t="shared" si="17"/>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si="22"/>
        <v>7-Dépenses</v>
      </c>
      <c r="R332" s="609" t="str">
        <f t="shared" si="23"/>
        <v>6129</v>
      </c>
      <c r="S332" s="610">
        <f t="shared" si="24"/>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1124</v>
      </c>
      <c r="B333" s="950" t="s">
        <v>2307</v>
      </c>
      <c r="C333" s="952">
        <v>17573.97</v>
      </c>
      <c r="D333" s="952">
        <v>4570.97</v>
      </c>
      <c r="E333" s="952">
        <v>22144.94</v>
      </c>
      <c r="F333" s="950" t="s">
        <v>1099</v>
      </c>
      <c r="G333" s="950" t="s">
        <v>1125</v>
      </c>
      <c r="H333" s="927"/>
      <c r="I333" s="928"/>
      <c r="J333" s="928"/>
      <c r="K333" s="928"/>
      <c r="L333" s="609" t="str">
        <f t="shared" si="25"/>
        <v>6231</v>
      </c>
      <c r="M333" s="610" t="str">
        <f t="shared" si="17"/>
        <v>CSST</v>
      </c>
      <c r="N333" s="611">
        <f>+IF(OR($Q333=Parametres!$G$2,$Q333=Parametres!$G$3),I333,C333)</f>
        <v>17573.97</v>
      </c>
      <c r="O333" s="611">
        <f>+IF(OR($Q333=Parametres!$G$2,$Q333=Parametres!$G$3),J333,D333)</f>
        <v>4570.97</v>
      </c>
      <c r="P333" s="611">
        <f>+IF(OR($Q333=Parametres!$G$2,$Q333=Parametres!$G$3),K333,E333)</f>
        <v>22144.94</v>
      </c>
      <c r="Q333" s="610" t="str">
        <f t="shared" si="22"/>
        <v>7-Dépenses</v>
      </c>
      <c r="R333" s="609" t="str">
        <f t="shared" si="23"/>
        <v>6131</v>
      </c>
      <c r="S333" s="610">
        <f t="shared" si="24"/>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1126</v>
      </c>
      <c r="B334" s="950" t="s">
        <v>2310</v>
      </c>
      <c r="C334" s="952">
        <v>47352.15</v>
      </c>
      <c r="D334" s="952">
        <v>6702.32</v>
      </c>
      <c r="E334" s="952">
        <v>54054.47</v>
      </c>
      <c r="F334" s="950" t="s">
        <v>1099</v>
      </c>
      <c r="G334" s="950" t="s">
        <v>1127</v>
      </c>
      <c r="H334" s="927"/>
      <c r="I334" s="928"/>
      <c r="J334" s="928"/>
      <c r="K334" s="928"/>
      <c r="L334" s="609" t="str">
        <f t="shared" si="25"/>
        <v>6232</v>
      </c>
      <c r="M334" s="610" t="str">
        <f t="shared" si="17"/>
        <v>RRQ RAMQ AC</v>
      </c>
      <c r="N334" s="611">
        <f>+IF(OR($Q334=Parametres!$G$2,$Q334=Parametres!$G$3),I334,C334)</f>
        <v>47352.15</v>
      </c>
      <c r="O334" s="611">
        <f>+IF(OR($Q334=Parametres!$G$2,$Q334=Parametres!$G$3),J334,D334)</f>
        <v>6702.32</v>
      </c>
      <c r="P334" s="611">
        <f>+IF(OR($Q334=Parametres!$G$2,$Q334=Parametres!$G$3),K334,E334)</f>
        <v>54054.47</v>
      </c>
      <c r="Q334" s="610" t="str">
        <f t="shared" si="22"/>
        <v>7-Dépenses</v>
      </c>
      <c r="R334" s="609" t="str">
        <f t="shared" si="23"/>
        <v>6132</v>
      </c>
      <c r="S334" s="610">
        <f t="shared" si="24"/>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1175</v>
      </c>
      <c r="B335" s="950" t="s">
        <v>3334</v>
      </c>
      <c r="C335" s="952">
        <v>0</v>
      </c>
      <c r="D335" s="952">
        <v>267.44</v>
      </c>
      <c r="E335" s="952">
        <v>267.44</v>
      </c>
      <c r="F335" s="950" t="s">
        <v>1099</v>
      </c>
      <c r="G335" s="950" t="s">
        <v>1129</v>
      </c>
      <c r="H335" s="927"/>
      <c r="I335" s="928"/>
      <c r="J335" s="928"/>
      <c r="K335" s="928"/>
      <c r="L335" s="609" t="str">
        <f t="shared" si="25"/>
        <v>6233</v>
      </c>
      <c r="M335" s="610" t="str">
        <f t="shared" si="17"/>
        <v>FOND PENSION - USAGE</v>
      </c>
      <c r="N335" s="611">
        <f>+IF(OR($Q335=Parametres!$G$2,$Q335=Parametres!$G$3),I335,C335)</f>
        <v>0</v>
      </c>
      <c r="O335" s="611">
        <f>+IF(OR($Q335=Parametres!$G$2,$Q335=Parametres!$G$3),J335,D335)</f>
        <v>267.44</v>
      </c>
      <c r="P335" s="611">
        <f>+IF(OR($Q335=Parametres!$G$2,$Q335=Parametres!$G$3),K335,E335)</f>
        <v>267.44</v>
      </c>
      <c r="Q335" s="610" t="str">
        <f t="shared" si="22"/>
        <v>7-Dépenses</v>
      </c>
      <c r="R335" s="609" t="str">
        <f t="shared" si="23"/>
        <v>6133</v>
      </c>
      <c r="S335" s="610">
        <f t="shared" si="24"/>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1176</v>
      </c>
      <c r="B336" s="950" t="s">
        <v>2313</v>
      </c>
      <c r="C336" s="952">
        <v>31408.639999999999</v>
      </c>
      <c r="D336" s="952">
        <v>1869.15</v>
      </c>
      <c r="E336" s="952">
        <v>33277.79</v>
      </c>
      <c r="F336" s="950" t="s">
        <v>1099</v>
      </c>
      <c r="G336" s="950" t="s">
        <v>1131</v>
      </c>
      <c r="H336" s="927"/>
      <c r="I336" s="928"/>
      <c r="J336" s="928"/>
      <c r="K336" s="928"/>
      <c r="L336" s="609" t="str">
        <f t="shared" si="25"/>
        <v>6239</v>
      </c>
      <c r="M336" s="610" t="str">
        <f t="shared" si="17"/>
        <v>ASSURANCE GROUPE</v>
      </c>
      <c r="N336" s="611">
        <f>+IF(OR($Q336=Parametres!$G$2,$Q336=Parametres!$G$3),I336,C336)</f>
        <v>31408.639999999999</v>
      </c>
      <c r="O336" s="611">
        <f>+IF(OR($Q336=Parametres!$G$2,$Q336=Parametres!$G$3),J336,D336)</f>
        <v>1869.15</v>
      </c>
      <c r="P336" s="611">
        <f>+IF(OR($Q336=Parametres!$G$2,$Q336=Parametres!$G$3),K336,E336)</f>
        <v>33277.79</v>
      </c>
      <c r="Q336" s="610" t="str">
        <f t="shared" si="22"/>
        <v>7-Dépenses</v>
      </c>
      <c r="R336" s="609" t="str">
        <f t="shared" si="23"/>
        <v>6139</v>
      </c>
      <c r="S336" s="610">
        <f t="shared" si="24"/>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1132</v>
      </c>
      <c r="B337" s="950" t="s">
        <v>2319</v>
      </c>
      <c r="C337" s="952">
        <v>1707.74</v>
      </c>
      <c r="D337" s="952">
        <v>0</v>
      </c>
      <c r="E337" s="952">
        <v>1707.74</v>
      </c>
      <c r="F337" s="950" t="s">
        <v>1099</v>
      </c>
      <c r="G337" s="950" t="s">
        <v>1133</v>
      </c>
      <c r="H337" s="927"/>
      <c r="I337" s="929"/>
      <c r="J337" s="929"/>
      <c r="K337" s="929"/>
      <c r="L337" s="609" t="str">
        <f t="shared" si="25"/>
        <v>6242</v>
      </c>
      <c r="M337" s="610" t="str">
        <f t="shared" si="17"/>
        <v>FOURNITURES &amp; PETITS OUTILS</v>
      </c>
      <c r="N337" s="611">
        <f>+IF(OR($Q337=Parametres!$G$2,$Q337=Parametres!$G$3),I337,C337)</f>
        <v>1707.74</v>
      </c>
      <c r="O337" s="611">
        <f>+IF(OR($Q337=Parametres!$G$2,$Q337=Parametres!$G$3),J337,D337)</f>
        <v>0</v>
      </c>
      <c r="P337" s="611">
        <f>+IF(OR($Q337=Parametres!$G$2,$Q337=Parametres!$G$3),K337,E337)</f>
        <v>1707.74</v>
      </c>
      <c r="Q337" s="610" t="str">
        <f t="shared" si="22"/>
        <v>7-Dépenses</v>
      </c>
      <c r="R337" s="609" t="str">
        <f t="shared" si="23"/>
        <v>6142</v>
      </c>
      <c r="S337" s="610">
        <f t="shared" si="24"/>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1136</v>
      </c>
      <c r="B338" s="950" t="s">
        <v>2324</v>
      </c>
      <c r="C338" s="952">
        <v>2291.85</v>
      </c>
      <c r="D338" s="952">
        <v>1249.67</v>
      </c>
      <c r="E338" s="952">
        <v>3541.52</v>
      </c>
      <c r="F338" s="950" t="s">
        <v>1099</v>
      </c>
      <c r="G338" s="950" t="s">
        <v>1137</v>
      </c>
      <c r="H338" s="927"/>
      <c r="I338" s="929"/>
      <c r="J338" s="929"/>
      <c r="K338" s="929"/>
      <c r="L338" s="609" t="str">
        <f t="shared" si="25"/>
        <v>6244</v>
      </c>
      <c r="M338" s="610" t="str">
        <f t="shared" si="17"/>
        <v>FORMATION</v>
      </c>
      <c r="N338" s="611">
        <f>+IF(OR($Q338=Parametres!$G$2,$Q338=Parametres!$G$3),I338,C338)</f>
        <v>2291.85</v>
      </c>
      <c r="O338" s="611">
        <f>+IF(OR($Q338=Parametres!$G$2,$Q338=Parametres!$G$3),J338,D338)</f>
        <v>1249.67</v>
      </c>
      <c r="P338" s="611">
        <f>+IF(OR($Q338=Parametres!$G$2,$Q338=Parametres!$G$3),K338,E338)</f>
        <v>3541.52</v>
      </c>
      <c r="Q338" s="610" t="str">
        <f t="shared" si="22"/>
        <v>7-Dépenses</v>
      </c>
      <c r="R338" s="609" t="str">
        <f t="shared" si="23"/>
        <v>6144</v>
      </c>
      <c r="S338" s="610">
        <f t="shared" si="2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1138</v>
      </c>
      <c r="B339" s="950" t="s">
        <v>2327</v>
      </c>
      <c r="C339" s="952">
        <v>2438.73</v>
      </c>
      <c r="D339" s="952">
        <v>1106.7</v>
      </c>
      <c r="E339" s="952">
        <v>3545.43</v>
      </c>
      <c r="F339" s="950" t="s">
        <v>1099</v>
      </c>
      <c r="G339" s="950" t="s">
        <v>1139</v>
      </c>
      <c r="H339" s="927"/>
      <c r="I339" s="929"/>
      <c r="J339" s="929"/>
      <c r="K339" s="929"/>
      <c r="L339" s="609" t="str">
        <f t="shared" si="25"/>
        <v>6245</v>
      </c>
      <c r="M339" s="610" t="str">
        <f t="shared" si="17"/>
        <v>VEHICULE DE COMPAGNIE - DEPENS</v>
      </c>
      <c r="N339" s="611">
        <f>+IF(OR($Q339=Parametres!$G$2,$Q339=Parametres!$G$3),I339,C339)</f>
        <v>2438.73</v>
      </c>
      <c r="O339" s="611">
        <f>+IF(OR($Q339=Parametres!$G$2,$Q339=Parametres!$G$3),J339,D339)</f>
        <v>1106.7</v>
      </c>
      <c r="P339" s="611">
        <f>+IF(OR($Q339=Parametres!$G$2,$Q339=Parametres!$G$3),K339,E339)</f>
        <v>3545.43</v>
      </c>
      <c r="Q339" s="610" t="str">
        <f t="shared" si="22"/>
        <v>7-Dépenses</v>
      </c>
      <c r="R339" s="609" t="str">
        <f t="shared" si="23"/>
        <v>6145</v>
      </c>
      <c r="S339" s="610">
        <f t="shared" si="24"/>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1140</v>
      </c>
      <c r="B340" s="950" t="s">
        <v>2330</v>
      </c>
      <c r="C340" s="952">
        <v>772.4</v>
      </c>
      <c r="D340" s="952">
        <v>59.36</v>
      </c>
      <c r="E340" s="952">
        <v>831.76</v>
      </c>
      <c r="F340" s="950" t="s">
        <v>1099</v>
      </c>
      <c r="G340" s="950" t="s">
        <v>1141</v>
      </c>
      <c r="H340" s="927"/>
      <c r="I340" s="929"/>
      <c r="J340" s="929"/>
      <c r="K340" s="929"/>
      <c r="L340" s="609" t="str">
        <f t="shared" si="25"/>
        <v>6247</v>
      </c>
      <c r="M340" s="610" t="str">
        <f t="shared" si="17"/>
        <v>FRET/EXPRESS/TRANS. PAR CAMION</v>
      </c>
      <c r="N340" s="611">
        <f>+IF(OR($Q340=Parametres!$G$2,$Q340=Parametres!$G$3),I340,C340)</f>
        <v>772.4</v>
      </c>
      <c r="O340" s="611">
        <f>+IF(OR($Q340=Parametres!$G$2,$Q340=Parametres!$G$3),J340,D340)</f>
        <v>59.36</v>
      </c>
      <c r="P340" s="611">
        <f>+IF(OR($Q340=Parametres!$G$2,$Q340=Parametres!$G$3),K340,E340)</f>
        <v>831.76</v>
      </c>
      <c r="Q340" s="610" t="str">
        <f t="shared" si="22"/>
        <v>7-Dépenses</v>
      </c>
      <c r="R340" s="609" t="str">
        <f t="shared" si="23"/>
        <v>6147</v>
      </c>
      <c r="S340" s="610">
        <f t="shared" si="24"/>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1142</v>
      </c>
      <c r="B341" s="950" t="s">
        <v>2333</v>
      </c>
      <c r="C341" s="952">
        <v>32409.72</v>
      </c>
      <c r="D341" s="952">
        <v>3407.82</v>
      </c>
      <c r="E341" s="952">
        <v>35817.54</v>
      </c>
      <c r="F341" s="950" t="s">
        <v>1099</v>
      </c>
      <c r="G341" s="950" t="s">
        <v>1143</v>
      </c>
      <c r="H341" s="927"/>
      <c r="I341" s="930"/>
      <c r="J341" s="930"/>
      <c r="K341" s="930"/>
      <c r="L341" s="609" t="str">
        <f t="shared" si="25"/>
        <v>6251</v>
      </c>
      <c r="M341" s="610" t="str">
        <f t="shared" si="17"/>
        <v>DEP. DU TRAITEMENT DES DONNEES</v>
      </c>
      <c r="N341" s="611">
        <f>+IF(OR($Q341=Parametres!$G$2,$Q341=Parametres!$G$3),I341,C341)</f>
        <v>32409.72</v>
      </c>
      <c r="O341" s="611">
        <f>+IF(OR($Q341=Parametres!$G$2,$Q341=Parametres!$G$3),J341,D341)</f>
        <v>3407.82</v>
      </c>
      <c r="P341" s="611">
        <f>+IF(OR($Q341=Parametres!$G$2,$Q341=Parametres!$G$3),K341,E341)</f>
        <v>35817.54</v>
      </c>
      <c r="Q341" s="610" t="str">
        <f t="shared" si="22"/>
        <v>7-Dépenses</v>
      </c>
      <c r="R341" s="609" t="str">
        <f t="shared" si="23"/>
        <v>6151</v>
      </c>
      <c r="S341" s="610">
        <f t="shared" si="24"/>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1144</v>
      </c>
      <c r="B342" s="950" t="s">
        <v>2336</v>
      </c>
      <c r="C342" s="952">
        <v>2868.84</v>
      </c>
      <c r="D342" s="952">
        <v>353.27</v>
      </c>
      <c r="E342" s="952">
        <v>3222.11</v>
      </c>
      <c r="F342" s="950" t="s">
        <v>1099</v>
      </c>
      <c r="G342" s="950" t="s">
        <v>1145</v>
      </c>
      <c r="H342" s="927"/>
      <c r="I342" s="930"/>
      <c r="J342" s="930"/>
      <c r="K342" s="930"/>
      <c r="L342" s="609" t="str">
        <f t="shared" si="25"/>
        <v>6252</v>
      </c>
      <c r="M342" s="610" t="str">
        <f t="shared" si="17"/>
        <v>PAPETERIE</v>
      </c>
      <c r="N342" s="611">
        <f>+IF(OR($Q342=Parametres!$G$2,$Q342=Parametres!$G$3),I342,C342)</f>
        <v>2868.84</v>
      </c>
      <c r="O342" s="611">
        <f>+IF(OR($Q342=Parametres!$G$2,$Q342=Parametres!$G$3),J342,D342)</f>
        <v>353.27</v>
      </c>
      <c r="P342" s="611">
        <f>+IF(OR($Q342=Parametres!$G$2,$Q342=Parametres!$G$3),K342,E342)</f>
        <v>3222.11</v>
      </c>
      <c r="Q342" s="610" t="str">
        <f t="shared" si="22"/>
        <v>7-Dépenses</v>
      </c>
      <c r="R342" s="609" t="str">
        <f t="shared" si="23"/>
        <v>6152</v>
      </c>
      <c r="S342" s="610">
        <f t="shared" si="24"/>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1146</v>
      </c>
      <c r="B343" s="950" t="s">
        <v>2339</v>
      </c>
      <c r="C343" s="952">
        <v>562.15</v>
      </c>
      <c r="D343" s="952">
        <v>109.4</v>
      </c>
      <c r="E343" s="952">
        <v>671.55</v>
      </c>
      <c r="F343" s="950" t="s">
        <v>1099</v>
      </c>
      <c r="G343" s="950" t="s">
        <v>1147</v>
      </c>
      <c r="H343" s="927"/>
      <c r="I343" s="930"/>
      <c r="J343" s="930"/>
      <c r="K343" s="930"/>
      <c r="L343" s="609" t="str">
        <f t="shared" si="25"/>
        <v>6253</v>
      </c>
      <c r="M343" s="610" t="str">
        <f t="shared" si="17"/>
        <v>TELEPHONE ET TELEX</v>
      </c>
      <c r="N343" s="611">
        <f>+IF(OR($Q343=Parametres!$G$2,$Q343=Parametres!$G$3),I343,C343)</f>
        <v>562.15</v>
      </c>
      <c r="O343" s="611">
        <f>+IF(OR($Q343=Parametres!$G$2,$Q343=Parametres!$G$3),J343,D343)</f>
        <v>109.4</v>
      </c>
      <c r="P343" s="611">
        <f>+IF(OR($Q343=Parametres!$G$2,$Q343=Parametres!$G$3),K343,E343)</f>
        <v>671.55</v>
      </c>
      <c r="Q343" s="610" t="str">
        <f t="shared" si="22"/>
        <v>7-Dépenses</v>
      </c>
      <c r="R343" s="609" t="str">
        <f t="shared" si="23"/>
        <v>6153</v>
      </c>
      <c r="S343" s="610">
        <f t="shared" si="24"/>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1148</v>
      </c>
      <c r="B344" s="950" t="s">
        <v>2342</v>
      </c>
      <c r="C344" s="952">
        <v>1099.24</v>
      </c>
      <c r="D344" s="952">
        <v>-1.41</v>
      </c>
      <c r="E344" s="952">
        <v>1097.83</v>
      </c>
      <c r="F344" s="950" t="s">
        <v>1099</v>
      </c>
      <c r="G344" s="950" t="s">
        <v>1149</v>
      </c>
      <c r="H344" s="927"/>
      <c r="I344" s="930"/>
      <c r="J344" s="930"/>
      <c r="K344" s="930"/>
      <c r="L344" s="609" t="str">
        <f t="shared" si="25"/>
        <v>6255</v>
      </c>
      <c r="M344" s="610" t="str">
        <f t="shared" si="17"/>
        <v>DEPENSES DIVERS</v>
      </c>
      <c r="N344" s="611">
        <f>+IF(OR($Q344=Parametres!$G$2,$Q344=Parametres!$G$3),I344,C344)</f>
        <v>1099.24</v>
      </c>
      <c r="O344" s="611">
        <f>+IF(OR($Q344=Parametres!$G$2,$Q344=Parametres!$G$3),J344,D344)</f>
        <v>-1.41</v>
      </c>
      <c r="P344" s="611">
        <f>+IF(OR($Q344=Parametres!$G$2,$Q344=Parametres!$G$3),K344,E344)</f>
        <v>1097.83</v>
      </c>
      <c r="Q344" s="610" t="str">
        <f t="shared" si="22"/>
        <v>7-Dépenses</v>
      </c>
      <c r="R344" s="609" t="str">
        <f t="shared" si="23"/>
        <v>6155</v>
      </c>
      <c r="S344" s="610">
        <f t="shared" si="24"/>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1177</v>
      </c>
      <c r="B345" s="950" t="s">
        <v>2345</v>
      </c>
      <c r="C345" s="952">
        <v>4273.12</v>
      </c>
      <c r="D345" s="952">
        <v>456.83</v>
      </c>
      <c r="E345" s="952">
        <v>4729.95</v>
      </c>
      <c r="F345" s="950" t="s">
        <v>1099</v>
      </c>
      <c r="G345" s="950" t="s">
        <v>1151</v>
      </c>
      <c r="H345" s="927"/>
      <c r="I345" s="930"/>
      <c r="J345" s="930"/>
      <c r="K345" s="930"/>
      <c r="L345" s="609" t="str">
        <f t="shared" si="25"/>
        <v>6256</v>
      </c>
      <c r="M345" s="610" t="str">
        <f t="shared" si="17"/>
        <v>FRAIS REPRESENTATION - USAGE</v>
      </c>
      <c r="N345" s="611">
        <f>+IF(OR($Q345=Parametres!$G$2,$Q345=Parametres!$G$3),I345,C345)</f>
        <v>4273.12</v>
      </c>
      <c r="O345" s="611">
        <f>+IF(OR($Q345=Parametres!$G$2,$Q345=Parametres!$G$3),J345,D345)</f>
        <v>456.83</v>
      </c>
      <c r="P345" s="611">
        <f>+IF(OR($Q345=Parametres!$G$2,$Q345=Parametres!$G$3),K345,E345)</f>
        <v>4729.95</v>
      </c>
      <c r="Q345" s="610" t="str">
        <f t="shared" si="22"/>
        <v>7-Dépenses</v>
      </c>
      <c r="R345" s="609" t="str">
        <f t="shared" si="23"/>
        <v>6156</v>
      </c>
      <c r="S345" s="610">
        <f t="shared" si="24"/>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1178</v>
      </c>
      <c r="B346" s="950" t="s">
        <v>3335</v>
      </c>
      <c r="C346" s="952">
        <v>13171.01</v>
      </c>
      <c r="D346" s="952">
        <v>-3375.5</v>
      </c>
      <c r="E346" s="952">
        <v>9795.51</v>
      </c>
      <c r="F346" s="950" t="s">
        <v>1099</v>
      </c>
      <c r="G346" s="950" t="s">
        <v>1179</v>
      </c>
      <c r="H346" s="927"/>
      <c r="I346" s="930"/>
      <c r="J346" s="930"/>
      <c r="K346" s="930"/>
      <c r="L346" s="609" t="str">
        <f t="shared" si="25"/>
        <v>6257</v>
      </c>
      <c r="M346" s="610" t="str">
        <f t="shared" si="17"/>
        <v>FRAIS BANCAIRES - USAGE</v>
      </c>
      <c r="N346" s="611">
        <f>+IF(OR($Q346=Parametres!$G$2,$Q346=Parametres!$G$3),I346,C346)</f>
        <v>13171.01</v>
      </c>
      <c r="O346" s="611">
        <f>+IF(OR($Q346=Parametres!$G$2,$Q346=Parametres!$G$3),J346,D346)</f>
        <v>-3375.5</v>
      </c>
      <c r="P346" s="611">
        <f>+IF(OR($Q346=Parametres!$G$2,$Q346=Parametres!$G$3),K346,E346)</f>
        <v>9795.51</v>
      </c>
      <c r="Q346" s="610" t="str">
        <f t="shared" si="22"/>
        <v>7-Dépenses</v>
      </c>
      <c r="R346" s="609" t="str">
        <f t="shared" si="23"/>
        <v>625</v>
      </c>
      <c r="S346" s="610">
        <f t="shared" si="24"/>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1154</v>
      </c>
      <c r="B347" s="950" t="s">
        <v>2348</v>
      </c>
      <c r="C347" s="952">
        <v>11775.24</v>
      </c>
      <c r="D347" s="952">
        <v>923.2</v>
      </c>
      <c r="E347" s="952">
        <v>12698.44</v>
      </c>
      <c r="F347" s="950" t="s">
        <v>1099</v>
      </c>
      <c r="G347" s="950" t="s">
        <v>1155</v>
      </c>
      <c r="H347" s="927"/>
      <c r="I347" s="930"/>
      <c r="J347" s="930"/>
      <c r="K347" s="930"/>
      <c r="L347" s="609" t="str">
        <f t="shared" si="25"/>
        <v>6259</v>
      </c>
      <c r="M347" s="610" t="str">
        <f t="shared" si="17"/>
        <v>SERVICE EXTERIEUR</v>
      </c>
      <c r="N347" s="611">
        <f>+IF(OR($Q347=Parametres!$G$2,$Q347=Parametres!$G$3),I347,C347)</f>
        <v>11775.24</v>
      </c>
      <c r="O347" s="611">
        <f>+IF(OR($Q347=Parametres!$G$2,$Q347=Parametres!$G$3),J347,D347)</f>
        <v>923.2</v>
      </c>
      <c r="P347" s="611">
        <f>+IF(OR($Q347=Parametres!$G$2,$Q347=Parametres!$G$3),K347,E347)</f>
        <v>12698.44</v>
      </c>
      <c r="Q347" s="610" t="str">
        <f t="shared" si="22"/>
        <v>7-Dépenses</v>
      </c>
      <c r="R347" s="609" t="str">
        <f t="shared" si="23"/>
        <v>6159</v>
      </c>
      <c r="S347" s="610">
        <f t="shared" si="24"/>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1156</v>
      </c>
      <c r="B348" s="950" t="s">
        <v>2351</v>
      </c>
      <c r="C348" s="952">
        <v>5695.14</v>
      </c>
      <c r="D348" s="952">
        <v>517.74</v>
      </c>
      <c r="E348" s="952">
        <v>6212.88</v>
      </c>
      <c r="F348" s="950" t="s">
        <v>1099</v>
      </c>
      <c r="G348" s="950" t="s">
        <v>1157</v>
      </c>
      <c r="H348" s="927"/>
      <c r="I348" s="930"/>
      <c r="J348" s="930"/>
      <c r="K348" s="930"/>
      <c r="L348" s="609" t="str">
        <f t="shared" si="25"/>
        <v>6261</v>
      </c>
      <c r="M348" s="610" t="str">
        <f t="shared" si="17"/>
        <v>DEPRECIATION EQUIP. &amp; FIXTURES</v>
      </c>
      <c r="N348" s="611">
        <f>+IF(OR($Q348=Parametres!$G$2,$Q348=Parametres!$G$3),I348,C348)</f>
        <v>5695.14</v>
      </c>
      <c r="O348" s="611">
        <f>+IF(OR($Q348=Parametres!$G$2,$Q348=Parametres!$G$3),J348,D348)</f>
        <v>517.74</v>
      </c>
      <c r="P348" s="611">
        <f>+IF(OR($Q348=Parametres!$G$2,$Q348=Parametres!$G$3),K348,E348)</f>
        <v>6212.88</v>
      </c>
      <c r="Q348" s="610" t="str">
        <f t="shared" si="22"/>
        <v>7-Dépenses</v>
      </c>
      <c r="R348" s="609" t="str">
        <f t="shared" si="23"/>
        <v>6161</v>
      </c>
      <c r="S348" s="610">
        <f t="shared" si="2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1180</v>
      </c>
      <c r="B349" s="950" t="s">
        <v>2357</v>
      </c>
      <c r="C349" s="952">
        <v>3339.93</v>
      </c>
      <c r="D349" s="952">
        <v>111.7</v>
      </c>
      <c r="E349" s="952">
        <v>3451.63</v>
      </c>
      <c r="F349" s="950" t="s">
        <v>1099</v>
      </c>
      <c r="G349" s="950" t="s">
        <v>1159</v>
      </c>
      <c r="H349" s="927"/>
      <c r="I349" s="930"/>
      <c r="J349" s="930"/>
      <c r="K349" s="930"/>
      <c r="L349" s="609" t="str">
        <f t="shared" si="25"/>
        <v>6281</v>
      </c>
      <c r="M349" s="610" t="str">
        <f t="shared" si="17"/>
        <v>CHAUFFAGE,ELECTRICITE,EAU-USAGE</v>
      </c>
      <c r="N349" s="611">
        <f>+IF(OR($Q349=Parametres!$G$2,$Q349=Parametres!$G$3),I349,C349)</f>
        <v>3339.93</v>
      </c>
      <c r="O349" s="611">
        <f>+IF(OR($Q349=Parametres!$G$2,$Q349=Parametres!$G$3),J349,D349)</f>
        <v>111.7</v>
      </c>
      <c r="P349" s="611">
        <f>+IF(OR($Q349=Parametres!$G$2,$Q349=Parametres!$G$3),K349,E349)</f>
        <v>3451.63</v>
      </c>
      <c r="Q349" s="610" t="str">
        <f t="shared" si="22"/>
        <v>7-Dépenses</v>
      </c>
      <c r="R349" s="609" t="str">
        <f t="shared" si="23"/>
        <v>6181</v>
      </c>
      <c r="S349" s="610">
        <f t="shared" si="24"/>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1181</v>
      </c>
      <c r="B350" s="950" t="s">
        <v>2360</v>
      </c>
      <c r="C350" s="952">
        <v>34320</v>
      </c>
      <c r="D350" s="952">
        <v>3120</v>
      </c>
      <c r="E350" s="952">
        <v>37440</v>
      </c>
      <c r="F350" s="950" t="s">
        <v>1099</v>
      </c>
      <c r="G350" s="950" t="s">
        <v>1161</v>
      </c>
      <c r="H350" s="927"/>
      <c r="I350" s="930"/>
      <c r="J350" s="930"/>
      <c r="K350" s="930"/>
      <c r="L350" s="609" t="str">
        <f t="shared" si="25"/>
        <v>6282</v>
      </c>
      <c r="M350" s="610" t="str">
        <f t="shared" si="17"/>
        <v>LOYER - USAGE</v>
      </c>
      <c r="N350" s="611">
        <f>+IF(OR($Q350=Parametres!$G$2,$Q350=Parametres!$G$3),I350,C350)</f>
        <v>34320</v>
      </c>
      <c r="O350" s="611">
        <f>+IF(OR($Q350=Parametres!$G$2,$Q350=Parametres!$G$3),J350,D350)</f>
        <v>3120</v>
      </c>
      <c r="P350" s="611">
        <f>+IF(OR($Q350=Parametres!$G$2,$Q350=Parametres!$G$3),K350,E350)</f>
        <v>37440</v>
      </c>
      <c r="Q350" s="610" t="str">
        <f t="shared" si="22"/>
        <v>7-Dépenses</v>
      </c>
      <c r="R350" s="609" t="str">
        <f t="shared" si="23"/>
        <v>6182</v>
      </c>
      <c r="S350" s="610">
        <f t="shared" si="24"/>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1182</v>
      </c>
      <c r="B351" s="950" t="s">
        <v>2363</v>
      </c>
      <c r="C351" s="952">
        <v>5637.72</v>
      </c>
      <c r="D351" s="952">
        <v>512.52</v>
      </c>
      <c r="E351" s="952">
        <v>6150.24</v>
      </c>
      <c r="F351" s="950" t="s">
        <v>1099</v>
      </c>
      <c r="G351" s="950" t="s">
        <v>1163</v>
      </c>
      <c r="H351" s="927"/>
      <c r="I351" s="930"/>
      <c r="J351" s="930"/>
      <c r="K351" s="930"/>
      <c r="L351" s="609" t="str">
        <f t="shared" si="25"/>
        <v>6286</v>
      </c>
      <c r="M351" s="610" t="str">
        <f t="shared" si="17"/>
        <v>ASSURANCE BATISSE &amp; AMEL.-USAGE</v>
      </c>
      <c r="N351" s="611">
        <f>+IF(OR($Q351=Parametres!$G$2,$Q351=Parametres!$G$3),I351,C351)</f>
        <v>5637.72</v>
      </c>
      <c r="O351" s="611">
        <f>+IF(OR($Q351=Parametres!$G$2,$Q351=Parametres!$G$3),J351,D351)</f>
        <v>512.52</v>
      </c>
      <c r="P351" s="611">
        <f>+IF(OR($Q351=Parametres!$G$2,$Q351=Parametres!$G$3),K351,E351)</f>
        <v>6150.24</v>
      </c>
      <c r="Q351" s="610" t="str">
        <f t="shared" si="22"/>
        <v>7-Dépenses</v>
      </c>
      <c r="R351" s="609" t="str">
        <f t="shared" si="23"/>
        <v>6186</v>
      </c>
      <c r="S351" s="610">
        <f t="shared" si="24"/>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1183</v>
      </c>
      <c r="B352" s="950" t="s">
        <v>2366</v>
      </c>
      <c r="C352" s="952">
        <v>6507.6</v>
      </c>
      <c r="D352" s="952">
        <v>198.72</v>
      </c>
      <c r="E352" s="952">
        <v>6706.32</v>
      </c>
      <c r="F352" s="950" t="s">
        <v>1099</v>
      </c>
      <c r="G352" s="950" t="s">
        <v>1165</v>
      </c>
      <c r="H352" s="927"/>
      <c r="I352" s="930"/>
      <c r="J352" s="930"/>
      <c r="K352" s="930"/>
      <c r="L352" s="609" t="str">
        <f t="shared" si="25"/>
        <v>6287</v>
      </c>
      <c r="M352" s="610" t="str">
        <f t="shared" si="17"/>
        <v>TAXES FONCIERES - USAGE</v>
      </c>
      <c r="N352" s="611">
        <f>+IF(OR($Q352=Parametres!$G$2,$Q352=Parametres!$G$3),I352,C352)</f>
        <v>6507.6</v>
      </c>
      <c r="O352" s="611">
        <f>+IF(OR($Q352=Parametres!$G$2,$Q352=Parametres!$G$3),J352,D352)</f>
        <v>198.72</v>
      </c>
      <c r="P352" s="611">
        <f>+IF(OR($Q352=Parametres!$G$2,$Q352=Parametres!$G$3),K352,E352)</f>
        <v>6706.32</v>
      </c>
      <c r="Q352" s="610" t="str">
        <f t="shared" si="22"/>
        <v>7-Dépenses</v>
      </c>
      <c r="R352" s="609" t="str">
        <f t="shared" si="23"/>
        <v>6187</v>
      </c>
      <c r="S352" s="610">
        <f t="shared" si="24"/>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1184</v>
      </c>
      <c r="B353" s="950" t="s">
        <v>2369</v>
      </c>
      <c r="C353" s="952">
        <v>4329.6000000000004</v>
      </c>
      <c r="D353" s="952">
        <v>393.6</v>
      </c>
      <c r="E353" s="952">
        <v>4723.2</v>
      </c>
      <c r="F353" s="950" t="s">
        <v>1099</v>
      </c>
      <c r="G353" s="950" t="s">
        <v>1167</v>
      </c>
      <c r="H353" s="927"/>
      <c r="I353" s="930"/>
      <c r="J353" s="930"/>
      <c r="K353" s="930"/>
      <c r="L353" s="609" t="str">
        <f t="shared" si="25"/>
        <v>6293</v>
      </c>
      <c r="M353" s="610" t="str">
        <f t="shared" si="17"/>
        <v>AUTRE TAXES - USAGES</v>
      </c>
      <c r="N353" s="611">
        <f>+IF(OR($Q353=Parametres!$G$2,$Q353=Parametres!$G$3),I353,C353)</f>
        <v>4329.6000000000004</v>
      </c>
      <c r="O353" s="611">
        <f>+IF(OR($Q353=Parametres!$G$2,$Q353=Parametres!$G$3),J353,D353)</f>
        <v>393.6</v>
      </c>
      <c r="P353" s="611">
        <f>+IF(OR($Q353=Parametres!$G$2,$Q353=Parametres!$G$3),K353,E353)</f>
        <v>4723.2</v>
      </c>
      <c r="Q353" s="610" t="str">
        <f t="shared" si="22"/>
        <v>7-Dépenses</v>
      </c>
      <c r="R353" s="609" t="str">
        <f t="shared" si="23"/>
        <v>6193</v>
      </c>
      <c r="S353" s="610">
        <f t="shared" si="24"/>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1185</v>
      </c>
      <c r="B354" s="950" t="s">
        <v>2372</v>
      </c>
      <c r="C354" s="952">
        <v>8082.8</v>
      </c>
      <c r="D354" s="952">
        <v>734.8</v>
      </c>
      <c r="E354" s="952">
        <v>8817.6</v>
      </c>
      <c r="F354" s="950" t="s">
        <v>1099</v>
      </c>
      <c r="G354" s="950" t="s">
        <v>1169</v>
      </c>
      <c r="H354" s="927"/>
      <c r="I354" s="930"/>
      <c r="J354" s="930"/>
      <c r="K354" s="930"/>
      <c r="L354" s="609" t="str">
        <f t="shared" si="25"/>
        <v>6294</v>
      </c>
      <c r="M354" s="610" t="str">
        <f t="shared" si="17"/>
        <v>FRAIS PROFESSIONNEL-USAGE</v>
      </c>
      <c r="N354" s="611">
        <f>+IF(OR($Q354=Parametres!$G$2,$Q354=Parametres!$G$3),I354,C354)</f>
        <v>8082.8</v>
      </c>
      <c r="O354" s="611">
        <f>+IF(OR($Q354=Parametres!$G$2,$Q354=Parametres!$G$3),J354,D354)</f>
        <v>734.8</v>
      </c>
      <c r="P354" s="611">
        <f>+IF(OR($Q354=Parametres!$G$2,$Q354=Parametres!$G$3),K354,E354)</f>
        <v>8817.6</v>
      </c>
      <c r="Q354" s="610" t="str">
        <f t="shared" si="22"/>
        <v>7-Dépenses</v>
      </c>
      <c r="R354" s="609" t="str">
        <f t="shared" si="23"/>
        <v>6194</v>
      </c>
      <c r="S354" s="610">
        <f t="shared" si="24"/>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1186</v>
      </c>
      <c r="B355" s="950" t="s">
        <v>2375</v>
      </c>
      <c r="C355" s="952">
        <v>31136.54</v>
      </c>
      <c r="D355" s="952">
        <v>3968.13</v>
      </c>
      <c r="E355" s="952">
        <v>35104.67</v>
      </c>
      <c r="F355" s="950" t="s">
        <v>1099</v>
      </c>
      <c r="G355" s="950" t="s">
        <v>1187</v>
      </c>
      <c r="H355" s="927"/>
      <c r="I355" s="930"/>
      <c r="J355" s="930"/>
      <c r="K355" s="930"/>
      <c r="L355" s="609" t="str">
        <f t="shared" si="25"/>
        <v>6403</v>
      </c>
      <c r="M355" s="610" t="str">
        <f t="shared" si="17"/>
        <v>RELAT. A LA CLIENTELE &amp; AJUST</v>
      </c>
      <c r="N355" s="611">
        <f>+IF(OR($Q355=Parametres!$G$2,$Q355=Parametres!$G$3),I355,C355)</f>
        <v>31136.54</v>
      </c>
      <c r="O355" s="611">
        <f>+IF(OR($Q355=Parametres!$G$2,$Q355=Parametres!$G$3),J355,D355)</f>
        <v>3968.13</v>
      </c>
      <c r="P355" s="611">
        <f>+IF(OR($Q355=Parametres!$G$2,$Q355=Parametres!$G$3),K355,E355)</f>
        <v>35104.67</v>
      </c>
      <c r="Q355" s="610" t="str">
        <f t="shared" si="22"/>
        <v>7-Dépenses</v>
      </c>
      <c r="R355" s="609" t="str">
        <f t="shared" si="23"/>
        <v>6112</v>
      </c>
      <c r="S355" s="610">
        <f t="shared" si="24"/>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1188</v>
      </c>
      <c r="B356" s="950" t="s">
        <v>2378</v>
      </c>
      <c r="C356" s="952">
        <v>701.93</v>
      </c>
      <c r="D356" s="952">
        <v>-22.28</v>
      </c>
      <c r="E356" s="952">
        <v>679.65</v>
      </c>
      <c r="F356" s="950" t="s">
        <v>1099</v>
      </c>
      <c r="G356" s="950" t="s">
        <v>1187</v>
      </c>
      <c r="H356" s="927"/>
      <c r="I356" s="930"/>
      <c r="J356" s="930"/>
      <c r="K356" s="930"/>
      <c r="L356" s="609" t="str">
        <f t="shared" si="25"/>
        <v>6412</v>
      </c>
      <c r="M356" s="610" t="str">
        <f t="shared" si="17"/>
        <v>AUTORISATION &amp; GAR./VEH. USA</v>
      </c>
      <c r="N356" s="611">
        <f>+IF(OR($Q356=Parametres!$G$2,$Q356=Parametres!$G$3),I356,C356)</f>
        <v>701.93</v>
      </c>
      <c r="O356" s="611">
        <f>+IF(OR($Q356=Parametres!$G$2,$Q356=Parametres!$G$3),J356,D356)</f>
        <v>-22.28</v>
      </c>
      <c r="P356" s="611">
        <f>+IF(OR($Q356=Parametres!$G$2,$Q356=Parametres!$G$3),K356,E356)</f>
        <v>679.65</v>
      </c>
      <c r="Q356" s="610" t="str">
        <f t="shared" si="22"/>
        <v>7-Dépenses</v>
      </c>
      <c r="R356" s="609" t="str">
        <f t="shared" si="23"/>
        <v>6112</v>
      </c>
      <c r="S356" s="610">
        <f t="shared" si="24"/>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1111</v>
      </c>
      <c r="B357" s="950" t="s">
        <v>2381</v>
      </c>
      <c r="C357" s="952">
        <v>122101.18</v>
      </c>
      <c r="D357" s="952">
        <v>10808.55</v>
      </c>
      <c r="E357" s="952">
        <v>132909.73000000001</v>
      </c>
      <c r="F357" s="950" t="s">
        <v>1099</v>
      </c>
      <c r="G357" s="950" t="s">
        <v>1112</v>
      </c>
      <c r="H357" s="927"/>
      <c r="I357" s="930"/>
      <c r="J357" s="930"/>
      <c r="K357" s="930"/>
      <c r="L357" s="609" t="str">
        <f t="shared" si="25"/>
        <v>6414</v>
      </c>
      <c r="M357" s="610" t="str">
        <f t="shared" si="17"/>
        <v>PUBLICITE</v>
      </c>
      <c r="N357" s="611">
        <f>+IF(OR($Q357=Parametres!$G$2,$Q357=Parametres!$G$3),I357,C357)</f>
        <v>122101.18</v>
      </c>
      <c r="O357" s="611">
        <f>+IF(OR($Q357=Parametres!$G$2,$Q357=Parametres!$G$3),J357,D357)</f>
        <v>10808.55</v>
      </c>
      <c r="P357" s="611">
        <f>+IF(OR($Q357=Parametres!$G$2,$Q357=Parametres!$G$3),K357,E357)</f>
        <v>132909.73000000001</v>
      </c>
      <c r="Q357" s="610" t="str">
        <f t="shared" si="22"/>
        <v>7-Dépenses</v>
      </c>
      <c r="R357" s="609" t="str">
        <f t="shared" si="23"/>
        <v>6114</v>
      </c>
      <c r="S357" s="610">
        <f t="shared" si="24"/>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1114</v>
      </c>
      <c r="B358" s="950" t="s">
        <v>2384</v>
      </c>
      <c r="C358" s="952">
        <v>40046.239999999998</v>
      </c>
      <c r="D358" s="952">
        <v>4184.87</v>
      </c>
      <c r="E358" s="952">
        <v>44231.11</v>
      </c>
      <c r="F358" s="950" t="s">
        <v>1099</v>
      </c>
      <c r="G358" s="950" t="s">
        <v>1115</v>
      </c>
      <c r="H358" s="927"/>
      <c r="I358" s="930"/>
      <c r="J358" s="930"/>
      <c r="K358" s="930"/>
      <c r="L358" s="609" t="str">
        <f t="shared" si="25"/>
        <v>6421</v>
      </c>
      <c r="M358" s="610" t="str">
        <f t="shared" si="17"/>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si="22"/>
        <v>7-Dépenses</v>
      </c>
      <c r="R358" s="609" t="str">
        <f t="shared" si="23"/>
        <v>6121</v>
      </c>
      <c r="S358" s="610">
        <f t="shared" si="2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1116</v>
      </c>
      <c r="B359" s="950" t="s">
        <v>2387</v>
      </c>
      <c r="C359" s="952">
        <v>108686.24</v>
      </c>
      <c r="D359" s="952">
        <v>10130.92</v>
      </c>
      <c r="E359" s="952">
        <v>118817.16</v>
      </c>
      <c r="F359" s="950" t="s">
        <v>1099</v>
      </c>
      <c r="G359" s="950" t="s">
        <v>1117</v>
      </c>
      <c r="H359" s="927"/>
      <c r="I359" s="930"/>
      <c r="J359" s="930"/>
      <c r="K359" s="930"/>
      <c r="L359" s="609" t="str">
        <f t="shared" si="25"/>
        <v>6422</v>
      </c>
      <c r="M359" s="610" t="str">
        <f t="shared" si="17"/>
        <v>SAL SUPERVISION / GERANT</v>
      </c>
      <c r="N359" s="611">
        <f>+IF(OR($Q359=Parametres!$G$2,$Q359=Parametres!$G$3),I359,C359)</f>
        <v>108686.24</v>
      </c>
      <c r="O359" s="611">
        <f>+IF(OR($Q359=Parametres!$G$2,$Q359=Parametres!$G$3),J359,D359)</f>
        <v>10130.92</v>
      </c>
      <c r="P359" s="611">
        <f>+IF(OR($Q359=Parametres!$G$2,$Q359=Parametres!$G$3),K359,E359)</f>
        <v>118817.16</v>
      </c>
      <c r="Q359" s="610" t="str">
        <f t="shared" si="22"/>
        <v>7-Dépenses</v>
      </c>
      <c r="R359" s="609" t="str">
        <f t="shared" si="23"/>
        <v>6122</v>
      </c>
      <c r="S359" s="610">
        <f t="shared" si="24"/>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1189</v>
      </c>
      <c r="B360" s="950" t="s">
        <v>2390</v>
      </c>
      <c r="C360" s="952">
        <v>86725.91</v>
      </c>
      <c r="D360" s="952">
        <v>7284.98</v>
      </c>
      <c r="E360" s="952">
        <v>94010.89</v>
      </c>
      <c r="F360" s="950" t="s">
        <v>1099</v>
      </c>
      <c r="G360" s="950" t="s">
        <v>1119</v>
      </c>
      <c r="H360" s="927"/>
      <c r="I360" s="930"/>
      <c r="J360" s="930"/>
      <c r="K360" s="930"/>
      <c r="L360" s="609" t="str">
        <f t="shared" si="25"/>
        <v>6423</v>
      </c>
      <c r="M360" s="610" t="str">
        <f t="shared" si="17"/>
        <v>SAL. &amp; RENUM. CLERICAL</v>
      </c>
      <c r="N360" s="611">
        <f>+IF(OR($Q360=Parametres!$G$2,$Q360=Parametres!$G$3),I360,C360)</f>
        <v>86725.91</v>
      </c>
      <c r="O360" s="611">
        <f>+IF(OR($Q360=Parametres!$G$2,$Q360=Parametres!$G$3),J360,D360)</f>
        <v>7284.98</v>
      </c>
      <c r="P360" s="611">
        <f>+IF(OR($Q360=Parametres!$G$2,$Q360=Parametres!$G$3),K360,E360)</f>
        <v>94010.89</v>
      </c>
      <c r="Q360" s="610" t="str">
        <f t="shared" si="22"/>
        <v>7-Dépenses</v>
      </c>
      <c r="R360" s="609" t="str">
        <f t="shared" si="23"/>
        <v>6123</v>
      </c>
      <c r="S360" s="610">
        <f t="shared" si="24"/>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1120</v>
      </c>
      <c r="B361" s="950" t="s">
        <v>2393</v>
      </c>
      <c r="C361" s="952">
        <v>222448.85</v>
      </c>
      <c r="D361" s="952">
        <v>15114.01</v>
      </c>
      <c r="E361" s="952">
        <v>237562.86</v>
      </c>
      <c r="F361" s="950" t="s">
        <v>1099</v>
      </c>
      <c r="G361" s="950" t="s">
        <v>1121</v>
      </c>
      <c r="H361" s="927"/>
      <c r="I361" s="930"/>
      <c r="J361" s="930"/>
      <c r="K361" s="930"/>
      <c r="L361" s="609" t="str">
        <f t="shared" si="25"/>
        <v>6424</v>
      </c>
      <c r="M361" s="610" t="str">
        <f t="shared" si="17"/>
        <v>SALAIRES &amp; RENUM. - AUTRES</v>
      </c>
      <c r="N361" s="611">
        <f>+IF(OR($Q361=Parametres!$G$2,$Q361=Parametres!$G$3),I361,C361)</f>
        <v>222448.85</v>
      </c>
      <c r="O361" s="611">
        <f>+IF(OR($Q361=Parametres!$G$2,$Q361=Parametres!$G$3),J361,D361)</f>
        <v>15114.01</v>
      </c>
      <c r="P361" s="611">
        <f>+IF(OR($Q361=Parametres!$G$2,$Q361=Parametres!$G$3),K361,E361)</f>
        <v>237562.86</v>
      </c>
      <c r="Q361" s="610" t="str">
        <f t="shared" si="22"/>
        <v>7-Dépenses</v>
      </c>
      <c r="R361" s="609" t="str">
        <f t="shared" si="23"/>
        <v>6124</v>
      </c>
      <c r="S361" s="610">
        <f t="shared" si="24"/>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1190</v>
      </c>
      <c r="B362" s="950" t="s">
        <v>2396</v>
      </c>
      <c r="C362" s="952">
        <v>320279.23</v>
      </c>
      <c r="D362" s="952">
        <v>34633.07</v>
      </c>
      <c r="E362" s="952">
        <v>354912.3</v>
      </c>
      <c r="F362" s="950" t="s">
        <v>1099</v>
      </c>
      <c r="G362" s="950" t="s">
        <v>1191</v>
      </c>
      <c r="H362" s="927"/>
      <c r="I362" s="930"/>
      <c r="J362" s="930"/>
      <c r="K362" s="930"/>
      <c r="L362" s="609" t="str">
        <f t="shared" si="25"/>
        <v>6425</v>
      </c>
      <c r="M362" s="610" t="str">
        <f t="shared" si="17"/>
        <v>SALAIRE SPECIALISTES</v>
      </c>
      <c r="N362" s="611">
        <f>+IF(OR($Q362=Parametres!$G$2,$Q362=Parametres!$G$3),I362,C362)</f>
        <v>320279.23</v>
      </c>
      <c r="O362" s="611">
        <f>+IF(OR($Q362=Parametres!$G$2,$Q362=Parametres!$G$3),J362,D362)</f>
        <v>34633.07</v>
      </c>
      <c r="P362" s="611">
        <f>+IF(OR($Q362=Parametres!$G$2,$Q362=Parametres!$G$3),K362,E362)</f>
        <v>354912.3</v>
      </c>
      <c r="Q362" s="610" t="str">
        <f t="shared" si="22"/>
        <v>7-Dépenses</v>
      </c>
      <c r="R362" s="609" t="str">
        <f t="shared" si="23"/>
        <v>6125</v>
      </c>
      <c r="S362" s="610">
        <f t="shared" si="24"/>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1192</v>
      </c>
      <c r="B363" s="950" t="s">
        <v>2399</v>
      </c>
      <c r="C363" s="952">
        <v>168727.9</v>
      </c>
      <c r="D363" s="952">
        <v>40715.89</v>
      </c>
      <c r="E363" s="952">
        <v>209443.79</v>
      </c>
      <c r="F363" s="950" t="s">
        <v>1099</v>
      </c>
      <c r="G363" s="950" t="s">
        <v>1123</v>
      </c>
      <c r="H363" s="927"/>
      <c r="I363" s="930"/>
      <c r="J363" s="930"/>
      <c r="K363" s="930"/>
      <c r="L363" s="609" t="str">
        <f t="shared" si="25"/>
        <v>6429</v>
      </c>
      <c r="M363" s="610" t="str">
        <f t="shared" si="17"/>
        <v>SAL.,VACANCE, &amp; SAL. JOURS FER</v>
      </c>
      <c r="N363" s="611">
        <f>+IF(OR($Q363=Parametres!$G$2,$Q363=Parametres!$G$3),I363,C363)</f>
        <v>168727.9</v>
      </c>
      <c r="O363" s="611">
        <f>+IF(OR($Q363=Parametres!$G$2,$Q363=Parametres!$G$3),J363,D363)</f>
        <v>40715.89</v>
      </c>
      <c r="P363" s="611">
        <f>+IF(OR($Q363=Parametres!$G$2,$Q363=Parametres!$G$3),K363,E363)</f>
        <v>209443.79</v>
      </c>
      <c r="Q363" s="610" t="str">
        <f t="shared" si="22"/>
        <v>7-Dépenses</v>
      </c>
      <c r="R363" s="609" t="str">
        <f t="shared" si="23"/>
        <v>6129</v>
      </c>
      <c r="S363" s="610">
        <f t="shared" si="24"/>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1124</v>
      </c>
      <c r="B364" s="950" t="s">
        <v>2402</v>
      </c>
      <c r="C364" s="952">
        <v>50044.19</v>
      </c>
      <c r="D364" s="952">
        <v>13474.23</v>
      </c>
      <c r="E364" s="952">
        <v>63518.42</v>
      </c>
      <c r="F364" s="950" t="s">
        <v>1099</v>
      </c>
      <c r="G364" s="950" t="s">
        <v>1125</v>
      </c>
      <c r="H364" s="927"/>
      <c r="I364" s="930"/>
      <c r="J364" s="930"/>
      <c r="K364" s="930"/>
      <c r="L364" s="609" t="str">
        <f t="shared" si="25"/>
        <v>6431</v>
      </c>
      <c r="M364" s="610" t="str">
        <f t="shared" si="17"/>
        <v>CSST</v>
      </c>
      <c r="N364" s="611">
        <f>+IF(OR($Q364=Parametres!$G$2,$Q364=Parametres!$G$3),I364,C364)</f>
        <v>50044.19</v>
      </c>
      <c r="O364" s="611">
        <f>+IF(OR($Q364=Parametres!$G$2,$Q364=Parametres!$G$3),J364,D364)</f>
        <v>13474.23</v>
      </c>
      <c r="P364" s="611">
        <f>+IF(OR($Q364=Parametres!$G$2,$Q364=Parametres!$G$3),K364,E364)</f>
        <v>63518.42</v>
      </c>
      <c r="Q364" s="610" t="str">
        <f t="shared" si="22"/>
        <v>7-Dépenses</v>
      </c>
      <c r="R364" s="609" t="str">
        <f t="shared" si="23"/>
        <v>6131</v>
      </c>
      <c r="S364" s="610">
        <f t="shared" si="24"/>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1126</v>
      </c>
      <c r="B365" s="950" t="s">
        <v>2405</v>
      </c>
      <c r="C365" s="952">
        <v>178263.07</v>
      </c>
      <c r="D365" s="952">
        <v>21128.01</v>
      </c>
      <c r="E365" s="952">
        <v>199391.08</v>
      </c>
      <c r="F365" s="950" t="s">
        <v>1099</v>
      </c>
      <c r="G365" s="950" t="s">
        <v>1127</v>
      </c>
      <c r="H365" s="927"/>
      <c r="I365" s="930"/>
      <c r="J365" s="930"/>
      <c r="K365" s="930"/>
      <c r="L365" s="609" t="str">
        <f t="shared" si="25"/>
        <v>6432</v>
      </c>
      <c r="M365" s="610" t="str">
        <f t="shared" si="17"/>
        <v>RRQ RAMQ AC</v>
      </c>
      <c r="N365" s="611">
        <f>+IF(OR($Q365=Parametres!$G$2,$Q365=Parametres!$G$3),I365,C365)</f>
        <v>178263.07</v>
      </c>
      <c r="O365" s="611">
        <f>+IF(OR($Q365=Parametres!$G$2,$Q365=Parametres!$G$3),J365,D365)</f>
        <v>21128.01</v>
      </c>
      <c r="P365" s="611">
        <f>+IF(OR($Q365=Parametres!$G$2,$Q365=Parametres!$G$3),K365,E365)</f>
        <v>199391.08</v>
      </c>
      <c r="Q365" s="610" t="str">
        <f t="shared" si="22"/>
        <v>7-Dépenses</v>
      </c>
      <c r="R365" s="609" t="str">
        <f t="shared" si="23"/>
        <v>6132</v>
      </c>
      <c r="S365" s="610">
        <f t="shared" si="24"/>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1193</v>
      </c>
      <c r="B366" s="950" t="s">
        <v>2408</v>
      </c>
      <c r="C366" s="952">
        <v>3194.34</v>
      </c>
      <c r="D366" s="952">
        <v>2880.8</v>
      </c>
      <c r="E366" s="952">
        <v>6075.14</v>
      </c>
      <c r="F366" s="950" t="s">
        <v>1099</v>
      </c>
      <c r="G366" s="950" t="s">
        <v>1129</v>
      </c>
      <c r="H366" s="927"/>
      <c r="I366" s="930"/>
      <c r="J366" s="930"/>
      <c r="K366" s="930"/>
      <c r="L366" s="609" t="str">
        <f t="shared" si="25"/>
        <v>6433</v>
      </c>
      <c r="M366" s="610" t="str">
        <f t="shared" si="17"/>
        <v>FOND PENSION - SERVICE</v>
      </c>
      <c r="N366" s="611">
        <f>+IF(OR($Q366=Parametres!$G$2,$Q366=Parametres!$G$3),I366,C366)</f>
        <v>3194.34</v>
      </c>
      <c r="O366" s="611">
        <f>+IF(OR($Q366=Parametres!$G$2,$Q366=Parametres!$G$3),J366,D366)</f>
        <v>2880.8</v>
      </c>
      <c r="P366" s="611">
        <f>+IF(OR($Q366=Parametres!$G$2,$Q366=Parametres!$G$3),K366,E366)</f>
        <v>6075.14</v>
      </c>
      <c r="Q366" s="610" t="str">
        <f t="shared" si="22"/>
        <v>7-Dépenses</v>
      </c>
      <c r="R366" s="609" t="str">
        <f t="shared" si="23"/>
        <v>6133</v>
      </c>
      <c r="S366" s="610">
        <f t="shared" si="24"/>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1176</v>
      </c>
      <c r="B367" s="950" t="s">
        <v>2411</v>
      </c>
      <c r="C367" s="952">
        <v>60907.26</v>
      </c>
      <c r="D367" s="952">
        <v>5108.53</v>
      </c>
      <c r="E367" s="952">
        <v>66015.789999999994</v>
      </c>
      <c r="F367" s="950" t="s">
        <v>1099</v>
      </c>
      <c r="G367" s="950" t="s">
        <v>1131</v>
      </c>
      <c r="H367" s="927"/>
      <c r="I367" s="930"/>
      <c r="J367" s="930"/>
      <c r="K367" s="930"/>
      <c r="L367" s="609" t="str">
        <f t="shared" si="25"/>
        <v>6439</v>
      </c>
      <c r="M367" s="610" t="str">
        <f t="shared" si="17"/>
        <v>ASSURANCE GROUPE</v>
      </c>
      <c r="N367" s="611">
        <f>+IF(OR($Q367=Parametres!$G$2,$Q367=Parametres!$G$3),I367,C367)</f>
        <v>60907.26</v>
      </c>
      <c r="O367" s="611">
        <f>+IF(OR($Q367=Parametres!$G$2,$Q367=Parametres!$G$3),J367,D367)</f>
        <v>5108.53</v>
      </c>
      <c r="P367" s="611">
        <f>+IF(OR($Q367=Parametres!$G$2,$Q367=Parametres!$G$3),K367,E367)</f>
        <v>66015.789999999994</v>
      </c>
      <c r="Q367" s="610" t="str">
        <f t="shared" si="22"/>
        <v>7-Dépenses</v>
      </c>
      <c r="R367" s="609" t="str">
        <f t="shared" si="23"/>
        <v>6139</v>
      </c>
      <c r="S367" s="610">
        <f t="shared" si="24"/>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1194</v>
      </c>
      <c r="B368" s="950" t="s">
        <v>2417</v>
      </c>
      <c r="C368" s="952">
        <v>7526.67</v>
      </c>
      <c r="D368" s="952">
        <v>253.25</v>
      </c>
      <c r="E368" s="952">
        <v>7779.92</v>
      </c>
      <c r="F368" s="950" t="s">
        <v>1099</v>
      </c>
      <c r="G368" s="950" t="s">
        <v>1187</v>
      </c>
      <c r="H368" s="927"/>
      <c r="I368" s="930"/>
      <c r="J368" s="930"/>
      <c r="K368" s="930"/>
      <c r="L368" s="609" t="str">
        <f t="shared" si="25"/>
        <v>6441</v>
      </c>
      <c r="M368" s="610" t="str">
        <f t="shared" si="17"/>
        <v>RETOURS</v>
      </c>
      <c r="N368" s="611">
        <f>+IF(OR($Q368=Parametres!$G$2,$Q368=Parametres!$G$3),I368,C368)</f>
        <v>7526.67</v>
      </c>
      <c r="O368" s="611">
        <f>+IF(OR($Q368=Parametres!$G$2,$Q368=Parametres!$G$3),J368,D368)</f>
        <v>253.25</v>
      </c>
      <c r="P368" s="611">
        <f>+IF(OR($Q368=Parametres!$G$2,$Q368=Parametres!$G$3),K368,E368)</f>
        <v>7779.92</v>
      </c>
      <c r="Q368" s="610" t="str">
        <f t="shared" si="22"/>
        <v>7-Dépenses</v>
      </c>
      <c r="R368" s="609" t="str">
        <f t="shared" si="23"/>
        <v>6112</v>
      </c>
      <c r="S368" s="610">
        <f t="shared" si="2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1132</v>
      </c>
      <c r="B369" s="950" t="s">
        <v>2420</v>
      </c>
      <c r="C369" s="952">
        <v>24618.91</v>
      </c>
      <c r="D369" s="952">
        <v>3022.65</v>
      </c>
      <c r="E369" s="952">
        <v>27641.56</v>
      </c>
      <c r="F369" s="950" t="s">
        <v>1099</v>
      </c>
      <c r="G369" s="950" t="s">
        <v>1133</v>
      </c>
      <c r="H369" s="927"/>
      <c r="I369" s="930"/>
      <c r="J369" s="930"/>
      <c r="K369" s="930"/>
      <c r="L369" s="609" t="str">
        <f t="shared" si="25"/>
        <v>6442</v>
      </c>
      <c r="M369" s="610" t="str">
        <f t="shared" si="17"/>
        <v>FOURNITURES &amp; PETITS OUTILS</v>
      </c>
      <c r="N369" s="611">
        <f>+IF(OR($Q369=Parametres!$G$2,$Q369=Parametres!$G$3),I369,C369)</f>
        <v>24618.91</v>
      </c>
      <c r="O369" s="611">
        <f>+IF(OR($Q369=Parametres!$G$2,$Q369=Parametres!$G$3),J369,D369)</f>
        <v>3022.65</v>
      </c>
      <c r="P369" s="611">
        <f>+IF(OR($Q369=Parametres!$G$2,$Q369=Parametres!$G$3),K369,E369)</f>
        <v>27641.56</v>
      </c>
      <c r="Q369" s="610" t="str">
        <f t="shared" si="22"/>
        <v>7-Dépenses</v>
      </c>
      <c r="R369" s="609" t="str">
        <f t="shared" si="23"/>
        <v>6142</v>
      </c>
      <c r="S369" s="610">
        <f t="shared" si="24"/>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1134</v>
      </c>
      <c r="B370" s="950" t="s">
        <v>2423</v>
      </c>
      <c r="C370" s="952">
        <v>13842.34</v>
      </c>
      <c r="D370" s="952">
        <v>852.51</v>
      </c>
      <c r="E370" s="952">
        <v>14694.85</v>
      </c>
      <c r="F370" s="950" t="s">
        <v>1099</v>
      </c>
      <c r="G370" s="950" t="s">
        <v>1135</v>
      </c>
      <c r="H370" s="927"/>
      <c r="I370" s="930"/>
      <c r="J370" s="930"/>
      <c r="K370" s="930"/>
      <c r="L370" s="609" t="str">
        <f t="shared" si="25"/>
        <v>6443</v>
      </c>
      <c r="M370" s="610" t="str">
        <f t="shared" si="17"/>
        <v>UNIFORMES &amp; LESSIVE</v>
      </c>
      <c r="N370" s="611">
        <f>+IF(OR($Q370=Parametres!$G$2,$Q370=Parametres!$G$3),I370,C370)</f>
        <v>13842.34</v>
      </c>
      <c r="O370" s="611">
        <f>+IF(OR($Q370=Parametres!$G$2,$Q370=Parametres!$G$3),J370,D370)</f>
        <v>852.51</v>
      </c>
      <c r="P370" s="611">
        <f>+IF(OR($Q370=Parametres!$G$2,$Q370=Parametres!$G$3),K370,E370)</f>
        <v>14694.85</v>
      </c>
      <c r="Q370" s="610" t="str">
        <f t="shared" si="22"/>
        <v>7-Dépenses</v>
      </c>
      <c r="R370" s="609" t="str">
        <f t="shared" si="23"/>
        <v>6143</v>
      </c>
      <c r="S370" s="610">
        <f t="shared" si="24"/>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1136</v>
      </c>
      <c r="B371" s="950" t="s">
        <v>2426</v>
      </c>
      <c r="C371" s="952">
        <v>14620.18</v>
      </c>
      <c r="D371" s="952">
        <v>705.24</v>
      </c>
      <c r="E371" s="952">
        <v>15325.42</v>
      </c>
      <c r="F371" s="950" t="s">
        <v>1099</v>
      </c>
      <c r="G371" s="950" t="s">
        <v>1137</v>
      </c>
      <c r="H371" s="927"/>
      <c r="I371" s="930"/>
      <c r="J371" s="930"/>
      <c r="K371" s="930"/>
      <c r="L371" s="609" t="str">
        <f t="shared" si="25"/>
        <v>6444</v>
      </c>
      <c r="M371" s="610" t="str">
        <f t="shared" si="17"/>
        <v>FORMATION</v>
      </c>
      <c r="N371" s="611">
        <f>+IF(OR($Q371=Parametres!$G$2,$Q371=Parametres!$G$3),I371,C371)</f>
        <v>14620.18</v>
      </c>
      <c r="O371" s="611">
        <f>+IF(OR($Q371=Parametres!$G$2,$Q371=Parametres!$G$3),J371,D371)</f>
        <v>705.24</v>
      </c>
      <c r="P371" s="611">
        <f>+IF(OR($Q371=Parametres!$G$2,$Q371=Parametres!$G$3),K371,E371)</f>
        <v>15325.42</v>
      </c>
      <c r="Q371" s="610" t="str">
        <f t="shared" si="22"/>
        <v>7-Dépenses</v>
      </c>
      <c r="R371" s="609" t="str">
        <f t="shared" si="23"/>
        <v>6144</v>
      </c>
      <c r="S371" s="610">
        <f t="shared" si="24"/>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1195</v>
      </c>
      <c r="B372" s="950" t="s">
        <v>2429</v>
      </c>
      <c r="C372" s="952">
        <v>147830.10999999999</v>
      </c>
      <c r="D372" s="952">
        <v>18216.68</v>
      </c>
      <c r="E372" s="952">
        <v>166046.79</v>
      </c>
      <c r="F372" s="950" t="s">
        <v>1099</v>
      </c>
      <c r="G372" s="950" t="s">
        <v>1139</v>
      </c>
      <c r="H372" s="927"/>
      <c r="I372" s="930"/>
      <c r="J372" s="930"/>
      <c r="K372" s="930"/>
      <c r="L372" s="609" t="str">
        <f t="shared" si="25"/>
        <v>6445</v>
      </c>
      <c r="M372" s="610" t="str">
        <f t="shared" si="17"/>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si="22"/>
        <v>7-Dépenses</v>
      </c>
      <c r="R372" s="609" t="str">
        <f t="shared" si="23"/>
        <v>6145</v>
      </c>
      <c r="S372" s="610">
        <f t="shared" si="24"/>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1140</v>
      </c>
      <c r="B373" s="950" t="s">
        <v>2432</v>
      </c>
      <c r="C373" s="952">
        <v>1179.08</v>
      </c>
      <c r="D373" s="952">
        <v>118.7</v>
      </c>
      <c r="E373" s="952">
        <v>1297.78</v>
      </c>
      <c r="F373" s="950" t="s">
        <v>1099</v>
      </c>
      <c r="G373" s="950" t="s">
        <v>1141</v>
      </c>
      <c r="H373" s="927"/>
      <c r="I373" s="930"/>
      <c r="J373" s="930"/>
      <c r="K373" s="930"/>
      <c r="L373" s="609" t="str">
        <f t="shared" si="25"/>
        <v>6447</v>
      </c>
      <c r="M373" s="610" t="str">
        <f t="shared" si="17"/>
        <v>FRET/EXPRESS/TRANS. PAR CAMION</v>
      </c>
      <c r="N373" s="611">
        <f>+IF(OR($Q373=Parametres!$G$2,$Q373=Parametres!$G$3),I373,C373)</f>
        <v>1179.08</v>
      </c>
      <c r="O373" s="611">
        <f>+IF(OR($Q373=Parametres!$G$2,$Q373=Parametres!$G$3),J373,D373)</f>
        <v>118.7</v>
      </c>
      <c r="P373" s="611">
        <f>+IF(OR($Q373=Parametres!$G$2,$Q373=Parametres!$G$3),K373,E373)</f>
        <v>1297.78</v>
      </c>
      <c r="Q373" s="610" t="str">
        <f t="shared" si="22"/>
        <v>7-Dépenses</v>
      </c>
      <c r="R373" s="609" t="str">
        <f t="shared" si="23"/>
        <v>6147</v>
      </c>
      <c r="S373" s="610">
        <f t="shared" si="24"/>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1142</v>
      </c>
      <c r="B374" s="950" t="s">
        <v>2435</v>
      </c>
      <c r="C374" s="952">
        <v>47346.34</v>
      </c>
      <c r="D374" s="952">
        <v>3672.37</v>
      </c>
      <c r="E374" s="952">
        <v>51018.71</v>
      </c>
      <c r="F374" s="950" t="s">
        <v>1099</v>
      </c>
      <c r="G374" s="950" t="s">
        <v>1143</v>
      </c>
      <c r="H374" s="927"/>
      <c r="I374" s="930"/>
      <c r="J374" s="930"/>
      <c r="K374" s="930"/>
      <c r="L374" s="609" t="str">
        <f t="shared" si="25"/>
        <v>6451</v>
      </c>
      <c r="M374" s="610" t="str">
        <f t="shared" si="17"/>
        <v>DEP. DU TRAITEMENT DES DONNEES</v>
      </c>
      <c r="N374" s="611">
        <f>+IF(OR($Q374=Parametres!$G$2,$Q374=Parametres!$G$3),I374,C374)</f>
        <v>47346.34</v>
      </c>
      <c r="O374" s="611">
        <f>+IF(OR($Q374=Parametres!$G$2,$Q374=Parametres!$G$3),J374,D374)</f>
        <v>3672.37</v>
      </c>
      <c r="P374" s="611">
        <f>+IF(OR($Q374=Parametres!$G$2,$Q374=Parametres!$G$3),K374,E374)</f>
        <v>51018.71</v>
      </c>
      <c r="Q374" s="610" t="str">
        <f t="shared" si="22"/>
        <v>7-Dépenses</v>
      </c>
      <c r="R374" s="609" t="str">
        <f t="shared" si="23"/>
        <v>6151</v>
      </c>
      <c r="S374" s="610">
        <f t="shared" si="24"/>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1144</v>
      </c>
      <c r="B375" s="950" t="s">
        <v>2438</v>
      </c>
      <c r="C375" s="952">
        <v>8002.42</v>
      </c>
      <c r="D375" s="952">
        <v>706.52</v>
      </c>
      <c r="E375" s="952">
        <v>8708.94</v>
      </c>
      <c r="F375" s="950" t="s">
        <v>1099</v>
      </c>
      <c r="G375" s="950" t="s">
        <v>1145</v>
      </c>
      <c r="H375" s="927"/>
      <c r="I375" s="930"/>
      <c r="J375" s="930"/>
      <c r="K375" s="930"/>
      <c r="L375" s="609" t="str">
        <f t="shared" si="25"/>
        <v>6452</v>
      </c>
      <c r="M375" s="610" t="str">
        <f t="shared" si="17"/>
        <v>PAPETERIE</v>
      </c>
      <c r="N375" s="611">
        <f>+IF(OR($Q375=Parametres!$G$2,$Q375=Parametres!$G$3),I375,C375)</f>
        <v>8002.42</v>
      </c>
      <c r="O375" s="611">
        <f>+IF(OR($Q375=Parametres!$G$2,$Q375=Parametres!$G$3),J375,D375)</f>
        <v>706.52</v>
      </c>
      <c r="P375" s="611">
        <f>+IF(OR($Q375=Parametres!$G$2,$Q375=Parametres!$G$3),K375,E375)</f>
        <v>8708.94</v>
      </c>
      <c r="Q375" s="610" t="str">
        <f t="shared" si="22"/>
        <v>7-Dépenses</v>
      </c>
      <c r="R375" s="609" t="str">
        <f t="shared" si="23"/>
        <v>6152</v>
      </c>
      <c r="S375" s="610">
        <f t="shared" si="24"/>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1146</v>
      </c>
      <c r="B376" s="950" t="s">
        <v>2441</v>
      </c>
      <c r="C376" s="952">
        <v>2872.32</v>
      </c>
      <c r="D376" s="952">
        <v>183.61</v>
      </c>
      <c r="E376" s="952">
        <v>3055.93</v>
      </c>
      <c r="F376" s="950" t="s">
        <v>1099</v>
      </c>
      <c r="G376" s="950" t="s">
        <v>1147</v>
      </c>
      <c r="H376" s="927"/>
      <c r="I376" s="930"/>
      <c r="J376" s="930"/>
      <c r="K376" s="930"/>
      <c r="L376" s="609" t="str">
        <f t="shared" si="25"/>
        <v>6453</v>
      </c>
      <c r="M376" s="610" t="str">
        <f t="shared" si="17"/>
        <v>TELEPHONE ET TELEX</v>
      </c>
      <c r="N376" s="611">
        <f>+IF(OR($Q376=Parametres!$G$2,$Q376=Parametres!$G$3),I376,C376)</f>
        <v>2872.32</v>
      </c>
      <c r="O376" s="611">
        <f>+IF(OR($Q376=Parametres!$G$2,$Q376=Parametres!$G$3),J376,D376)</f>
        <v>183.61</v>
      </c>
      <c r="P376" s="611">
        <f>+IF(OR($Q376=Parametres!$G$2,$Q376=Parametres!$G$3),K376,E376)</f>
        <v>3055.93</v>
      </c>
      <c r="Q376" s="610" t="str">
        <f t="shared" si="22"/>
        <v>7-Dépenses</v>
      </c>
      <c r="R376" s="609" t="str">
        <f t="shared" si="23"/>
        <v>6153</v>
      </c>
      <c r="S376" s="610">
        <f t="shared" si="24"/>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1148</v>
      </c>
      <c r="B377" s="950" t="s">
        <v>2444</v>
      </c>
      <c r="C377" s="952">
        <v>2198.48</v>
      </c>
      <c r="D377" s="952">
        <v>198.38</v>
      </c>
      <c r="E377" s="952">
        <v>2396.86</v>
      </c>
      <c r="F377" s="950" t="s">
        <v>1099</v>
      </c>
      <c r="G377" s="950" t="s">
        <v>1149</v>
      </c>
      <c r="H377" s="927"/>
      <c r="I377" s="930"/>
      <c r="J377" s="930"/>
      <c r="K377" s="930"/>
      <c r="L377" s="609" t="str">
        <f t="shared" si="25"/>
        <v>6455</v>
      </c>
      <c r="M377" s="610" t="str">
        <f t="shared" si="17"/>
        <v>DEPENSES DIVERS</v>
      </c>
      <c r="N377" s="611">
        <f>+IF(OR($Q377=Parametres!$G$2,$Q377=Parametres!$G$3),I377,C377)</f>
        <v>2198.48</v>
      </c>
      <c r="O377" s="611">
        <f>+IF(OR($Q377=Parametres!$G$2,$Q377=Parametres!$G$3),J377,D377)</f>
        <v>198.38</v>
      </c>
      <c r="P377" s="611">
        <f>+IF(OR($Q377=Parametres!$G$2,$Q377=Parametres!$G$3),K377,E377)</f>
        <v>2396.86</v>
      </c>
      <c r="Q377" s="610" t="str">
        <f t="shared" si="22"/>
        <v>7-Dépenses</v>
      </c>
      <c r="R377" s="609" t="str">
        <f t="shared" si="23"/>
        <v>6155</v>
      </c>
      <c r="S377" s="610">
        <f t="shared" si="24"/>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1196</v>
      </c>
      <c r="B378" s="950" t="s">
        <v>2447</v>
      </c>
      <c r="C378" s="952">
        <v>12345.83</v>
      </c>
      <c r="D378" s="952">
        <v>961.16</v>
      </c>
      <c r="E378" s="952">
        <v>13306.99</v>
      </c>
      <c r="F378" s="950" t="s">
        <v>1099</v>
      </c>
      <c r="G378" s="950" t="s">
        <v>1151</v>
      </c>
      <c r="H378" s="927"/>
      <c r="I378" s="930"/>
      <c r="J378" s="930"/>
      <c r="K378" s="930"/>
      <c r="L378" s="609" t="str">
        <f t="shared" si="25"/>
        <v>6456</v>
      </c>
      <c r="M378" s="610" t="str">
        <f t="shared" si="17"/>
        <v>FRAIS REPRESENTATION - SERVICE</v>
      </c>
      <c r="N378" s="611">
        <f>+IF(OR($Q378=Parametres!$G$2,$Q378=Parametres!$G$3),I378,C378)</f>
        <v>12345.83</v>
      </c>
      <c r="O378" s="611">
        <f>+IF(OR($Q378=Parametres!$G$2,$Q378=Parametres!$G$3),J378,D378)</f>
        <v>961.16</v>
      </c>
      <c r="P378" s="611">
        <f>+IF(OR($Q378=Parametres!$G$2,$Q378=Parametres!$G$3),K378,E378)</f>
        <v>13306.99</v>
      </c>
      <c r="Q378" s="610" t="str">
        <f t="shared" si="22"/>
        <v>7-Dépenses</v>
      </c>
      <c r="R378" s="609" t="str">
        <f t="shared" si="23"/>
        <v>6156</v>
      </c>
      <c r="S378" s="610">
        <f t="shared" si="2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1197</v>
      </c>
      <c r="B379" s="950" t="s">
        <v>3338</v>
      </c>
      <c r="C379" s="952">
        <v>20065.53</v>
      </c>
      <c r="D379" s="952">
        <v>1834.29</v>
      </c>
      <c r="E379" s="952">
        <v>21899.82</v>
      </c>
      <c r="F379" s="950" t="s">
        <v>1099</v>
      </c>
      <c r="G379" s="950" t="s">
        <v>1198</v>
      </c>
      <c r="H379" s="927"/>
      <c r="I379" s="930"/>
      <c r="J379" s="930"/>
      <c r="K379" s="930"/>
      <c r="L379" s="609" t="str">
        <f t="shared" si="25"/>
        <v>6457</v>
      </c>
      <c r="M379" s="610" t="str">
        <f t="shared" si="17"/>
        <v>FRAIS BANCAIRES - SERVICE</v>
      </c>
      <c r="N379" s="611">
        <f>+IF(OR($Q379=Parametres!$G$2,$Q379=Parametres!$G$3),I379,C379)</f>
        <v>20065.53</v>
      </c>
      <c r="O379" s="611">
        <f>+IF(OR($Q379=Parametres!$G$2,$Q379=Parametres!$G$3),J379,D379)</f>
        <v>1834.29</v>
      </c>
      <c r="P379" s="611">
        <f>+IF(OR($Q379=Parametres!$G$2,$Q379=Parametres!$G$3),K379,E379)</f>
        <v>21899.82</v>
      </c>
      <c r="Q379" s="610" t="str">
        <f t="shared" si="22"/>
        <v>7-Dépenses</v>
      </c>
      <c r="R379" s="609" t="str">
        <f t="shared" si="23"/>
        <v>645</v>
      </c>
      <c r="S379" s="610">
        <f t="shared" si="24"/>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1154</v>
      </c>
      <c r="B380" s="950" t="s">
        <v>2450</v>
      </c>
      <c r="C380" s="952">
        <v>24793.53</v>
      </c>
      <c r="D380" s="952">
        <v>2398.16</v>
      </c>
      <c r="E380" s="952">
        <v>27191.69</v>
      </c>
      <c r="F380" s="950" t="s">
        <v>1099</v>
      </c>
      <c r="G380" s="950" t="s">
        <v>1155</v>
      </c>
      <c r="H380" s="927"/>
      <c r="I380" s="930"/>
      <c r="J380" s="930"/>
      <c r="K380" s="930"/>
      <c r="L380" s="609" t="str">
        <f t="shared" si="25"/>
        <v>6459</v>
      </c>
      <c r="M380" s="610" t="str">
        <f t="shared" si="17"/>
        <v>SERVICE EXTERIEUR</v>
      </c>
      <c r="N380" s="611">
        <f>+IF(OR($Q380=Parametres!$G$2,$Q380=Parametres!$G$3),I380,C380)</f>
        <v>24793.53</v>
      </c>
      <c r="O380" s="611">
        <f>+IF(OR($Q380=Parametres!$G$2,$Q380=Parametres!$G$3),J380,D380)</f>
        <v>2398.16</v>
      </c>
      <c r="P380" s="611">
        <f>+IF(OR($Q380=Parametres!$G$2,$Q380=Parametres!$G$3),K380,E380)</f>
        <v>27191.69</v>
      </c>
      <c r="Q380" s="610" t="str">
        <f t="shared" si="22"/>
        <v>7-Dépenses</v>
      </c>
      <c r="R380" s="609" t="str">
        <f t="shared" si="23"/>
        <v>6159</v>
      </c>
      <c r="S380" s="610">
        <f t="shared" si="24"/>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1156</v>
      </c>
      <c r="B381" s="950" t="s">
        <v>2453</v>
      </c>
      <c r="C381" s="952">
        <v>11390.28</v>
      </c>
      <c r="D381" s="952">
        <v>1035.48</v>
      </c>
      <c r="E381" s="952">
        <v>12425.76</v>
      </c>
      <c r="F381" s="950" t="s">
        <v>1099</v>
      </c>
      <c r="G381" s="950" t="s">
        <v>1157</v>
      </c>
      <c r="H381" s="927"/>
      <c r="I381" s="930"/>
      <c r="J381" s="930"/>
      <c r="K381" s="930"/>
      <c r="L381" s="609" t="str">
        <f t="shared" si="25"/>
        <v>6461</v>
      </c>
      <c r="M381" s="610" t="str">
        <f t="shared" si="17"/>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si="22"/>
        <v>7-Dépenses</v>
      </c>
      <c r="R381" s="609" t="str">
        <f t="shared" si="23"/>
        <v>6161</v>
      </c>
      <c r="S381" s="610">
        <f t="shared" si="24"/>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1199</v>
      </c>
      <c r="B382" s="950" t="s">
        <v>2459</v>
      </c>
      <c r="C382" s="952">
        <v>17496.59</v>
      </c>
      <c r="D382" s="952">
        <v>1186.6300000000001</v>
      </c>
      <c r="E382" s="952">
        <v>18683.22</v>
      </c>
      <c r="F382" s="950" t="s">
        <v>1099</v>
      </c>
      <c r="G382" s="950" t="s">
        <v>1200</v>
      </c>
      <c r="H382" s="927"/>
      <c r="I382" s="930"/>
      <c r="J382" s="930"/>
      <c r="K382" s="930"/>
      <c r="L382" s="609" t="str">
        <f t="shared" si="25"/>
        <v>6463</v>
      </c>
      <c r="M382" s="610" t="str">
        <f t="shared" si="17"/>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si="22"/>
        <v>7-Dépenses</v>
      </c>
      <c r="R382" s="609" t="str">
        <f t="shared" si="23"/>
        <v>6163</v>
      </c>
      <c r="S382" s="610">
        <f t="shared" si="24"/>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1201</v>
      </c>
      <c r="B383" s="950" t="s">
        <v>2462</v>
      </c>
      <c r="C383" s="952">
        <v>6679.89</v>
      </c>
      <c r="D383" s="952">
        <v>223.4</v>
      </c>
      <c r="E383" s="952">
        <v>6903.29</v>
      </c>
      <c r="F383" s="950" t="s">
        <v>1099</v>
      </c>
      <c r="G383" s="950" t="s">
        <v>1159</v>
      </c>
      <c r="H383" s="927"/>
      <c r="I383" s="930"/>
      <c r="J383" s="930"/>
      <c r="K383" s="930"/>
      <c r="L383" s="609" t="str">
        <f t="shared" si="25"/>
        <v>6481</v>
      </c>
      <c r="M383" s="610" t="str">
        <f t="shared" si="17"/>
        <v>CHAUFFAGE,ELECTRICITE,EAU-SERVICE</v>
      </c>
      <c r="N383" s="611">
        <f>+IF(OR($Q383=Parametres!$G$2,$Q383=Parametres!$G$3),I383,C383)</f>
        <v>6679.89</v>
      </c>
      <c r="O383" s="611">
        <f>+IF(OR($Q383=Parametres!$G$2,$Q383=Parametres!$G$3),J383,D383)</f>
        <v>223.4</v>
      </c>
      <c r="P383" s="611">
        <f>+IF(OR($Q383=Parametres!$G$2,$Q383=Parametres!$G$3),K383,E383)</f>
        <v>6903.29</v>
      </c>
      <c r="Q383" s="610" t="str">
        <f t="shared" si="22"/>
        <v>7-Dépenses</v>
      </c>
      <c r="R383" s="609" t="str">
        <f t="shared" si="23"/>
        <v>6181</v>
      </c>
      <c r="S383" s="610">
        <f t="shared" si="24"/>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1202</v>
      </c>
      <c r="B384" s="950" t="s">
        <v>2465</v>
      </c>
      <c r="C384" s="952">
        <v>68640</v>
      </c>
      <c r="D384" s="952">
        <v>6240</v>
      </c>
      <c r="E384" s="952">
        <v>74880</v>
      </c>
      <c r="F384" s="950" t="s">
        <v>1099</v>
      </c>
      <c r="G384" s="950" t="s">
        <v>1161</v>
      </c>
      <c r="H384" s="927"/>
      <c r="I384" s="930"/>
      <c r="J384" s="930"/>
      <c r="K384" s="930"/>
      <c r="L384" s="609" t="str">
        <f t="shared" si="25"/>
        <v>6482</v>
      </c>
      <c r="M384" s="610" t="str">
        <f t="shared" si="17"/>
        <v>LOYER - SERVICE</v>
      </c>
      <c r="N384" s="611">
        <f>+IF(OR($Q384=Parametres!$G$2,$Q384=Parametres!$G$3),I384,C384)</f>
        <v>68640</v>
      </c>
      <c r="O384" s="611">
        <f>+IF(OR($Q384=Parametres!$G$2,$Q384=Parametres!$G$3),J384,D384)</f>
        <v>6240</v>
      </c>
      <c r="P384" s="611">
        <f>+IF(OR($Q384=Parametres!$G$2,$Q384=Parametres!$G$3),K384,E384)</f>
        <v>74880</v>
      </c>
      <c r="Q384" s="610" t="str">
        <f t="shared" si="22"/>
        <v>7-Dépenses</v>
      </c>
      <c r="R384" s="609" t="str">
        <f t="shared" si="23"/>
        <v>6182</v>
      </c>
      <c r="S384" s="610">
        <f t="shared" si="24"/>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1203</v>
      </c>
      <c r="B385" s="950" t="s">
        <v>2468</v>
      </c>
      <c r="C385" s="952">
        <v>11275.44</v>
      </c>
      <c r="D385" s="952">
        <v>1025.04</v>
      </c>
      <c r="E385" s="952">
        <v>12300.48</v>
      </c>
      <c r="F385" s="950" t="s">
        <v>1099</v>
      </c>
      <c r="G385" s="950" t="s">
        <v>1163</v>
      </c>
      <c r="H385" s="927"/>
      <c r="I385" s="930"/>
      <c r="J385" s="930"/>
      <c r="K385" s="930"/>
      <c r="L385" s="609" t="str">
        <f t="shared" si="25"/>
        <v>6486</v>
      </c>
      <c r="M385" s="610" t="str">
        <f t="shared" si="17"/>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si="22"/>
        <v>7-Dépenses</v>
      </c>
      <c r="R385" s="609" t="str">
        <f t="shared" si="23"/>
        <v>6186</v>
      </c>
      <c r="S385" s="610">
        <f t="shared" si="24"/>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1204</v>
      </c>
      <c r="B386" s="950" t="s">
        <v>2471</v>
      </c>
      <c r="C386" s="952">
        <v>13015.2</v>
      </c>
      <c r="D386" s="952">
        <v>397.45</v>
      </c>
      <c r="E386" s="952">
        <v>13412.65</v>
      </c>
      <c r="F386" s="950" t="s">
        <v>1099</v>
      </c>
      <c r="G386" s="950" t="s">
        <v>1165</v>
      </c>
      <c r="H386" s="927"/>
      <c r="I386" s="930"/>
      <c r="J386" s="930"/>
      <c r="K386" s="930"/>
      <c r="L386" s="609" t="str">
        <f t="shared" si="25"/>
        <v>6487</v>
      </c>
      <c r="M386" s="610" t="str">
        <f t="shared" si="17"/>
        <v>TAXES FONCIERES - SERVICE</v>
      </c>
      <c r="N386" s="611">
        <f>+IF(OR($Q386=Parametres!$G$2,$Q386=Parametres!$G$3),I386,C386)</f>
        <v>13015.2</v>
      </c>
      <c r="O386" s="611">
        <f>+IF(OR($Q386=Parametres!$G$2,$Q386=Parametres!$G$3),J386,D386)</f>
        <v>397.45</v>
      </c>
      <c r="P386" s="611">
        <f>+IF(OR($Q386=Parametres!$G$2,$Q386=Parametres!$G$3),K386,E386)</f>
        <v>13412.65</v>
      </c>
      <c r="Q386" s="610" t="str">
        <f t="shared" ref="Q386:Q449" si="26">+F386</f>
        <v>7-Dépenses</v>
      </c>
      <c r="R386" s="609" t="str">
        <f t="shared" ref="R386:R449" si="27">+G386</f>
        <v>6187</v>
      </c>
      <c r="S386" s="610">
        <f t="shared" ref="S386:S449" si="28">+H386</f>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1205</v>
      </c>
      <c r="B387" s="950" t="s">
        <v>2474</v>
      </c>
      <c r="C387" s="952">
        <v>8659.2000000000007</v>
      </c>
      <c r="D387" s="952">
        <v>787.2</v>
      </c>
      <c r="E387" s="952">
        <v>9446.4</v>
      </c>
      <c r="F387" s="950" t="s">
        <v>1099</v>
      </c>
      <c r="G387" s="950" t="s">
        <v>1167</v>
      </c>
      <c r="H387" s="927"/>
      <c r="I387" s="930"/>
      <c r="J387" s="930"/>
      <c r="K387" s="930"/>
      <c r="L387" s="609" t="str">
        <f t="shared" ref="L387:L450" si="29">TEXT(B387,0)</f>
        <v>6493</v>
      </c>
      <c r="M387" s="610" t="str">
        <f t="shared" si="17"/>
        <v>AUTRE TAXES-SERVICE</v>
      </c>
      <c r="N387" s="611">
        <f>+IF(OR($Q387=Parametres!$G$2,$Q387=Parametres!$G$3),I387,C387)</f>
        <v>8659.2000000000007</v>
      </c>
      <c r="O387" s="611">
        <f>+IF(OR($Q387=Parametres!$G$2,$Q387=Parametres!$G$3),J387,D387)</f>
        <v>787.2</v>
      </c>
      <c r="P387" s="611">
        <f>+IF(OR($Q387=Parametres!$G$2,$Q387=Parametres!$G$3),K387,E387)</f>
        <v>9446.4</v>
      </c>
      <c r="Q387" s="610" t="str">
        <f t="shared" si="26"/>
        <v>7-Dépenses</v>
      </c>
      <c r="R387" s="609" t="str">
        <f t="shared" si="27"/>
        <v>6193</v>
      </c>
      <c r="S387" s="610">
        <f t="shared" si="28"/>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1206</v>
      </c>
      <c r="B388" s="950" t="s">
        <v>2477</v>
      </c>
      <c r="C388" s="952">
        <v>16409.599999999999</v>
      </c>
      <c r="D388" s="952">
        <v>1469.6</v>
      </c>
      <c r="E388" s="952">
        <v>17879.2</v>
      </c>
      <c r="F388" s="950" t="s">
        <v>1099</v>
      </c>
      <c r="G388" s="950" t="s">
        <v>1169</v>
      </c>
      <c r="H388" s="927"/>
      <c r="I388" s="930"/>
      <c r="J388" s="930"/>
      <c r="K388" s="930"/>
      <c r="L388" s="609" t="str">
        <f t="shared" si="29"/>
        <v>6494</v>
      </c>
      <c r="M388" s="610" t="str">
        <f t="shared" si="17"/>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si="26"/>
        <v>7-Dépenses</v>
      </c>
      <c r="R388" s="609" t="str">
        <f t="shared" si="27"/>
        <v>6194</v>
      </c>
      <c r="S388" s="610">
        <f t="shared" si="28"/>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1207</v>
      </c>
      <c r="B389" s="950" t="s">
        <v>3340</v>
      </c>
      <c r="C389" s="952">
        <v>326.92</v>
      </c>
      <c r="D389" s="952">
        <v>0</v>
      </c>
      <c r="E389" s="952">
        <v>326.92</v>
      </c>
      <c r="F389" s="950" t="s">
        <v>1099</v>
      </c>
      <c r="G389" s="950" t="s">
        <v>1208</v>
      </c>
      <c r="H389" s="927"/>
      <c r="I389" s="930"/>
      <c r="J389" s="930"/>
      <c r="K389" s="930"/>
      <c r="L389" s="609" t="str">
        <f t="shared" si="29"/>
        <v>6496</v>
      </c>
      <c r="M389" s="610" t="str">
        <f t="shared" si="17"/>
        <v>MAUVAISES CREANCES - SERVICE</v>
      </c>
      <c r="N389" s="611">
        <f>+IF(OR($Q389=Parametres!$G$2,$Q389=Parametres!$G$3),I389,C389)</f>
        <v>326.92</v>
      </c>
      <c r="O389" s="611">
        <f>+IF(OR($Q389=Parametres!$G$2,$Q389=Parametres!$G$3),J389,D389)</f>
        <v>0</v>
      </c>
      <c r="P389" s="611">
        <f>+IF(OR($Q389=Parametres!$G$2,$Q389=Parametres!$G$3),K389,E389)</f>
        <v>326.92</v>
      </c>
      <c r="Q389" s="610" t="str">
        <f t="shared" si="26"/>
        <v>7-Dépenses</v>
      </c>
      <c r="R389" s="609" t="str">
        <f t="shared" si="27"/>
        <v>6196</v>
      </c>
      <c r="S389" s="610">
        <f t="shared" si="28"/>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1103</v>
      </c>
      <c r="B390" s="950" t="s">
        <v>2480</v>
      </c>
      <c r="C390" s="952">
        <v>4867.87</v>
      </c>
      <c r="D390" s="952">
        <v>1987.13</v>
      </c>
      <c r="E390" s="952">
        <v>6855</v>
      </c>
      <c r="F390" s="950" t="s">
        <v>1099</v>
      </c>
      <c r="G390" s="950" t="s">
        <v>1187</v>
      </c>
      <c r="H390" s="927"/>
      <c r="I390" s="930"/>
      <c r="J390" s="930"/>
      <c r="K390" s="930"/>
      <c r="L390" s="609" t="str">
        <f t="shared" si="29"/>
        <v>6503</v>
      </c>
      <c r="M390" s="610" t="str">
        <f t="shared" si="17"/>
        <v>RELAT. A LA CLIENTELE &amp; AJUST.</v>
      </c>
      <c r="N390" s="611">
        <f>+IF(OR($Q390=Parametres!$G$2,$Q390=Parametres!$G$3),I390,C390)</f>
        <v>4867.87</v>
      </c>
      <c r="O390" s="611">
        <f>+IF(OR($Q390=Parametres!$G$2,$Q390=Parametres!$G$3),J390,D390)</f>
        <v>1987.13</v>
      </c>
      <c r="P390" s="611">
        <f>+IF(OR($Q390=Parametres!$G$2,$Q390=Parametres!$G$3),K390,E390)</f>
        <v>6855</v>
      </c>
      <c r="Q390" s="610" t="str">
        <f t="shared" si="26"/>
        <v>7-Dépenses</v>
      </c>
      <c r="R390" s="609" t="str">
        <f t="shared" si="27"/>
        <v>6112</v>
      </c>
      <c r="S390" s="610">
        <f t="shared" si="28"/>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1111</v>
      </c>
      <c r="B391" s="950" t="s">
        <v>2486</v>
      </c>
      <c r="C391" s="952">
        <v>264.8</v>
      </c>
      <c r="D391" s="952">
        <v>0.09</v>
      </c>
      <c r="E391" s="952">
        <v>264.89</v>
      </c>
      <c r="F391" s="950" t="s">
        <v>1099</v>
      </c>
      <c r="G391" s="950" t="s">
        <v>1112</v>
      </c>
      <c r="H391" s="927"/>
      <c r="I391" s="930"/>
      <c r="J391" s="930"/>
      <c r="K391" s="930"/>
      <c r="L391" s="609" t="str">
        <f t="shared" si="29"/>
        <v>6514</v>
      </c>
      <c r="M391" s="610" t="str">
        <f t="shared" si="17"/>
        <v>PUBLICITE</v>
      </c>
      <c r="N391" s="611">
        <f>+IF(OR($Q391=Parametres!$G$2,$Q391=Parametres!$G$3),I391,C391)</f>
        <v>264.8</v>
      </c>
      <c r="O391" s="611">
        <f>+IF(OR($Q391=Parametres!$G$2,$Q391=Parametres!$G$3),J391,D391)</f>
        <v>0.09</v>
      </c>
      <c r="P391" s="611">
        <f>+IF(OR($Q391=Parametres!$G$2,$Q391=Parametres!$G$3),K391,E391)</f>
        <v>264.89</v>
      </c>
      <c r="Q391" s="610" t="str">
        <f t="shared" si="26"/>
        <v>7-Dépenses</v>
      </c>
      <c r="R391" s="609" t="str">
        <f t="shared" si="27"/>
        <v>6114</v>
      </c>
      <c r="S391" s="610">
        <f t="shared" si="2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1114</v>
      </c>
      <c r="B392" s="950" t="s">
        <v>2492</v>
      </c>
      <c r="C392" s="952">
        <v>4449.6899999999996</v>
      </c>
      <c r="D392" s="952">
        <v>464.99</v>
      </c>
      <c r="E392" s="952">
        <v>4914.68</v>
      </c>
      <c r="F392" s="950" t="s">
        <v>1099</v>
      </c>
      <c r="G392" s="950" t="s">
        <v>1115</v>
      </c>
      <c r="H392" s="927"/>
      <c r="I392" s="930"/>
      <c r="J392" s="930"/>
      <c r="K392" s="930"/>
      <c r="L392" s="609" t="str">
        <f t="shared" si="29"/>
        <v>6521</v>
      </c>
      <c r="M392" s="610" t="str">
        <f t="shared" si="17"/>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si="26"/>
        <v>7-Dépenses</v>
      </c>
      <c r="R392" s="609" t="str">
        <f t="shared" si="27"/>
        <v>6121</v>
      </c>
      <c r="S392" s="610">
        <f t="shared" si="28"/>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1116</v>
      </c>
      <c r="B393" s="950" t="s">
        <v>2495</v>
      </c>
      <c r="C393" s="952">
        <v>10420.68</v>
      </c>
      <c r="D393" s="952">
        <v>901.88</v>
      </c>
      <c r="E393" s="952">
        <v>11322.56</v>
      </c>
      <c r="F393" s="950" t="s">
        <v>1099</v>
      </c>
      <c r="G393" s="950" t="s">
        <v>1117</v>
      </c>
      <c r="H393" s="927"/>
      <c r="I393" s="930"/>
      <c r="J393" s="930"/>
      <c r="K393" s="930"/>
      <c r="L393" s="609" t="str">
        <f t="shared" si="29"/>
        <v>6522</v>
      </c>
      <c r="M393" s="610" t="str">
        <f t="shared" si="17"/>
        <v>SAL SUPERVISION / GERANT</v>
      </c>
      <c r="N393" s="611">
        <f>+IF(OR($Q393=Parametres!$G$2,$Q393=Parametres!$G$3),I393,C393)</f>
        <v>10420.68</v>
      </c>
      <c r="O393" s="611">
        <f>+IF(OR($Q393=Parametres!$G$2,$Q393=Parametres!$G$3),J393,D393)</f>
        <v>901.88</v>
      </c>
      <c r="P393" s="611">
        <f>+IF(OR($Q393=Parametres!$G$2,$Q393=Parametres!$G$3),K393,E393)</f>
        <v>11322.56</v>
      </c>
      <c r="Q393" s="610" t="str">
        <f t="shared" si="26"/>
        <v>7-Dépenses</v>
      </c>
      <c r="R393" s="609" t="str">
        <f t="shared" si="27"/>
        <v>6122</v>
      </c>
      <c r="S393" s="610">
        <f t="shared" si="28"/>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1189</v>
      </c>
      <c r="B394" s="950" t="s">
        <v>2498</v>
      </c>
      <c r="C394" s="952">
        <v>4751.8599999999997</v>
      </c>
      <c r="D394" s="952">
        <v>1093.06</v>
      </c>
      <c r="E394" s="952">
        <v>5844.92</v>
      </c>
      <c r="F394" s="950" t="s">
        <v>1099</v>
      </c>
      <c r="G394" s="950" t="s">
        <v>1119</v>
      </c>
      <c r="H394" s="927"/>
      <c r="I394" s="930"/>
      <c r="J394" s="930"/>
      <c r="K394" s="930"/>
      <c r="L394" s="609" t="str">
        <f t="shared" si="29"/>
        <v>6523</v>
      </c>
      <c r="M394" s="610" t="str">
        <f t="shared" si="17"/>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si="26"/>
        <v>7-Dépenses</v>
      </c>
      <c r="R394" s="609" t="str">
        <f t="shared" si="27"/>
        <v>6123</v>
      </c>
      <c r="S394" s="610">
        <f t="shared" si="28"/>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1120</v>
      </c>
      <c r="B395" s="950" t="s">
        <v>2501</v>
      </c>
      <c r="C395" s="952">
        <v>4798.2</v>
      </c>
      <c r="D395" s="952">
        <v>0.83</v>
      </c>
      <c r="E395" s="952">
        <v>4799.03</v>
      </c>
      <c r="F395" s="950" t="s">
        <v>1099</v>
      </c>
      <c r="G395" s="950" t="s">
        <v>1121</v>
      </c>
      <c r="H395" s="927"/>
      <c r="I395" s="930"/>
      <c r="J395" s="930"/>
      <c r="K395" s="930"/>
      <c r="L395" s="609" t="str">
        <f t="shared" si="29"/>
        <v>6524</v>
      </c>
      <c r="M395" s="610" t="str">
        <f t="shared" si="17"/>
        <v>SALAIRES &amp; RENUM. - AUTRES</v>
      </c>
      <c r="N395" s="611">
        <f>+IF(OR($Q395=Parametres!$G$2,$Q395=Parametres!$G$3),I395,C395)</f>
        <v>4798.2</v>
      </c>
      <c r="O395" s="611">
        <f>+IF(OR($Q395=Parametres!$G$2,$Q395=Parametres!$G$3),J395,D395)</f>
        <v>0.83</v>
      </c>
      <c r="P395" s="611">
        <f>+IF(OR($Q395=Parametres!$G$2,$Q395=Parametres!$G$3),K395,E395)</f>
        <v>4799.03</v>
      </c>
      <c r="Q395" s="610" t="str">
        <f t="shared" si="26"/>
        <v>7-Dépenses</v>
      </c>
      <c r="R395" s="609" t="str">
        <f t="shared" si="27"/>
        <v>6124</v>
      </c>
      <c r="S395" s="610">
        <f t="shared" si="28"/>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1190</v>
      </c>
      <c r="B396" s="950" t="s">
        <v>2504</v>
      </c>
      <c r="C396" s="952">
        <v>43101.17</v>
      </c>
      <c r="D396" s="952">
        <v>1713.86</v>
      </c>
      <c r="E396" s="952">
        <v>44815.03</v>
      </c>
      <c r="F396" s="950" t="s">
        <v>1099</v>
      </c>
      <c r="G396" s="950" t="s">
        <v>1191</v>
      </c>
      <c r="H396" s="927"/>
      <c r="I396" s="930"/>
      <c r="J396" s="930"/>
      <c r="K396" s="930"/>
      <c r="L396" s="609" t="str">
        <f t="shared" si="29"/>
        <v>6525</v>
      </c>
      <c r="M396" s="610" t="str">
        <f t="shared" si="17"/>
        <v>SALAIRE SPECIALISTES</v>
      </c>
      <c r="N396" s="611">
        <f>+IF(OR($Q396=Parametres!$G$2,$Q396=Parametres!$G$3),I396,C396)</f>
        <v>43101.17</v>
      </c>
      <c r="O396" s="611">
        <f>+IF(OR($Q396=Parametres!$G$2,$Q396=Parametres!$G$3),J396,D396)</f>
        <v>1713.86</v>
      </c>
      <c r="P396" s="611">
        <f>+IF(OR($Q396=Parametres!$G$2,$Q396=Parametres!$G$3),K396,E396)</f>
        <v>44815.03</v>
      </c>
      <c r="Q396" s="610" t="str">
        <f t="shared" si="26"/>
        <v>7-Dépenses</v>
      </c>
      <c r="R396" s="609" t="str">
        <f t="shared" si="27"/>
        <v>6125</v>
      </c>
      <c r="S396" s="610">
        <f t="shared" si="28"/>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1174</v>
      </c>
      <c r="B397" s="950" t="s">
        <v>2507</v>
      </c>
      <c r="C397" s="952">
        <v>7570.51</v>
      </c>
      <c r="D397" s="952">
        <v>1911.82</v>
      </c>
      <c r="E397" s="952">
        <v>9482.33</v>
      </c>
      <c r="F397" s="950" t="s">
        <v>1099</v>
      </c>
      <c r="G397" s="950" t="s">
        <v>1123</v>
      </c>
      <c r="H397" s="927"/>
      <c r="I397" s="930"/>
      <c r="J397" s="930"/>
      <c r="K397" s="930"/>
      <c r="L397" s="609" t="str">
        <f t="shared" si="29"/>
        <v>6529</v>
      </c>
      <c r="M397" s="610" t="str">
        <f t="shared" si="17"/>
        <v>ABS.,VACANCES &amp; SAL. JOURS FER</v>
      </c>
      <c r="N397" s="611">
        <f>+IF(OR($Q397=Parametres!$G$2,$Q397=Parametres!$G$3),I397,C397)</f>
        <v>7570.51</v>
      </c>
      <c r="O397" s="611">
        <f>+IF(OR($Q397=Parametres!$G$2,$Q397=Parametres!$G$3),J397,D397)</f>
        <v>1911.82</v>
      </c>
      <c r="P397" s="611">
        <f>+IF(OR($Q397=Parametres!$G$2,$Q397=Parametres!$G$3),K397,E397)</f>
        <v>9482.33</v>
      </c>
      <c r="Q397" s="610" t="str">
        <f t="shared" si="26"/>
        <v>7-Dépenses</v>
      </c>
      <c r="R397" s="609" t="str">
        <f t="shared" si="27"/>
        <v>6129</v>
      </c>
      <c r="S397" s="610">
        <f t="shared" si="28"/>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1124</v>
      </c>
      <c r="B398" s="950" t="s">
        <v>2510</v>
      </c>
      <c r="C398" s="952">
        <v>3076.99</v>
      </c>
      <c r="D398" s="952">
        <v>792.61</v>
      </c>
      <c r="E398" s="952">
        <v>3869.6</v>
      </c>
      <c r="F398" s="950" t="s">
        <v>1099</v>
      </c>
      <c r="G398" s="950" t="s">
        <v>1125</v>
      </c>
      <c r="H398" s="927"/>
      <c r="I398" s="930"/>
      <c r="J398" s="930"/>
      <c r="K398" s="930"/>
      <c r="L398" s="609" t="str">
        <f t="shared" si="29"/>
        <v>6531</v>
      </c>
      <c r="M398" s="610" t="str">
        <f t="shared" si="17"/>
        <v>CSST</v>
      </c>
      <c r="N398" s="611">
        <f>+IF(OR($Q398=Parametres!$G$2,$Q398=Parametres!$G$3),I398,C398)</f>
        <v>3076.99</v>
      </c>
      <c r="O398" s="611">
        <f>+IF(OR($Q398=Parametres!$G$2,$Q398=Parametres!$G$3),J398,D398)</f>
        <v>792.61</v>
      </c>
      <c r="P398" s="611">
        <f>+IF(OR($Q398=Parametres!$G$2,$Q398=Parametres!$G$3),K398,E398)</f>
        <v>3869.6</v>
      </c>
      <c r="Q398" s="610" t="str">
        <f t="shared" si="26"/>
        <v>7-Dépenses</v>
      </c>
      <c r="R398" s="609" t="str">
        <f t="shared" si="27"/>
        <v>6131</v>
      </c>
      <c r="S398" s="610">
        <f t="shared" si="28"/>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1126</v>
      </c>
      <c r="B399" s="950" t="s">
        <v>2513</v>
      </c>
      <c r="C399" s="952">
        <v>17061.650000000001</v>
      </c>
      <c r="D399" s="952">
        <v>3312.66</v>
      </c>
      <c r="E399" s="952">
        <v>20374.310000000001</v>
      </c>
      <c r="F399" s="950" t="s">
        <v>1099</v>
      </c>
      <c r="G399" s="950" t="s">
        <v>1127</v>
      </c>
      <c r="H399" s="927"/>
      <c r="I399" s="930"/>
      <c r="J399" s="930"/>
      <c r="K399" s="930"/>
      <c r="L399" s="609" t="str">
        <f t="shared" si="29"/>
        <v>6532</v>
      </c>
      <c r="M399" s="610" t="str">
        <f t="shared" si="17"/>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si="26"/>
        <v>7-Dépenses</v>
      </c>
      <c r="R399" s="609" t="str">
        <f t="shared" si="27"/>
        <v>6132</v>
      </c>
      <c r="S399" s="610">
        <f t="shared" si="28"/>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1209</v>
      </c>
      <c r="B400" s="950" t="s">
        <v>3341</v>
      </c>
      <c r="C400" s="952">
        <v>0</v>
      </c>
      <c r="D400" s="952">
        <v>69.39</v>
      </c>
      <c r="E400" s="952">
        <v>69.39</v>
      </c>
      <c r="F400" s="950" t="s">
        <v>1099</v>
      </c>
      <c r="G400" s="950" t="s">
        <v>1129</v>
      </c>
      <c r="H400" s="927"/>
      <c r="I400" s="930"/>
      <c r="J400" s="930"/>
      <c r="K400" s="930"/>
      <c r="L400" s="609" t="str">
        <f t="shared" si="29"/>
        <v>6533</v>
      </c>
      <c r="M400" s="610" t="str">
        <f t="shared" si="17"/>
        <v>FOND PENSION - CARROSSERIE</v>
      </c>
      <c r="N400" s="611">
        <f>+IF(OR($Q400=Parametres!$G$2,$Q400=Parametres!$G$3),I400,C400)</f>
        <v>0</v>
      </c>
      <c r="O400" s="611">
        <f>+IF(OR($Q400=Parametres!$G$2,$Q400=Parametres!$G$3),J400,D400)</f>
        <v>69.39</v>
      </c>
      <c r="P400" s="611">
        <f>+IF(OR($Q400=Parametres!$G$2,$Q400=Parametres!$G$3),K400,E400)</f>
        <v>69.39</v>
      </c>
      <c r="Q400" s="610" t="str">
        <f t="shared" si="26"/>
        <v>7-Dépenses</v>
      </c>
      <c r="R400" s="609" t="str">
        <f t="shared" si="27"/>
        <v>6133</v>
      </c>
      <c r="S400" s="610">
        <f t="shared" si="28"/>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1176</v>
      </c>
      <c r="B401" s="950" t="s">
        <v>2516</v>
      </c>
      <c r="C401" s="952">
        <v>13891.64</v>
      </c>
      <c r="D401" s="952">
        <v>967.02</v>
      </c>
      <c r="E401" s="952">
        <v>14858.66</v>
      </c>
      <c r="F401" s="950" t="s">
        <v>1099</v>
      </c>
      <c r="G401" s="950" t="s">
        <v>1131</v>
      </c>
      <c r="H401" s="927"/>
      <c r="I401" s="930"/>
      <c r="J401" s="930"/>
      <c r="K401" s="930"/>
      <c r="L401" s="609" t="str">
        <f t="shared" si="29"/>
        <v>6539</v>
      </c>
      <c r="M401" s="610" t="str">
        <f t="shared" si="17"/>
        <v>ASSURANCE GROUPE</v>
      </c>
      <c r="N401" s="611">
        <f>+IF(OR($Q401=Parametres!$G$2,$Q401=Parametres!$G$3),I401,C401)</f>
        <v>13891.64</v>
      </c>
      <c r="O401" s="611">
        <f>+IF(OR($Q401=Parametres!$G$2,$Q401=Parametres!$G$3),J401,D401)</f>
        <v>967.02</v>
      </c>
      <c r="P401" s="611">
        <f>+IF(OR($Q401=Parametres!$G$2,$Q401=Parametres!$G$3),K401,E401)</f>
        <v>14858.66</v>
      </c>
      <c r="Q401" s="610" t="str">
        <f t="shared" si="26"/>
        <v>7-Dépenses</v>
      </c>
      <c r="R401" s="609" t="str">
        <f t="shared" si="27"/>
        <v>6139</v>
      </c>
      <c r="S401" s="610">
        <f t="shared" si="2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1132</v>
      </c>
      <c r="B402" s="950" t="s">
        <v>2522</v>
      </c>
      <c r="C402" s="952">
        <v>71.010000000000005</v>
      </c>
      <c r="D402" s="952">
        <v>0</v>
      </c>
      <c r="E402" s="952">
        <v>71.010000000000005</v>
      </c>
      <c r="F402" s="950" t="s">
        <v>1099</v>
      </c>
      <c r="G402" s="950" t="s">
        <v>1133</v>
      </c>
      <c r="H402" s="927"/>
      <c r="I402" s="930"/>
      <c r="J402" s="930"/>
      <c r="K402" s="930"/>
      <c r="L402" s="609" t="str">
        <f t="shared" si="29"/>
        <v>6542</v>
      </c>
      <c r="M402" s="610" t="str">
        <f t="shared" si="17"/>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si="26"/>
        <v>7-Dépenses</v>
      </c>
      <c r="R402" s="609" t="str">
        <f t="shared" si="27"/>
        <v>6142</v>
      </c>
      <c r="S402" s="610">
        <f t="shared" si="28"/>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1136</v>
      </c>
      <c r="B403" s="950" t="s">
        <v>2528</v>
      </c>
      <c r="C403" s="952">
        <v>645.66999999999996</v>
      </c>
      <c r="D403" s="952">
        <v>151.47</v>
      </c>
      <c r="E403" s="952">
        <v>797.14</v>
      </c>
      <c r="F403" s="950" t="s">
        <v>1099</v>
      </c>
      <c r="G403" s="950" t="s">
        <v>1137</v>
      </c>
      <c r="H403" s="927"/>
      <c r="I403" s="930"/>
      <c r="J403" s="930"/>
      <c r="K403" s="930"/>
      <c r="L403" s="609" t="str">
        <f t="shared" si="29"/>
        <v>6544</v>
      </c>
      <c r="M403" s="610" t="str">
        <f t="shared" si="17"/>
        <v>FORMATION</v>
      </c>
      <c r="N403" s="611">
        <f>+IF(OR($Q403=Parametres!$G$2,$Q403=Parametres!$G$3),I403,C403)</f>
        <v>645.66999999999996</v>
      </c>
      <c r="O403" s="611">
        <f>+IF(OR($Q403=Parametres!$G$2,$Q403=Parametres!$G$3),J403,D403)</f>
        <v>151.47</v>
      </c>
      <c r="P403" s="611">
        <f>+IF(OR($Q403=Parametres!$G$2,$Q403=Parametres!$G$3),K403,E403)</f>
        <v>797.14</v>
      </c>
      <c r="Q403" s="610" t="str">
        <f t="shared" si="26"/>
        <v>7-Dépenses</v>
      </c>
      <c r="R403" s="609" t="str">
        <f t="shared" si="27"/>
        <v>6144</v>
      </c>
      <c r="S403" s="610">
        <f t="shared" si="28"/>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1138</v>
      </c>
      <c r="B404" s="950" t="s">
        <v>2531</v>
      </c>
      <c r="C404" s="952">
        <v>5989.78</v>
      </c>
      <c r="D404" s="952">
        <v>1413.08</v>
      </c>
      <c r="E404" s="952">
        <v>7402.86</v>
      </c>
      <c r="F404" s="950" t="s">
        <v>1099</v>
      </c>
      <c r="G404" s="950" t="s">
        <v>1139</v>
      </c>
      <c r="H404" s="927"/>
      <c r="I404" s="930"/>
      <c r="J404" s="930"/>
      <c r="K404" s="930"/>
      <c r="L404" s="609" t="str">
        <f t="shared" si="29"/>
        <v>6545</v>
      </c>
      <c r="M404" s="610" t="str">
        <f t="shared" si="17"/>
        <v>VEHICULE DE COMPAGNIE - DEPENS</v>
      </c>
      <c r="N404" s="611">
        <f>+IF(OR($Q404=Parametres!$G$2,$Q404=Parametres!$G$3),I404,C404)</f>
        <v>5989.78</v>
      </c>
      <c r="O404" s="611">
        <f>+IF(OR($Q404=Parametres!$G$2,$Q404=Parametres!$G$3),J404,D404)</f>
        <v>1413.08</v>
      </c>
      <c r="P404" s="611">
        <f>+IF(OR($Q404=Parametres!$G$2,$Q404=Parametres!$G$3),K404,E404)</f>
        <v>7402.86</v>
      </c>
      <c r="Q404" s="610" t="str">
        <f t="shared" si="26"/>
        <v>7-Dépenses</v>
      </c>
      <c r="R404" s="609" t="str">
        <f t="shared" si="27"/>
        <v>6145</v>
      </c>
      <c r="S404" s="610">
        <f t="shared" si="28"/>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1140</v>
      </c>
      <c r="B405" s="950" t="s">
        <v>2534</v>
      </c>
      <c r="C405" s="952">
        <v>343.91</v>
      </c>
      <c r="D405" s="952">
        <v>34.619999999999997</v>
      </c>
      <c r="E405" s="952">
        <v>378.53</v>
      </c>
      <c r="F405" s="950" t="s">
        <v>1099</v>
      </c>
      <c r="G405" s="950" t="s">
        <v>1141</v>
      </c>
      <c r="H405" s="927"/>
      <c r="I405" s="930"/>
      <c r="J405" s="930"/>
      <c r="K405" s="930"/>
      <c r="L405" s="609" t="str">
        <f t="shared" si="29"/>
        <v>6547</v>
      </c>
      <c r="M405" s="610" t="str">
        <f t="shared" si="17"/>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si="26"/>
        <v>7-Dépenses</v>
      </c>
      <c r="R405" s="609" t="str">
        <f t="shared" si="27"/>
        <v>6147</v>
      </c>
      <c r="S405" s="610">
        <f t="shared" si="28"/>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1142</v>
      </c>
      <c r="B406" s="950" t="s">
        <v>2539</v>
      </c>
      <c r="C406" s="952">
        <v>15576.16</v>
      </c>
      <c r="D406" s="952">
        <v>1539.65</v>
      </c>
      <c r="E406" s="952">
        <v>17115.810000000001</v>
      </c>
      <c r="F406" s="950" t="s">
        <v>1099</v>
      </c>
      <c r="G406" s="950" t="s">
        <v>1143</v>
      </c>
      <c r="H406" s="927"/>
      <c r="I406" s="930"/>
      <c r="J406" s="930"/>
      <c r="K406" s="930"/>
      <c r="L406" s="609" t="str">
        <f t="shared" si="29"/>
        <v>6551</v>
      </c>
      <c r="M406" s="610" t="str">
        <f t="shared" si="17"/>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si="26"/>
        <v>7-Dépenses</v>
      </c>
      <c r="R406" s="609" t="str">
        <f t="shared" si="27"/>
        <v>6151</v>
      </c>
      <c r="S406" s="610">
        <f t="shared" si="28"/>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1144</v>
      </c>
      <c r="B407" s="950" t="s">
        <v>2542</v>
      </c>
      <c r="C407" s="952">
        <v>1673.49</v>
      </c>
      <c r="D407" s="952">
        <v>206.08</v>
      </c>
      <c r="E407" s="952">
        <v>1879.57</v>
      </c>
      <c r="F407" s="950" t="s">
        <v>1099</v>
      </c>
      <c r="G407" s="950" t="s">
        <v>1145</v>
      </c>
      <c r="H407" s="927"/>
      <c r="I407" s="930"/>
      <c r="J407" s="930"/>
      <c r="K407" s="930"/>
      <c r="L407" s="609" t="str">
        <f t="shared" si="29"/>
        <v>6552</v>
      </c>
      <c r="M407" s="610" t="str">
        <f t="shared" si="17"/>
        <v>PAPETERIE</v>
      </c>
      <c r="N407" s="611">
        <f>+IF(OR($Q407=Parametres!$G$2,$Q407=Parametres!$G$3),I407,C407)</f>
        <v>1673.49</v>
      </c>
      <c r="O407" s="611">
        <f>+IF(OR($Q407=Parametres!$G$2,$Q407=Parametres!$G$3),J407,D407)</f>
        <v>206.08</v>
      </c>
      <c r="P407" s="611">
        <f>+IF(OR($Q407=Parametres!$G$2,$Q407=Parametres!$G$3),K407,E407)</f>
        <v>1879.57</v>
      </c>
      <c r="Q407" s="610" t="str">
        <f t="shared" si="26"/>
        <v>7-Dépenses</v>
      </c>
      <c r="R407" s="609" t="str">
        <f t="shared" si="27"/>
        <v>6152</v>
      </c>
      <c r="S407" s="610">
        <f t="shared" si="28"/>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1146</v>
      </c>
      <c r="B408" s="950" t="s">
        <v>2545</v>
      </c>
      <c r="C408" s="952">
        <v>532.5</v>
      </c>
      <c r="D408" s="952">
        <v>22.77</v>
      </c>
      <c r="E408" s="952">
        <v>555.27</v>
      </c>
      <c r="F408" s="950" t="s">
        <v>1099</v>
      </c>
      <c r="G408" s="950" t="s">
        <v>1147</v>
      </c>
      <c r="H408" s="927"/>
      <c r="I408" s="930"/>
      <c r="J408" s="930"/>
      <c r="K408" s="930"/>
      <c r="L408" s="609" t="str">
        <f t="shared" si="29"/>
        <v>6553</v>
      </c>
      <c r="M408" s="610" t="str">
        <f t="shared" si="17"/>
        <v>TELEPHONE ET TELEX</v>
      </c>
      <c r="N408" s="611">
        <f>+IF(OR($Q408=Parametres!$G$2,$Q408=Parametres!$G$3),I408,C408)</f>
        <v>532.5</v>
      </c>
      <c r="O408" s="611">
        <f>+IF(OR($Q408=Parametres!$G$2,$Q408=Parametres!$G$3),J408,D408)</f>
        <v>22.77</v>
      </c>
      <c r="P408" s="611">
        <f>+IF(OR($Q408=Parametres!$G$2,$Q408=Parametres!$G$3),K408,E408)</f>
        <v>555.27</v>
      </c>
      <c r="Q408" s="610" t="str">
        <f t="shared" si="26"/>
        <v>7-Dépenses</v>
      </c>
      <c r="R408" s="609" t="str">
        <f t="shared" si="27"/>
        <v>6153</v>
      </c>
      <c r="S408" s="610">
        <f t="shared" si="28"/>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1148</v>
      </c>
      <c r="B409" s="950" t="s">
        <v>2548</v>
      </c>
      <c r="C409" s="952">
        <v>641.25</v>
      </c>
      <c r="D409" s="952">
        <v>-0.82</v>
      </c>
      <c r="E409" s="952">
        <v>640.42999999999995</v>
      </c>
      <c r="F409" s="950" t="s">
        <v>1099</v>
      </c>
      <c r="G409" s="950" t="s">
        <v>1149</v>
      </c>
      <c r="H409" s="927"/>
      <c r="I409" s="930"/>
      <c r="J409" s="930"/>
      <c r="K409" s="930"/>
      <c r="L409" s="609" t="str">
        <f t="shared" si="29"/>
        <v>6555</v>
      </c>
      <c r="M409" s="610" t="str">
        <f t="shared" si="17"/>
        <v>DEPENSES DIVERS</v>
      </c>
      <c r="N409" s="611">
        <f>+IF(OR($Q409=Parametres!$G$2,$Q409=Parametres!$G$3),I409,C409)</f>
        <v>641.25</v>
      </c>
      <c r="O409" s="611">
        <f>+IF(OR($Q409=Parametres!$G$2,$Q409=Parametres!$G$3),J409,D409)</f>
        <v>-0.82</v>
      </c>
      <c r="P409" s="611">
        <f>+IF(OR($Q409=Parametres!$G$2,$Q409=Parametres!$G$3),K409,E409)</f>
        <v>640.42999999999995</v>
      </c>
      <c r="Q409" s="610" t="str">
        <f t="shared" si="26"/>
        <v>7-Dépenses</v>
      </c>
      <c r="R409" s="609" t="str">
        <f t="shared" si="27"/>
        <v>6155</v>
      </c>
      <c r="S409" s="610">
        <f t="shared" si="28"/>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1210</v>
      </c>
      <c r="B410" s="950" t="s">
        <v>2551</v>
      </c>
      <c r="C410" s="952">
        <v>2093.86</v>
      </c>
      <c r="D410" s="952">
        <v>163.26</v>
      </c>
      <c r="E410" s="952">
        <v>2257.12</v>
      </c>
      <c r="F410" s="950" t="s">
        <v>1099</v>
      </c>
      <c r="G410" s="950" t="s">
        <v>1151</v>
      </c>
      <c r="H410" s="927"/>
      <c r="I410" s="930"/>
      <c r="J410" s="930"/>
      <c r="K410" s="930"/>
      <c r="L410" s="609" t="str">
        <f t="shared" si="29"/>
        <v>6556</v>
      </c>
      <c r="M410" s="610" t="str">
        <f t="shared" si="17"/>
        <v>FRAIS REPRESENTATION</v>
      </c>
      <c r="N410" s="611">
        <f>+IF(OR($Q410=Parametres!$G$2,$Q410=Parametres!$G$3),I410,C410)</f>
        <v>2093.86</v>
      </c>
      <c r="O410" s="611">
        <f>+IF(OR($Q410=Parametres!$G$2,$Q410=Parametres!$G$3),J410,D410)</f>
        <v>163.26</v>
      </c>
      <c r="P410" s="611">
        <f>+IF(OR($Q410=Parametres!$G$2,$Q410=Parametres!$G$3),K410,E410)</f>
        <v>2257.12</v>
      </c>
      <c r="Q410" s="610" t="str">
        <f t="shared" si="26"/>
        <v>7-Dépenses</v>
      </c>
      <c r="R410" s="609" t="str">
        <f t="shared" si="27"/>
        <v>6156</v>
      </c>
      <c r="S410" s="610">
        <f t="shared" si="28"/>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1211</v>
      </c>
      <c r="B411" s="950" t="s">
        <v>3342</v>
      </c>
      <c r="C411" s="952">
        <v>2205.9699999999998</v>
      </c>
      <c r="D411" s="952">
        <v>203.8</v>
      </c>
      <c r="E411" s="952">
        <v>2409.77</v>
      </c>
      <c r="F411" s="950" t="s">
        <v>1099</v>
      </c>
      <c r="G411" s="950" t="s">
        <v>1212</v>
      </c>
      <c r="H411" s="927"/>
      <c r="I411" s="930"/>
      <c r="J411" s="930"/>
      <c r="K411" s="930"/>
      <c r="L411" s="609" t="str">
        <f t="shared" si="29"/>
        <v>6557</v>
      </c>
      <c r="M411" s="610" t="str">
        <f t="shared" si="17"/>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si="26"/>
        <v>7-Dépenses</v>
      </c>
      <c r="R411" s="609" t="str">
        <f t="shared" si="27"/>
        <v>655</v>
      </c>
      <c r="S411" s="610">
        <f t="shared" si="2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1154</v>
      </c>
      <c r="B412" s="950" t="s">
        <v>2554</v>
      </c>
      <c r="C412" s="952">
        <v>6593.62</v>
      </c>
      <c r="D412" s="952">
        <v>538.54999999999995</v>
      </c>
      <c r="E412" s="952">
        <v>7132.17</v>
      </c>
      <c r="F412" s="950" t="s">
        <v>1099</v>
      </c>
      <c r="G412" s="950" t="s">
        <v>1155</v>
      </c>
      <c r="H412" s="927"/>
      <c r="I412" s="930"/>
      <c r="J412" s="930"/>
      <c r="K412" s="930"/>
      <c r="L412" s="609" t="str">
        <f t="shared" si="29"/>
        <v>6559</v>
      </c>
      <c r="M412" s="610" t="str">
        <f t="shared" si="17"/>
        <v>SERVICE EXTERIEUR</v>
      </c>
      <c r="N412" s="611">
        <f>+IF(OR($Q412=Parametres!$G$2,$Q412=Parametres!$G$3),I412,C412)</f>
        <v>6593.62</v>
      </c>
      <c r="O412" s="611">
        <f>+IF(OR($Q412=Parametres!$G$2,$Q412=Parametres!$G$3),J412,D412)</f>
        <v>538.54999999999995</v>
      </c>
      <c r="P412" s="611">
        <f>+IF(OR($Q412=Parametres!$G$2,$Q412=Parametres!$G$3),K412,E412)</f>
        <v>7132.17</v>
      </c>
      <c r="Q412" s="610" t="str">
        <f t="shared" si="26"/>
        <v>7-Dépenses</v>
      </c>
      <c r="R412" s="609" t="str">
        <f t="shared" si="27"/>
        <v>6159</v>
      </c>
      <c r="S412" s="610">
        <f t="shared" si="28"/>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1156</v>
      </c>
      <c r="B413" s="950" t="s">
        <v>2556</v>
      </c>
      <c r="C413" s="952">
        <v>3322.22</v>
      </c>
      <c r="D413" s="952">
        <v>302.02</v>
      </c>
      <c r="E413" s="952">
        <v>3624.24</v>
      </c>
      <c r="F413" s="950" t="s">
        <v>1099</v>
      </c>
      <c r="G413" s="950" t="s">
        <v>1157</v>
      </c>
      <c r="H413" s="927"/>
      <c r="I413" s="930"/>
      <c r="J413" s="930"/>
      <c r="K413" s="930"/>
      <c r="L413" s="609" t="str">
        <f t="shared" si="29"/>
        <v>6561</v>
      </c>
      <c r="M413" s="610" t="str">
        <f t="shared" si="17"/>
        <v>DEPRECIATION EQUIP. &amp; FIXTURES</v>
      </c>
      <c r="N413" s="611">
        <f>+IF(OR($Q413=Parametres!$G$2,$Q413=Parametres!$G$3),I413,C413)</f>
        <v>3322.22</v>
      </c>
      <c r="O413" s="611">
        <f>+IF(OR($Q413=Parametres!$G$2,$Q413=Parametres!$G$3),J413,D413)</f>
        <v>302.02</v>
      </c>
      <c r="P413" s="611">
        <f>+IF(OR($Q413=Parametres!$G$2,$Q413=Parametres!$G$3),K413,E413)</f>
        <v>3624.24</v>
      </c>
      <c r="Q413" s="610" t="str">
        <f t="shared" si="26"/>
        <v>7-Dépenses</v>
      </c>
      <c r="R413" s="609" t="str">
        <f t="shared" si="27"/>
        <v>6161</v>
      </c>
      <c r="S413" s="610">
        <f t="shared" si="28"/>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1213</v>
      </c>
      <c r="B414" s="950" t="s">
        <v>2565</v>
      </c>
      <c r="C414" s="952">
        <v>1948.32</v>
      </c>
      <c r="D414" s="952">
        <v>65.17</v>
      </c>
      <c r="E414" s="952">
        <v>2013.49</v>
      </c>
      <c r="F414" s="950" t="s">
        <v>1099</v>
      </c>
      <c r="G414" s="950" t="s">
        <v>1159</v>
      </c>
      <c r="H414" s="927"/>
      <c r="I414" s="930"/>
      <c r="J414" s="930"/>
      <c r="K414" s="930"/>
      <c r="L414" s="609" t="str">
        <f t="shared" si="29"/>
        <v>6581</v>
      </c>
      <c r="M414" s="610" t="str">
        <f t="shared" si="17"/>
        <v>CHAUFFAGE,ELECTRICITE,EAU-CARROS.</v>
      </c>
      <c r="N414" s="611">
        <f>+IF(OR($Q414=Parametres!$G$2,$Q414=Parametres!$G$3),I414,C414)</f>
        <v>1948.32</v>
      </c>
      <c r="O414" s="611">
        <f>+IF(OR($Q414=Parametres!$G$2,$Q414=Parametres!$G$3),J414,D414)</f>
        <v>65.17</v>
      </c>
      <c r="P414" s="611">
        <f>+IF(OR($Q414=Parametres!$G$2,$Q414=Parametres!$G$3),K414,E414)</f>
        <v>2013.49</v>
      </c>
      <c r="Q414" s="610" t="str">
        <f t="shared" si="26"/>
        <v>7-Dépenses</v>
      </c>
      <c r="R414" s="609" t="str">
        <f t="shared" si="27"/>
        <v>6181</v>
      </c>
      <c r="S414" s="610">
        <f t="shared" si="28"/>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1214</v>
      </c>
      <c r="B415" s="950" t="s">
        <v>2568</v>
      </c>
      <c r="C415" s="952">
        <v>20020</v>
      </c>
      <c r="D415" s="952">
        <v>1820</v>
      </c>
      <c r="E415" s="952">
        <v>21840</v>
      </c>
      <c r="F415" s="950" t="s">
        <v>1099</v>
      </c>
      <c r="G415" s="950" t="s">
        <v>1161</v>
      </c>
      <c r="H415" s="927"/>
      <c r="I415" s="930"/>
      <c r="J415" s="930"/>
      <c r="K415" s="930"/>
      <c r="L415" s="609" t="str">
        <f t="shared" si="29"/>
        <v>6582</v>
      </c>
      <c r="M415" s="610" t="str">
        <f t="shared" si="17"/>
        <v>LOYER - CARROSSERIE</v>
      </c>
      <c r="N415" s="611">
        <f>+IF(OR($Q415=Parametres!$G$2,$Q415=Parametres!$G$3),I415,C415)</f>
        <v>20020</v>
      </c>
      <c r="O415" s="611">
        <f>+IF(OR($Q415=Parametres!$G$2,$Q415=Parametres!$G$3),J415,D415)</f>
        <v>1820</v>
      </c>
      <c r="P415" s="611">
        <f>+IF(OR($Q415=Parametres!$G$2,$Q415=Parametres!$G$3),K415,E415)</f>
        <v>21840</v>
      </c>
      <c r="Q415" s="610" t="str">
        <f t="shared" si="26"/>
        <v>7-Dépenses</v>
      </c>
      <c r="R415" s="609" t="str">
        <f t="shared" si="27"/>
        <v>6182</v>
      </c>
      <c r="S415" s="610">
        <f t="shared" si="28"/>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1215</v>
      </c>
      <c r="B416" s="950" t="s">
        <v>2570</v>
      </c>
      <c r="C416" s="952">
        <v>3288.67</v>
      </c>
      <c r="D416" s="952">
        <v>298.97000000000003</v>
      </c>
      <c r="E416" s="952">
        <v>3587.64</v>
      </c>
      <c r="F416" s="950" t="s">
        <v>1099</v>
      </c>
      <c r="G416" s="950" t="s">
        <v>1163</v>
      </c>
      <c r="H416" s="927"/>
      <c r="I416" s="930"/>
      <c r="J416" s="930"/>
      <c r="K416" s="930"/>
      <c r="L416" s="609" t="str">
        <f t="shared" si="29"/>
        <v>6586</v>
      </c>
      <c r="M416" s="610" t="str">
        <f t="shared" si="17"/>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si="26"/>
        <v>7-Dépenses</v>
      </c>
      <c r="R416" s="609" t="str">
        <f t="shared" si="27"/>
        <v>6186</v>
      </c>
      <c r="S416" s="610">
        <f t="shared" si="28"/>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1216</v>
      </c>
      <c r="B417" s="950" t="s">
        <v>2572</v>
      </c>
      <c r="C417" s="952">
        <v>3796.1</v>
      </c>
      <c r="D417" s="952">
        <v>115.92</v>
      </c>
      <c r="E417" s="952">
        <v>3912.02</v>
      </c>
      <c r="F417" s="950" t="s">
        <v>1099</v>
      </c>
      <c r="G417" s="950" t="s">
        <v>1165</v>
      </c>
      <c r="H417" s="925"/>
      <c r="I417" s="925"/>
      <c r="J417" s="925"/>
      <c r="K417" s="925"/>
      <c r="L417" s="609" t="str">
        <f t="shared" si="29"/>
        <v>6587</v>
      </c>
      <c r="M417" s="610" t="str">
        <f t="shared" si="17"/>
        <v>TAXES FONCIERES - CAROSSERIE</v>
      </c>
      <c r="N417" s="611">
        <f>+IF(OR($Q417=Parametres!$G$2,$Q417=Parametres!$G$3),I417,C417)</f>
        <v>3796.1</v>
      </c>
      <c r="O417" s="611">
        <f>+IF(OR($Q417=Parametres!$G$2,$Q417=Parametres!$G$3),J417,D417)</f>
        <v>115.92</v>
      </c>
      <c r="P417" s="611">
        <f>+IF(OR($Q417=Parametres!$G$2,$Q417=Parametres!$G$3),K417,E417)</f>
        <v>3912.02</v>
      </c>
      <c r="Q417" s="610" t="str">
        <f t="shared" si="26"/>
        <v>7-Dépenses</v>
      </c>
      <c r="R417" s="609" t="str">
        <f t="shared" si="27"/>
        <v>6187</v>
      </c>
      <c r="S417" s="610">
        <f t="shared" si="28"/>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1217</v>
      </c>
      <c r="B418" s="950" t="s">
        <v>2575</v>
      </c>
      <c r="C418" s="952">
        <v>2525.6</v>
      </c>
      <c r="D418" s="952">
        <v>229.6</v>
      </c>
      <c r="E418" s="952">
        <v>2755.2</v>
      </c>
      <c r="F418" s="950" t="s">
        <v>1099</v>
      </c>
      <c r="G418" s="950" t="s">
        <v>1167</v>
      </c>
      <c r="H418" s="925"/>
      <c r="I418" s="925"/>
      <c r="J418" s="925"/>
      <c r="K418" s="925"/>
      <c r="L418" s="609" t="str">
        <f t="shared" si="29"/>
        <v>6593</v>
      </c>
      <c r="M418" s="610" t="str">
        <f t="shared" si="17"/>
        <v>AUTRES TAXES -CARROSSERIE</v>
      </c>
      <c r="N418" s="611">
        <f>+IF(OR($Q418=Parametres!$G$2,$Q418=Parametres!$G$3),I418,C418)</f>
        <v>2525.6</v>
      </c>
      <c r="O418" s="611">
        <f>+IF(OR($Q418=Parametres!$G$2,$Q418=Parametres!$G$3),J418,D418)</f>
        <v>229.6</v>
      </c>
      <c r="P418" s="611">
        <f>+IF(OR($Q418=Parametres!$G$2,$Q418=Parametres!$G$3),K418,E418)</f>
        <v>2755.2</v>
      </c>
      <c r="Q418" s="610" t="str">
        <f t="shared" si="26"/>
        <v>7-Dépenses</v>
      </c>
      <c r="R418" s="609" t="str">
        <f t="shared" si="27"/>
        <v>6193</v>
      </c>
      <c r="S418" s="610">
        <f t="shared" si="28"/>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1218</v>
      </c>
      <c r="B419" s="950" t="s">
        <v>2577</v>
      </c>
      <c r="C419" s="952">
        <v>4714.93</v>
      </c>
      <c r="D419" s="952">
        <v>428.63</v>
      </c>
      <c r="E419" s="952">
        <v>5143.5600000000004</v>
      </c>
      <c r="F419" s="950" t="s">
        <v>1099</v>
      </c>
      <c r="G419" s="950" t="s">
        <v>1169</v>
      </c>
      <c r="H419" s="925"/>
      <c r="I419" s="925"/>
      <c r="J419" s="925"/>
      <c r="K419" s="925"/>
      <c r="L419" s="609" t="str">
        <f t="shared" si="29"/>
        <v>6594</v>
      </c>
      <c r="M419" s="610" t="str">
        <f t="shared" si="17"/>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si="26"/>
        <v>7-Dépenses</v>
      </c>
      <c r="R419" s="609" t="str">
        <f t="shared" si="27"/>
        <v>6194</v>
      </c>
      <c r="S419" s="610">
        <f t="shared" si="28"/>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1103</v>
      </c>
      <c r="B420" s="950" t="s">
        <v>2592</v>
      </c>
      <c r="C420" s="952">
        <v>15698.2</v>
      </c>
      <c r="D420" s="952">
        <v>1541.8</v>
      </c>
      <c r="E420" s="952">
        <v>17240</v>
      </c>
      <c r="F420" s="950" t="s">
        <v>1099</v>
      </c>
      <c r="G420" s="950" t="s">
        <v>1187</v>
      </c>
      <c r="H420" s="925"/>
      <c r="I420" s="925"/>
      <c r="J420" s="925"/>
      <c r="K420" s="925"/>
      <c r="L420" s="609" t="str">
        <f t="shared" si="29"/>
        <v>6703</v>
      </c>
      <c r="M420" s="610" t="str">
        <f t="shared" si="17"/>
        <v>RELAT. A LA CLIENTELE &amp; AJUST.</v>
      </c>
      <c r="N420" s="611">
        <f>+IF(OR($Q420=Parametres!$G$2,$Q420=Parametres!$G$3),I420,C420)</f>
        <v>15698.2</v>
      </c>
      <c r="O420" s="611">
        <f>+IF(OR($Q420=Parametres!$G$2,$Q420=Parametres!$G$3),J420,D420)</f>
        <v>1541.8</v>
      </c>
      <c r="P420" s="611">
        <f>+IF(OR($Q420=Parametres!$G$2,$Q420=Parametres!$G$3),K420,E420)</f>
        <v>17240</v>
      </c>
      <c r="Q420" s="610" t="str">
        <f t="shared" si="26"/>
        <v>7-Dépenses</v>
      </c>
      <c r="R420" s="609" t="str">
        <f t="shared" si="27"/>
        <v>6112</v>
      </c>
      <c r="S420" s="610">
        <f t="shared" si="28"/>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1111</v>
      </c>
      <c r="B421" s="950" t="s">
        <v>2598</v>
      </c>
      <c r="C421" s="952">
        <v>40647.550000000003</v>
      </c>
      <c r="D421" s="952">
        <v>3055.88</v>
      </c>
      <c r="E421" s="952">
        <v>43703.43</v>
      </c>
      <c r="F421" s="950" t="s">
        <v>1099</v>
      </c>
      <c r="G421" s="950" t="s">
        <v>1112</v>
      </c>
      <c r="H421" s="925"/>
      <c r="I421" s="925"/>
      <c r="J421" s="925"/>
      <c r="K421" s="925"/>
      <c r="L421" s="609" t="str">
        <f t="shared" si="29"/>
        <v>6714</v>
      </c>
      <c r="M421" s="610" t="str">
        <f t="shared" si="17"/>
        <v>PUBLICITE</v>
      </c>
      <c r="N421" s="611">
        <f>+IF(OR($Q421=Parametres!$G$2,$Q421=Parametres!$G$3),I421,C421)</f>
        <v>40647.550000000003</v>
      </c>
      <c r="O421" s="611">
        <f>+IF(OR($Q421=Parametres!$G$2,$Q421=Parametres!$G$3),J421,D421)</f>
        <v>3055.88</v>
      </c>
      <c r="P421" s="611">
        <f>+IF(OR($Q421=Parametres!$G$2,$Q421=Parametres!$G$3),K421,E421)</f>
        <v>43703.43</v>
      </c>
      <c r="Q421" s="610" t="str">
        <f t="shared" si="26"/>
        <v>7-Dépenses</v>
      </c>
      <c r="R421" s="609" t="str">
        <f t="shared" si="27"/>
        <v>6114</v>
      </c>
      <c r="S421" s="610">
        <f t="shared" si="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1219</v>
      </c>
      <c r="B422" s="950" t="s">
        <v>2601</v>
      </c>
      <c r="C422" s="952">
        <v>35596.42</v>
      </c>
      <c r="D422" s="952">
        <v>3719.89</v>
      </c>
      <c r="E422" s="952">
        <v>39316.31</v>
      </c>
      <c r="F422" s="950" t="s">
        <v>1099</v>
      </c>
      <c r="G422" s="950" t="s">
        <v>1115</v>
      </c>
      <c r="H422" s="925"/>
      <c r="I422" s="925"/>
      <c r="J422" s="925"/>
      <c r="K422" s="925"/>
      <c r="L422" s="609" t="str">
        <f t="shared" si="29"/>
        <v>6721</v>
      </c>
      <c r="M422" s="610" t="str">
        <f t="shared" si="17"/>
        <v>SALAIRES - PROPRIEATIRES</v>
      </c>
      <c r="N422" s="611">
        <f>+IF(OR($Q422=Parametres!$G$2,$Q422=Parametres!$G$3),I422,C422)</f>
        <v>35596.42</v>
      </c>
      <c r="O422" s="611">
        <f>+IF(OR($Q422=Parametres!$G$2,$Q422=Parametres!$G$3),J422,D422)</f>
        <v>3719.89</v>
      </c>
      <c r="P422" s="611">
        <f>+IF(OR($Q422=Parametres!$G$2,$Q422=Parametres!$G$3),K422,E422)</f>
        <v>39316.31</v>
      </c>
      <c r="Q422" s="610" t="str">
        <f t="shared" si="26"/>
        <v>7-Dépenses</v>
      </c>
      <c r="R422" s="609" t="str">
        <f t="shared" si="27"/>
        <v>6121</v>
      </c>
      <c r="S422" s="610">
        <f t="shared" si="28"/>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1116</v>
      </c>
      <c r="B423" s="950" t="s">
        <v>2604</v>
      </c>
      <c r="C423" s="952">
        <v>49956</v>
      </c>
      <c r="D423" s="952">
        <v>5362.67</v>
      </c>
      <c r="E423" s="952">
        <v>55318.67</v>
      </c>
      <c r="F423" s="950" t="s">
        <v>1099</v>
      </c>
      <c r="G423" s="950" t="s">
        <v>1117</v>
      </c>
      <c r="H423" s="925"/>
      <c r="I423" s="925"/>
      <c r="J423" s="925"/>
      <c r="K423" s="925"/>
      <c r="L423" s="609" t="str">
        <f t="shared" si="29"/>
        <v>6722</v>
      </c>
      <c r="M423" s="610" t="str">
        <f t="shared" si="17"/>
        <v>SAL SUPERVISION / GERANT</v>
      </c>
      <c r="N423" s="611">
        <f>+IF(OR($Q423=Parametres!$G$2,$Q423=Parametres!$G$3),I423,C423)</f>
        <v>49956</v>
      </c>
      <c r="O423" s="611">
        <f>+IF(OR($Q423=Parametres!$G$2,$Q423=Parametres!$G$3),J423,D423)</f>
        <v>5362.67</v>
      </c>
      <c r="P423" s="611">
        <f>+IF(OR($Q423=Parametres!$G$2,$Q423=Parametres!$G$3),K423,E423)</f>
        <v>55318.67</v>
      </c>
      <c r="Q423" s="610" t="str">
        <f t="shared" si="26"/>
        <v>7-Dépenses</v>
      </c>
      <c r="R423" s="609" t="str">
        <f t="shared" si="27"/>
        <v>6122</v>
      </c>
      <c r="S423" s="610">
        <f t="shared" si="28"/>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1118</v>
      </c>
      <c r="B424" s="950" t="s">
        <v>2607</v>
      </c>
      <c r="C424" s="952">
        <v>38014.53</v>
      </c>
      <c r="D424" s="952">
        <v>10289.719999999999</v>
      </c>
      <c r="E424" s="952">
        <v>48304.25</v>
      </c>
      <c r="F424" s="950" t="s">
        <v>1099</v>
      </c>
      <c r="G424" s="950" t="s">
        <v>1119</v>
      </c>
      <c r="H424" s="925"/>
      <c r="I424" s="925"/>
      <c r="J424" s="925"/>
      <c r="K424" s="925"/>
      <c r="L424" s="609" t="str">
        <f t="shared" si="29"/>
        <v>6723</v>
      </c>
      <c r="M424" s="610" t="str">
        <f t="shared" si="17"/>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si="26"/>
        <v>7-Dépenses</v>
      </c>
      <c r="R424" s="609" t="str">
        <f t="shared" si="27"/>
        <v>6123</v>
      </c>
      <c r="S424" s="610">
        <f t="shared" si="28"/>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1120</v>
      </c>
      <c r="B425" s="950" t="s">
        <v>2610</v>
      </c>
      <c r="C425" s="952">
        <v>249777.5</v>
      </c>
      <c r="D425" s="952">
        <v>17362.310000000001</v>
      </c>
      <c r="E425" s="952">
        <v>267139.81</v>
      </c>
      <c r="F425" s="950" t="s">
        <v>1099</v>
      </c>
      <c r="G425" s="950" t="s">
        <v>1121</v>
      </c>
      <c r="H425" s="925"/>
      <c r="I425" s="926"/>
      <c r="J425" s="926"/>
      <c r="K425" s="926"/>
      <c r="L425" s="609" t="str">
        <f t="shared" si="29"/>
        <v>6724</v>
      </c>
      <c r="M425" s="610" t="str">
        <f t="shared" si="17"/>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si="26"/>
        <v>7-Dépenses</v>
      </c>
      <c r="R425" s="609" t="str">
        <f t="shared" si="27"/>
        <v>6124</v>
      </c>
      <c r="S425" s="610">
        <f t="shared" si="28"/>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1220</v>
      </c>
      <c r="B426" s="950" t="s">
        <v>2613</v>
      </c>
      <c r="C426" s="952">
        <v>34926.6</v>
      </c>
      <c r="D426" s="952">
        <v>7703.06</v>
      </c>
      <c r="E426" s="952">
        <v>42629.66</v>
      </c>
      <c r="F426" s="950" t="s">
        <v>1099</v>
      </c>
      <c r="G426" s="950" t="s">
        <v>1123</v>
      </c>
      <c r="H426" s="925"/>
      <c r="I426" s="926"/>
      <c r="J426" s="926"/>
      <c r="K426" s="926"/>
      <c r="L426" s="609" t="str">
        <f t="shared" si="29"/>
        <v>6729</v>
      </c>
      <c r="M426" s="610" t="str">
        <f t="shared" si="17"/>
        <v>ABSENCES, VACANCES, ETC</v>
      </c>
      <c r="N426" s="611">
        <f>+IF(OR($Q426=Parametres!$G$2,$Q426=Parametres!$G$3),I426,C426)</f>
        <v>34926.6</v>
      </c>
      <c r="O426" s="611">
        <f>+IF(OR($Q426=Parametres!$G$2,$Q426=Parametres!$G$3),J426,D426)</f>
        <v>7703.06</v>
      </c>
      <c r="P426" s="611">
        <f>+IF(OR($Q426=Parametres!$G$2,$Q426=Parametres!$G$3),K426,E426)</f>
        <v>42629.66</v>
      </c>
      <c r="Q426" s="610" t="str">
        <f t="shared" si="26"/>
        <v>7-Dépenses</v>
      </c>
      <c r="R426" s="609" t="str">
        <f t="shared" si="27"/>
        <v>6129</v>
      </c>
      <c r="S426" s="610">
        <f t="shared" si="28"/>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1124</v>
      </c>
      <c r="B427" s="950" t="s">
        <v>2616</v>
      </c>
      <c r="C427" s="952">
        <v>-820.61</v>
      </c>
      <c r="D427" s="952">
        <v>-1941.53</v>
      </c>
      <c r="E427" s="952">
        <v>-2762.14</v>
      </c>
      <c r="F427" s="950" t="s">
        <v>1099</v>
      </c>
      <c r="G427" s="950" t="s">
        <v>1125</v>
      </c>
      <c r="H427" s="925"/>
      <c r="I427" s="926"/>
      <c r="J427" s="926"/>
      <c r="K427" s="926"/>
      <c r="L427" s="609" t="str">
        <f t="shared" si="29"/>
        <v>6731</v>
      </c>
      <c r="M427" s="610" t="str">
        <f t="shared" si="17"/>
        <v>CSST</v>
      </c>
      <c r="N427" s="611">
        <f>+IF(OR($Q427=Parametres!$G$2,$Q427=Parametres!$G$3),I427,C427)</f>
        <v>-820.61</v>
      </c>
      <c r="O427" s="611">
        <f>+IF(OR($Q427=Parametres!$G$2,$Q427=Parametres!$G$3),J427,D427)</f>
        <v>-1941.53</v>
      </c>
      <c r="P427" s="611">
        <f>+IF(OR($Q427=Parametres!$G$2,$Q427=Parametres!$G$3),K427,E427)</f>
        <v>-2762.14</v>
      </c>
      <c r="Q427" s="610" t="str">
        <f t="shared" si="26"/>
        <v>7-Dépenses</v>
      </c>
      <c r="R427" s="609" t="str">
        <f t="shared" si="27"/>
        <v>6131</v>
      </c>
      <c r="S427" s="610">
        <f t="shared" si="28"/>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1126</v>
      </c>
      <c r="B428" s="950" t="s">
        <v>2619</v>
      </c>
      <c r="C428" s="952">
        <v>71294.55</v>
      </c>
      <c r="D428" s="952">
        <v>12117.09</v>
      </c>
      <c r="E428" s="952">
        <v>83411.64</v>
      </c>
      <c r="F428" s="950" t="s">
        <v>1099</v>
      </c>
      <c r="G428" s="950" t="s">
        <v>1127</v>
      </c>
      <c r="H428" s="925"/>
      <c r="I428" s="926"/>
      <c r="J428" s="926"/>
      <c r="K428" s="926"/>
      <c r="L428" s="609" t="str">
        <f t="shared" si="29"/>
        <v>6732</v>
      </c>
      <c r="M428" s="610" t="str">
        <f t="shared" si="17"/>
        <v>RRQ RAMQ AC</v>
      </c>
      <c r="N428" s="611">
        <f>+IF(OR($Q428=Parametres!$G$2,$Q428=Parametres!$G$3),I428,C428)</f>
        <v>71294.55</v>
      </c>
      <c r="O428" s="611">
        <f>+IF(OR($Q428=Parametres!$G$2,$Q428=Parametres!$G$3),J428,D428)</f>
        <v>12117.09</v>
      </c>
      <c r="P428" s="611">
        <f>+IF(OR($Q428=Parametres!$G$2,$Q428=Parametres!$G$3),K428,E428)</f>
        <v>83411.64</v>
      </c>
      <c r="Q428" s="610" t="str">
        <f t="shared" si="26"/>
        <v>7-Dépenses</v>
      </c>
      <c r="R428" s="609" t="str">
        <f t="shared" si="27"/>
        <v>6132</v>
      </c>
      <c r="S428" s="610">
        <f t="shared" si="28"/>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1221</v>
      </c>
      <c r="B429" s="950" t="s">
        <v>2622</v>
      </c>
      <c r="C429" s="952">
        <v>564.07000000000005</v>
      </c>
      <c r="D429" s="952">
        <v>448.95</v>
      </c>
      <c r="E429" s="952">
        <v>1013.02</v>
      </c>
      <c r="F429" s="950" t="s">
        <v>1099</v>
      </c>
      <c r="G429" s="950" t="s">
        <v>1129</v>
      </c>
      <c r="H429" s="925"/>
      <c r="I429" s="926"/>
      <c r="J429" s="926"/>
      <c r="K429" s="926"/>
      <c r="L429" s="609" t="str">
        <f t="shared" si="29"/>
        <v>6733</v>
      </c>
      <c r="M429" s="610" t="str">
        <f t="shared" si="17"/>
        <v>FOND PENSION - PIECES</v>
      </c>
      <c r="N429" s="611">
        <f>+IF(OR($Q429=Parametres!$G$2,$Q429=Parametres!$G$3),I429,C429)</f>
        <v>564.07000000000005</v>
      </c>
      <c r="O429" s="611">
        <f>+IF(OR($Q429=Parametres!$G$2,$Q429=Parametres!$G$3),J429,D429)</f>
        <v>448.95</v>
      </c>
      <c r="P429" s="611">
        <f>+IF(OR($Q429=Parametres!$G$2,$Q429=Parametres!$G$3),K429,E429)</f>
        <v>1013.02</v>
      </c>
      <c r="Q429" s="610" t="str">
        <f t="shared" si="26"/>
        <v>7-Dépenses</v>
      </c>
      <c r="R429" s="609" t="str">
        <f t="shared" si="27"/>
        <v>6133</v>
      </c>
      <c r="S429" s="610">
        <f t="shared" si="28"/>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1176</v>
      </c>
      <c r="B430" s="950" t="s">
        <v>2625</v>
      </c>
      <c r="C430" s="952">
        <v>49809.11</v>
      </c>
      <c r="D430" s="952">
        <v>3733.42</v>
      </c>
      <c r="E430" s="952">
        <v>53542.53</v>
      </c>
      <c r="F430" s="950" t="s">
        <v>1099</v>
      </c>
      <c r="G430" s="950" t="s">
        <v>1131</v>
      </c>
      <c r="H430" s="925"/>
      <c r="I430" s="926"/>
      <c r="J430" s="926"/>
      <c r="K430" s="926"/>
      <c r="L430" s="609" t="str">
        <f t="shared" si="29"/>
        <v>6739</v>
      </c>
      <c r="M430" s="610" t="str">
        <f t="shared" si="17"/>
        <v>ASSURANCE GROUPE</v>
      </c>
      <c r="N430" s="611">
        <f>+IF(OR($Q430=Parametres!$G$2,$Q430=Parametres!$G$3),I430,C430)</f>
        <v>49809.11</v>
      </c>
      <c r="O430" s="611">
        <f>+IF(OR($Q430=Parametres!$G$2,$Q430=Parametres!$G$3),J430,D430)</f>
        <v>3733.42</v>
      </c>
      <c r="P430" s="611">
        <f>+IF(OR($Q430=Parametres!$G$2,$Q430=Parametres!$G$3),K430,E430)</f>
        <v>53542.53</v>
      </c>
      <c r="Q430" s="610" t="str">
        <f t="shared" si="26"/>
        <v>7-Dépenses</v>
      </c>
      <c r="R430" s="609" t="str">
        <f t="shared" si="27"/>
        <v>6139</v>
      </c>
      <c r="S430" s="610">
        <f t="shared" si="28"/>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1132</v>
      </c>
      <c r="B431" s="950" t="s">
        <v>2629</v>
      </c>
      <c r="C431" s="952">
        <v>758.35</v>
      </c>
      <c r="D431" s="952">
        <v>0</v>
      </c>
      <c r="E431" s="952">
        <v>758.35</v>
      </c>
      <c r="F431" s="950" t="s">
        <v>1099</v>
      </c>
      <c r="G431" s="950" t="s">
        <v>1133</v>
      </c>
      <c r="H431" s="925"/>
      <c r="I431" s="926"/>
      <c r="J431" s="926"/>
      <c r="K431" s="926"/>
      <c r="L431" s="609" t="str">
        <f t="shared" si="29"/>
        <v>6742</v>
      </c>
      <c r="M431" s="610" t="str">
        <f t="shared" si="17"/>
        <v>FOURNITURES &amp; PETITS OUTILS</v>
      </c>
      <c r="N431" s="611">
        <f>+IF(OR($Q431=Parametres!$G$2,$Q431=Parametres!$G$3),I431,C431)</f>
        <v>758.35</v>
      </c>
      <c r="O431" s="611">
        <f>+IF(OR($Q431=Parametres!$G$2,$Q431=Parametres!$G$3),J431,D431)</f>
        <v>0</v>
      </c>
      <c r="P431" s="611">
        <f>+IF(OR($Q431=Parametres!$G$2,$Q431=Parametres!$G$3),K431,E431)</f>
        <v>758.35</v>
      </c>
      <c r="Q431" s="610" t="str">
        <f t="shared" si="26"/>
        <v>7-Dépenses</v>
      </c>
      <c r="R431" s="609" t="str">
        <f t="shared" si="27"/>
        <v>6142</v>
      </c>
      <c r="S431" s="610">
        <f t="shared" si="2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1136</v>
      </c>
      <c r="B432" s="950" t="s">
        <v>2635</v>
      </c>
      <c r="C432" s="952">
        <v>2305.92</v>
      </c>
      <c r="D432" s="952">
        <v>540.99</v>
      </c>
      <c r="E432" s="952">
        <v>2846.91</v>
      </c>
      <c r="F432" s="950" t="s">
        <v>1099</v>
      </c>
      <c r="G432" s="950" t="s">
        <v>1137</v>
      </c>
      <c r="H432" s="925"/>
      <c r="I432" s="926"/>
      <c r="J432" s="926"/>
      <c r="K432" s="926"/>
      <c r="L432" s="609" t="str">
        <f t="shared" si="29"/>
        <v>6744</v>
      </c>
      <c r="M432" s="610" t="str">
        <f t="shared" si="17"/>
        <v>FORMATION</v>
      </c>
      <c r="N432" s="611">
        <f>+IF(OR($Q432=Parametres!$G$2,$Q432=Parametres!$G$3),I432,C432)</f>
        <v>2305.92</v>
      </c>
      <c r="O432" s="611">
        <f>+IF(OR($Q432=Parametres!$G$2,$Q432=Parametres!$G$3),J432,D432)</f>
        <v>540.99</v>
      </c>
      <c r="P432" s="611">
        <f>+IF(OR($Q432=Parametres!$G$2,$Q432=Parametres!$G$3),K432,E432)</f>
        <v>2846.91</v>
      </c>
      <c r="Q432" s="610" t="str">
        <f t="shared" si="26"/>
        <v>7-Dépenses</v>
      </c>
      <c r="R432" s="609" t="str">
        <f t="shared" si="27"/>
        <v>6144</v>
      </c>
      <c r="S432" s="610">
        <f t="shared" si="28"/>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1138</v>
      </c>
      <c r="B433" s="950" t="s">
        <v>2638</v>
      </c>
      <c r="C433" s="952">
        <v>4664.04</v>
      </c>
      <c r="D433" s="952">
        <v>3404.66</v>
      </c>
      <c r="E433" s="952">
        <v>8068.7</v>
      </c>
      <c r="F433" s="950" t="s">
        <v>1099</v>
      </c>
      <c r="G433" s="950" t="s">
        <v>1139</v>
      </c>
      <c r="H433" s="940"/>
      <c r="I433" s="940"/>
      <c r="J433" s="940"/>
      <c r="K433" s="940"/>
      <c r="L433" s="609" t="str">
        <f t="shared" si="29"/>
        <v>6745</v>
      </c>
      <c r="M433" s="610" t="str">
        <f t="shared" si="17"/>
        <v>VEHICULE DE COMPAGNIE - DEPENS</v>
      </c>
      <c r="N433" s="611">
        <f>+IF(OR($Q433=Parametres!$G$2,$Q433=Parametres!$G$3),I433,C433)</f>
        <v>4664.04</v>
      </c>
      <c r="O433" s="611">
        <f>+IF(OR($Q433=Parametres!$G$2,$Q433=Parametres!$G$3),J433,D433)</f>
        <v>3404.66</v>
      </c>
      <c r="P433" s="611">
        <f>+IF(OR($Q433=Parametres!$G$2,$Q433=Parametres!$G$3),K433,E433)</f>
        <v>8068.7</v>
      </c>
      <c r="Q433" s="610" t="str">
        <f t="shared" si="26"/>
        <v>7-Dépenses</v>
      </c>
      <c r="R433" s="609" t="str">
        <f t="shared" si="27"/>
        <v>6145</v>
      </c>
      <c r="S433" s="610">
        <f t="shared" si="28"/>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1140</v>
      </c>
      <c r="B434" s="950" t="s">
        <v>2641</v>
      </c>
      <c r="C434" s="952">
        <v>-39.020000000000003</v>
      </c>
      <c r="D434" s="952">
        <v>-234.31</v>
      </c>
      <c r="E434" s="952">
        <v>-273.33</v>
      </c>
      <c r="F434" s="950" t="s">
        <v>1099</v>
      </c>
      <c r="G434" s="950" t="s">
        <v>1141</v>
      </c>
      <c r="H434" s="940"/>
      <c r="I434" s="940"/>
      <c r="J434" s="940"/>
      <c r="K434" s="940"/>
      <c r="L434" s="609" t="str">
        <f t="shared" si="29"/>
        <v>6747</v>
      </c>
      <c r="M434" s="610" t="str">
        <f t="shared" si="17"/>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si="26"/>
        <v>7-Dépenses</v>
      </c>
      <c r="R434" s="609" t="str">
        <f t="shared" si="27"/>
        <v>6147</v>
      </c>
      <c r="S434" s="610">
        <f t="shared" si="28"/>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1142</v>
      </c>
      <c r="B435" s="950" t="s">
        <v>2643</v>
      </c>
      <c r="C435" s="952">
        <v>42316.63</v>
      </c>
      <c r="D435" s="952">
        <v>3747.75</v>
      </c>
      <c r="E435" s="952">
        <v>46064.38</v>
      </c>
      <c r="F435" s="950" t="s">
        <v>1099</v>
      </c>
      <c r="G435" s="950" t="s">
        <v>1143</v>
      </c>
      <c r="H435" s="940"/>
      <c r="I435" s="940"/>
      <c r="J435" s="940"/>
      <c r="K435" s="940"/>
      <c r="L435" s="609" t="str">
        <f t="shared" si="29"/>
        <v>6751</v>
      </c>
      <c r="M435" s="610" t="str">
        <f t="shared" si="17"/>
        <v>DEP. DU TRAITEMENT DES DONNEES</v>
      </c>
      <c r="N435" s="611">
        <f>+IF(OR($Q435=Parametres!$G$2,$Q435=Parametres!$G$3),I435,C435)</f>
        <v>42316.63</v>
      </c>
      <c r="O435" s="611">
        <f>+IF(OR($Q435=Parametres!$G$2,$Q435=Parametres!$G$3),J435,D435)</f>
        <v>3747.75</v>
      </c>
      <c r="P435" s="611">
        <f>+IF(OR($Q435=Parametres!$G$2,$Q435=Parametres!$G$3),K435,E435)</f>
        <v>46064.38</v>
      </c>
      <c r="Q435" s="610" t="str">
        <f t="shared" si="26"/>
        <v>7-Dépenses</v>
      </c>
      <c r="R435" s="609" t="str">
        <f t="shared" si="27"/>
        <v>6151</v>
      </c>
      <c r="S435" s="610">
        <f t="shared" si="28"/>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1144</v>
      </c>
      <c r="B436" s="950" t="s">
        <v>2646</v>
      </c>
      <c r="C436" s="952">
        <v>7184.77</v>
      </c>
      <c r="D436" s="952">
        <v>735.94</v>
      </c>
      <c r="E436" s="952">
        <v>7920.71</v>
      </c>
      <c r="F436" s="950" t="s">
        <v>1099</v>
      </c>
      <c r="G436" s="950" t="s">
        <v>1145</v>
      </c>
      <c r="H436" s="940"/>
      <c r="I436" s="940"/>
      <c r="J436" s="940"/>
      <c r="K436" s="940"/>
      <c r="L436" s="609" t="str">
        <f t="shared" si="29"/>
        <v>6752</v>
      </c>
      <c r="M436" s="610" t="str">
        <f t="shared" si="17"/>
        <v>PAPETERIE</v>
      </c>
      <c r="N436" s="611">
        <f>+IF(OR($Q436=Parametres!$G$2,$Q436=Parametres!$G$3),I436,C436)</f>
        <v>7184.77</v>
      </c>
      <c r="O436" s="611">
        <f>+IF(OR($Q436=Parametres!$G$2,$Q436=Parametres!$G$3),J436,D436)</f>
        <v>735.94</v>
      </c>
      <c r="P436" s="611">
        <f>+IF(OR($Q436=Parametres!$G$2,$Q436=Parametres!$G$3),K436,E436)</f>
        <v>7920.71</v>
      </c>
      <c r="Q436" s="610" t="str">
        <f t="shared" si="26"/>
        <v>7-Dépenses</v>
      </c>
      <c r="R436" s="609" t="str">
        <f t="shared" si="27"/>
        <v>6152</v>
      </c>
      <c r="S436" s="610">
        <f t="shared" si="28"/>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1146</v>
      </c>
      <c r="B437" s="950" t="s">
        <v>2649</v>
      </c>
      <c r="C437" s="952">
        <v>1024.3499999999999</v>
      </c>
      <c r="D437" s="952">
        <v>81.28</v>
      </c>
      <c r="E437" s="952">
        <v>1105.6300000000001</v>
      </c>
      <c r="F437" s="950" t="s">
        <v>1099</v>
      </c>
      <c r="G437" s="950" t="s">
        <v>1147</v>
      </c>
      <c r="H437" s="940"/>
      <c r="I437" s="940"/>
      <c r="J437" s="940"/>
      <c r="K437" s="940"/>
      <c r="L437" s="609" t="str">
        <f t="shared" si="29"/>
        <v>6753</v>
      </c>
      <c r="M437" s="610" t="str">
        <f t="shared" si="17"/>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si="26"/>
        <v>7-Dépenses</v>
      </c>
      <c r="R437" s="609" t="str">
        <f t="shared" si="27"/>
        <v>6153</v>
      </c>
      <c r="S437" s="610">
        <f t="shared" si="28"/>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1148</v>
      </c>
      <c r="B438" s="950" t="s">
        <v>2652</v>
      </c>
      <c r="C438" s="952">
        <v>2290.08</v>
      </c>
      <c r="D438" s="952">
        <v>-2.94</v>
      </c>
      <c r="E438" s="952">
        <v>2287.14</v>
      </c>
      <c r="F438" s="950" t="s">
        <v>1099</v>
      </c>
      <c r="G438" s="950" t="s">
        <v>1149</v>
      </c>
      <c r="H438" s="940"/>
      <c r="I438" s="940"/>
      <c r="J438" s="940"/>
      <c r="K438" s="940"/>
      <c r="L438" s="609" t="str">
        <f t="shared" si="29"/>
        <v>6755</v>
      </c>
      <c r="M438" s="610" t="str">
        <f t="shared" si="17"/>
        <v>DEPENSES DIVERS</v>
      </c>
      <c r="N438" s="611">
        <f>+IF(OR($Q438=Parametres!$G$2,$Q438=Parametres!$G$3),I438,C438)</f>
        <v>2290.08</v>
      </c>
      <c r="O438" s="667">
        <f>+IF(OR($Q438=Parametres!$G$2,$Q438=Parametres!$G$3),J438,D438)</f>
        <v>-2.94</v>
      </c>
      <c r="P438" s="611">
        <f>+IF(OR($Q438=Parametres!$G$2,$Q438=Parametres!$G$3),K438,E438)</f>
        <v>2287.14</v>
      </c>
      <c r="Q438" s="610" t="str">
        <f t="shared" si="26"/>
        <v>7-Dépenses</v>
      </c>
      <c r="R438" s="609" t="str">
        <f t="shared" si="27"/>
        <v>6155</v>
      </c>
      <c r="S438" s="610">
        <f t="shared" si="28"/>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1222</v>
      </c>
      <c r="B439" s="950" t="s">
        <v>2655</v>
      </c>
      <c r="C439" s="952">
        <v>8090.64</v>
      </c>
      <c r="D439" s="952">
        <v>746.87</v>
      </c>
      <c r="E439" s="952">
        <v>8837.51</v>
      </c>
      <c r="F439" s="950" t="s">
        <v>1099</v>
      </c>
      <c r="G439" s="950" t="s">
        <v>1151</v>
      </c>
      <c r="H439" s="940"/>
      <c r="I439" s="940"/>
      <c r="J439" s="940"/>
      <c r="K439" s="940"/>
      <c r="L439" s="609" t="str">
        <f t="shared" si="29"/>
        <v>6756</v>
      </c>
      <c r="M439" s="610" t="str">
        <f t="shared" si="17"/>
        <v>FRAIS REPRESENTATION - PIECES</v>
      </c>
      <c r="N439" s="611">
        <f>+IF(OR($Q439=Parametres!$G$2,$Q439=Parametres!$G$3),I439,C439)</f>
        <v>8090.64</v>
      </c>
      <c r="O439" s="611">
        <f>+IF(OR($Q439=Parametres!$G$2,$Q439=Parametres!$G$3),J439,D439)</f>
        <v>746.87</v>
      </c>
      <c r="P439" s="611">
        <f>+IF(OR($Q439=Parametres!$G$2,$Q439=Parametres!$G$3),K439,E439)</f>
        <v>8837.51</v>
      </c>
      <c r="Q439" s="610" t="str">
        <f t="shared" si="26"/>
        <v>7-Dépenses</v>
      </c>
      <c r="R439" s="609" t="str">
        <f t="shared" si="27"/>
        <v>6156</v>
      </c>
      <c r="S439" s="610">
        <f t="shared" si="28"/>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1223</v>
      </c>
      <c r="B440" s="950" t="s">
        <v>3345</v>
      </c>
      <c r="C440" s="952">
        <v>17649.330000000002</v>
      </c>
      <c r="D440" s="952">
        <v>1630.49</v>
      </c>
      <c r="E440" s="952">
        <v>19279.82</v>
      </c>
      <c r="F440" s="950" t="s">
        <v>1099</v>
      </c>
      <c r="G440" s="950" t="s">
        <v>3283</v>
      </c>
      <c r="H440" s="940"/>
      <c r="I440" s="940"/>
      <c r="J440" s="940"/>
      <c r="K440" s="940"/>
      <c r="L440" s="609" t="str">
        <f t="shared" si="29"/>
        <v>6757</v>
      </c>
      <c r="M440" s="610" t="str">
        <f t="shared" si="17"/>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si="26"/>
        <v>7-Dépenses</v>
      </c>
      <c r="R440" s="609" t="str">
        <f t="shared" si="27"/>
        <v>675</v>
      </c>
      <c r="S440" s="610">
        <f t="shared" si="28"/>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1154</v>
      </c>
      <c r="B441" s="950" t="s">
        <v>2658</v>
      </c>
      <c r="C441" s="952">
        <v>102477.14</v>
      </c>
      <c r="D441" s="952">
        <v>9918.16</v>
      </c>
      <c r="E441" s="952">
        <v>112395.3</v>
      </c>
      <c r="F441" s="950" t="s">
        <v>1099</v>
      </c>
      <c r="G441" s="950" t="s">
        <v>1155</v>
      </c>
      <c r="H441" s="940"/>
      <c r="I441" s="940"/>
      <c r="J441" s="940"/>
      <c r="K441" s="940"/>
      <c r="L441" s="609" t="str">
        <f t="shared" si="29"/>
        <v>6759</v>
      </c>
      <c r="M441" s="610" t="str">
        <f t="shared" si="17"/>
        <v>SERVICE EXTERIEUR</v>
      </c>
      <c r="N441" s="611">
        <f>+IF(OR($Q441=Parametres!$G$2,$Q441=Parametres!$G$3),I441,C441)</f>
        <v>102477.14</v>
      </c>
      <c r="O441" s="611">
        <f>+IF(OR($Q441=Parametres!$G$2,$Q441=Parametres!$G$3),J441,D441)</f>
        <v>9918.16</v>
      </c>
      <c r="P441" s="611">
        <f>+IF(OR($Q441=Parametres!$G$2,$Q441=Parametres!$G$3),K441,E441)</f>
        <v>112395.3</v>
      </c>
      <c r="Q441" s="610" t="str">
        <f t="shared" si="26"/>
        <v>7-Dépenses</v>
      </c>
      <c r="R441" s="609" t="str">
        <f t="shared" si="27"/>
        <v>6159</v>
      </c>
      <c r="S441" s="610">
        <f t="shared" si="2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1156</v>
      </c>
      <c r="B442" s="950" t="s">
        <v>2661</v>
      </c>
      <c r="C442" s="952">
        <v>11864.82</v>
      </c>
      <c r="D442" s="952">
        <v>1078.6199999999999</v>
      </c>
      <c r="E442" s="952">
        <v>12943.44</v>
      </c>
      <c r="F442" s="950" t="s">
        <v>1099</v>
      </c>
      <c r="G442" s="950" t="s">
        <v>1157</v>
      </c>
      <c r="H442" s="940"/>
      <c r="I442" s="940"/>
      <c r="J442" s="940"/>
      <c r="K442" s="940"/>
      <c r="L442" s="609" t="str">
        <f t="shared" si="29"/>
        <v>6761</v>
      </c>
      <c r="M442" s="610" t="str">
        <f t="shared" si="17"/>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si="26"/>
        <v>7-Dépenses</v>
      </c>
      <c r="R442" s="609" t="str">
        <f t="shared" si="27"/>
        <v>6161</v>
      </c>
      <c r="S442" s="610">
        <f t="shared" si="28"/>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1224</v>
      </c>
      <c r="B443" s="950" t="s">
        <v>2670</v>
      </c>
      <c r="C443" s="952">
        <v>6958.19</v>
      </c>
      <c r="D443" s="952">
        <v>232.71</v>
      </c>
      <c r="E443" s="952">
        <v>7190.9</v>
      </c>
      <c r="F443" s="950" t="s">
        <v>1099</v>
      </c>
      <c r="G443" s="950" t="s">
        <v>1159</v>
      </c>
      <c r="H443" s="940"/>
      <c r="I443" s="940"/>
      <c r="J443" s="940"/>
      <c r="K443" s="940"/>
      <c r="L443" s="609" t="str">
        <f t="shared" si="29"/>
        <v>6781</v>
      </c>
      <c r="M443" s="610" t="str">
        <f t="shared" si="17"/>
        <v>CHAUFFAGE,ELECTRICITE,EAU-PIECES</v>
      </c>
      <c r="N443" s="611">
        <f>+IF(OR($Q443=Parametres!$G$2,$Q443=Parametres!$G$3),I443,C443)</f>
        <v>6958.19</v>
      </c>
      <c r="O443" s="611">
        <f>+IF(OR($Q443=Parametres!$G$2,$Q443=Parametres!$G$3),J443,D443)</f>
        <v>232.71</v>
      </c>
      <c r="P443" s="611">
        <f>+IF(OR($Q443=Parametres!$G$2,$Q443=Parametres!$G$3),K443,E443)</f>
        <v>7190.9</v>
      </c>
      <c r="Q443" s="610" t="str">
        <f t="shared" si="26"/>
        <v>7-Dépenses</v>
      </c>
      <c r="R443" s="609" t="str">
        <f t="shared" si="27"/>
        <v>6181</v>
      </c>
      <c r="S443" s="610">
        <f t="shared" si="28"/>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1225</v>
      </c>
      <c r="B444" s="950" t="s">
        <v>2673</v>
      </c>
      <c r="C444" s="952">
        <v>71500</v>
      </c>
      <c r="D444" s="952">
        <v>6500</v>
      </c>
      <c r="E444" s="952">
        <v>78000</v>
      </c>
      <c r="F444" s="950" t="s">
        <v>1099</v>
      </c>
      <c r="G444" s="950" t="s">
        <v>1161</v>
      </c>
      <c r="H444" s="940"/>
      <c r="I444" s="940"/>
      <c r="J444" s="940"/>
      <c r="K444" s="940"/>
      <c r="L444" s="609" t="str">
        <f t="shared" si="29"/>
        <v>6782</v>
      </c>
      <c r="M444" s="610" t="str">
        <f t="shared" si="17"/>
        <v>LOYER - PIECES</v>
      </c>
      <c r="N444" s="611">
        <f>+IF(OR($Q444=Parametres!$G$2,$Q444=Parametres!$G$3),I444,C444)</f>
        <v>71500</v>
      </c>
      <c r="O444" s="611">
        <f>+IF(OR($Q444=Parametres!$G$2,$Q444=Parametres!$G$3),J444,D444)</f>
        <v>6500</v>
      </c>
      <c r="P444" s="611">
        <f>+IF(OR($Q444=Parametres!$G$2,$Q444=Parametres!$G$3),K444,E444)</f>
        <v>78000</v>
      </c>
      <c r="Q444" s="610" t="str">
        <f t="shared" si="26"/>
        <v>7-Dépenses</v>
      </c>
      <c r="R444" s="609" t="str">
        <f t="shared" si="27"/>
        <v>6182</v>
      </c>
      <c r="S444" s="610">
        <f t="shared" si="28"/>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1226</v>
      </c>
      <c r="B445" s="950" t="s">
        <v>2676</v>
      </c>
      <c r="C445" s="952">
        <v>11745.25</v>
      </c>
      <c r="D445" s="952">
        <v>1067.75</v>
      </c>
      <c r="E445" s="952">
        <v>12813</v>
      </c>
      <c r="F445" s="950" t="s">
        <v>1099</v>
      </c>
      <c r="G445" s="950" t="s">
        <v>1163</v>
      </c>
      <c r="H445" s="940"/>
      <c r="I445" s="940"/>
      <c r="J445" s="940"/>
      <c r="K445" s="940"/>
      <c r="L445" s="609" t="str">
        <f t="shared" si="29"/>
        <v>6786</v>
      </c>
      <c r="M445" s="610" t="str">
        <f t="shared" si="17"/>
        <v>ASSURANCE BATISSE &amp; AMEL.-PIECES</v>
      </c>
      <c r="N445" s="611">
        <f>+IF(OR($Q445=Parametres!$G$2,$Q445=Parametres!$G$3),I445,C445)</f>
        <v>11745.25</v>
      </c>
      <c r="O445" s="611">
        <f>+IF(OR($Q445=Parametres!$G$2,$Q445=Parametres!$G$3),J445,D445)</f>
        <v>1067.75</v>
      </c>
      <c r="P445" s="611">
        <f>+IF(OR($Q445=Parametres!$G$2,$Q445=Parametres!$G$3),K445,E445)</f>
        <v>12813</v>
      </c>
      <c r="Q445" s="610" t="str">
        <f t="shared" si="26"/>
        <v>7-Dépenses</v>
      </c>
      <c r="R445" s="609" t="str">
        <f t="shared" si="27"/>
        <v>6186</v>
      </c>
      <c r="S445" s="610">
        <f t="shared" si="28"/>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1227</v>
      </c>
      <c r="B446" s="950" t="s">
        <v>2679</v>
      </c>
      <c r="C446" s="952">
        <v>13557.5</v>
      </c>
      <c r="D446" s="952">
        <v>414.01</v>
      </c>
      <c r="E446" s="952">
        <v>13971.51</v>
      </c>
      <c r="F446" s="950" t="s">
        <v>1099</v>
      </c>
      <c r="G446" s="950" t="s">
        <v>1165</v>
      </c>
      <c r="H446" s="940"/>
      <c r="I446" s="940"/>
      <c r="J446" s="940"/>
      <c r="K446" s="940"/>
      <c r="L446" s="609" t="str">
        <f t="shared" si="29"/>
        <v>6787</v>
      </c>
      <c r="M446" s="610" t="str">
        <f t="shared" si="17"/>
        <v>TAXES FONCIERES - PIECES</v>
      </c>
      <c r="N446" s="611">
        <f>+IF(OR($Q446=Parametres!$G$2,$Q446=Parametres!$G$3),I446,C446)</f>
        <v>13557.5</v>
      </c>
      <c r="O446" s="611">
        <f>+IF(OR($Q446=Parametres!$G$2,$Q446=Parametres!$G$3),J446,D446)</f>
        <v>414.01</v>
      </c>
      <c r="P446" s="611">
        <f>+IF(OR($Q446=Parametres!$G$2,$Q446=Parametres!$G$3),K446,E446)</f>
        <v>13971.51</v>
      </c>
      <c r="Q446" s="610" t="str">
        <f t="shared" si="26"/>
        <v>7-Dépenses</v>
      </c>
      <c r="R446" s="609" t="str">
        <f t="shared" si="27"/>
        <v>6187</v>
      </c>
      <c r="S446" s="610">
        <f t="shared" si="28"/>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1228</v>
      </c>
      <c r="B447" s="950" t="s">
        <v>2682</v>
      </c>
      <c r="C447" s="952">
        <v>9020</v>
      </c>
      <c r="D447" s="952">
        <v>820</v>
      </c>
      <c r="E447" s="952">
        <v>9840</v>
      </c>
      <c r="F447" s="950" t="s">
        <v>1099</v>
      </c>
      <c r="G447" s="950" t="s">
        <v>1167</v>
      </c>
      <c r="H447" s="940"/>
      <c r="I447" s="941"/>
      <c r="J447" s="941"/>
      <c r="K447" s="941"/>
      <c r="L447" s="609" t="str">
        <f t="shared" si="29"/>
        <v>6793</v>
      </c>
      <c r="M447" s="610" t="str">
        <f t="shared" si="17"/>
        <v>AUTRES TAXES - PIECES</v>
      </c>
      <c r="N447" s="611">
        <f>+IF(OR($Q447=Parametres!$G$2,$Q447=Parametres!$G$3),I447,C447)</f>
        <v>9020</v>
      </c>
      <c r="O447" s="611">
        <f>+IF(OR($Q447=Parametres!$G$2,$Q447=Parametres!$G$3),J447,D447)</f>
        <v>820</v>
      </c>
      <c r="P447" s="611">
        <f>+IF(OR($Q447=Parametres!$G$2,$Q447=Parametres!$G$3),K447,E447)</f>
        <v>9840</v>
      </c>
      <c r="Q447" s="610" t="str">
        <f t="shared" si="26"/>
        <v>7-Dépenses</v>
      </c>
      <c r="R447" s="609" t="str">
        <f t="shared" si="27"/>
        <v>6193</v>
      </c>
      <c r="S447" s="610">
        <f t="shared" si="28"/>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1229</v>
      </c>
      <c r="B448" s="950" t="s">
        <v>2685</v>
      </c>
      <c r="C448" s="952">
        <v>16839.13</v>
      </c>
      <c r="D448" s="952">
        <v>1530.83</v>
      </c>
      <c r="E448" s="952">
        <v>18369.96</v>
      </c>
      <c r="F448" s="950" t="s">
        <v>1099</v>
      </c>
      <c r="G448" s="950" t="s">
        <v>1169</v>
      </c>
      <c r="H448" s="940"/>
      <c r="I448" s="941"/>
      <c r="J448" s="941"/>
      <c r="K448" s="941"/>
      <c r="L448" s="609" t="str">
        <f t="shared" si="29"/>
        <v>6794</v>
      </c>
      <c r="M448" s="610" t="str">
        <f t="shared" si="17"/>
        <v>FRAIS PROFESSIONNEL-PIECES</v>
      </c>
      <c r="N448" s="611">
        <f>+IF(OR($Q448=Parametres!$G$2,$Q448=Parametres!$G$3),I448,C448)</f>
        <v>16839.13</v>
      </c>
      <c r="O448" s="611">
        <f>+IF(OR($Q448=Parametres!$G$2,$Q448=Parametres!$G$3),J448,D448)</f>
        <v>1530.83</v>
      </c>
      <c r="P448" s="611">
        <f>+IF(OR($Q448=Parametres!$G$2,$Q448=Parametres!$G$3),K448,E448)</f>
        <v>18369.96</v>
      </c>
      <c r="Q448" s="610" t="str">
        <f t="shared" si="26"/>
        <v>7-Dépenses</v>
      </c>
      <c r="R448" s="609" t="str">
        <f t="shared" si="27"/>
        <v>6194</v>
      </c>
      <c r="S448" s="610">
        <f t="shared" si="28"/>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3626</v>
      </c>
      <c r="B449" s="950" t="s">
        <v>3347</v>
      </c>
      <c r="C449" s="952">
        <v>0</v>
      </c>
      <c r="D449" s="952">
        <v>450</v>
      </c>
      <c r="E449" s="952">
        <v>450</v>
      </c>
      <c r="F449" s="950" t="s">
        <v>1230</v>
      </c>
      <c r="G449" s="950" t="s">
        <v>1231</v>
      </c>
      <c r="H449" s="942"/>
      <c r="I449" s="942"/>
      <c r="J449" s="942"/>
      <c r="K449" s="942"/>
      <c r="L449" s="609" t="str">
        <f t="shared" si="29"/>
        <v>9143</v>
      </c>
      <c r="M449" s="610" t="str">
        <f t="shared" si="17"/>
        <v>PRIMES DE PERFORMANCE VW</v>
      </c>
      <c r="N449" s="611">
        <f>+IF(OR($Q449=Parametres!$G$2,$Q449=Parametres!$G$3),I449,C449)</f>
        <v>0</v>
      </c>
      <c r="O449" s="611">
        <f>+IF(OR($Q449=Parametres!$G$2,$Q449=Parametres!$G$3),J449,D449)</f>
        <v>450</v>
      </c>
      <c r="P449" s="611">
        <f>+IF(OR($Q449=Parametres!$G$2,$Q449=Parametres!$G$3),K449,E449)</f>
        <v>450</v>
      </c>
      <c r="Q449" s="610" t="str">
        <f t="shared" si="26"/>
        <v>8-Autres revenus</v>
      </c>
      <c r="R449" s="609" t="str">
        <f t="shared" si="27"/>
        <v>9101</v>
      </c>
      <c r="S449" s="610">
        <f t="shared" si="28"/>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1232</v>
      </c>
      <c r="B450" s="950" t="s">
        <v>2696</v>
      </c>
      <c r="C450" s="952">
        <v>-648421.92000000004</v>
      </c>
      <c r="D450" s="952">
        <v>-45541</v>
      </c>
      <c r="E450" s="952">
        <v>-693962.92</v>
      </c>
      <c r="F450" s="950" t="s">
        <v>1230</v>
      </c>
      <c r="G450" s="950" t="s">
        <v>1231</v>
      </c>
      <c r="H450" s="942"/>
      <c r="I450" s="942"/>
      <c r="J450" s="942"/>
      <c r="K450" s="942"/>
      <c r="L450" s="609" t="str">
        <f t="shared" si="29"/>
        <v>9149</v>
      </c>
      <c r="M450" s="610" t="str">
        <f t="shared" si="17"/>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Q513" si="30">+F450</f>
        <v>8-Autres revenus</v>
      </c>
      <c r="R450" s="609" t="str">
        <f t="shared" ref="R450:R513" si="31">+G450</f>
        <v>9101</v>
      </c>
      <c r="S450" s="610">
        <f t="shared" ref="S450:S513" si="32">+H450</f>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1233</v>
      </c>
      <c r="B451" s="950" t="s">
        <v>1234</v>
      </c>
      <c r="C451" s="952">
        <v>-69988.2</v>
      </c>
      <c r="D451" s="952">
        <v>-10129.6</v>
      </c>
      <c r="E451" s="952">
        <v>-80117.8</v>
      </c>
      <c r="F451" s="950" t="s">
        <v>1230</v>
      </c>
      <c r="G451" s="950" t="s">
        <v>1234</v>
      </c>
      <c r="H451" s="942"/>
      <c r="I451" s="943"/>
      <c r="J451" s="943"/>
      <c r="K451" s="943"/>
      <c r="L451" s="609" t="str">
        <f t="shared" ref="L451:L514" si="33">TEXT(B451,0)</f>
        <v>9152</v>
      </c>
      <c r="M451" s="610" t="str">
        <f t="shared" si="17"/>
        <v>ESCOMPTES SUR ACHAT PIECES</v>
      </c>
      <c r="N451" s="611">
        <f>+IF(OR($Q451=Parametres!$G$2,$Q451=Parametres!$G$3),I451,C451)</f>
        <v>-69988.2</v>
      </c>
      <c r="O451" s="611">
        <f>+IF(OR($Q451=Parametres!$G$2,$Q451=Parametres!$G$3),J451,D451)</f>
        <v>-10129.6</v>
      </c>
      <c r="P451" s="611">
        <f>+IF(OR($Q451=Parametres!$G$2,$Q451=Parametres!$G$3),K451,E451)</f>
        <v>-80117.8</v>
      </c>
      <c r="Q451" s="610" t="str">
        <f t="shared" si="30"/>
        <v>8-Autres revenus</v>
      </c>
      <c r="R451" s="609" t="str">
        <f t="shared" si="31"/>
        <v>9152</v>
      </c>
      <c r="S451" s="610">
        <f t="shared" si="32"/>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3359</v>
      </c>
      <c r="B452" s="950" t="s">
        <v>2701</v>
      </c>
      <c r="C452" s="952">
        <v>-22000</v>
      </c>
      <c r="D452" s="952">
        <v>-21300</v>
      </c>
      <c r="E452" s="952">
        <v>-43300</v>
      </c>
      <c r="F452" s="950" t="s">
        <v>1230</v>
      </c>
      <c r="G452" s="950" t="s">
        <v>3360</v>
      </c>
      <c r="H452" s="942"/>
      <c r="I452" s="943"/>
      <c r="J452" s="943"/>
      <c r="K452" s="943"/>
      <c r="L452" s="609" t="str">
        <f t="shared" si="33"/>
        <v>9157</v>
      </c>
      <c r="M452" s="610" t="str">
        <f t="shared" si="17"/>
        <v>BONUS EXPERIENCE + - NV</v>
      </c>
      <c r="N452" s="611">
        <f>+IF(OR($Q452=Parametres!$G$2,$Q452=Parametres!$G$3),I452,C452)</f>
        <v>-22000</v>
      </c>
      <c r="O452" s="611">
        <f>+IF(OR($Q452=Parametres!$G$2,$Q452=Parametres!$G$3),J452,D452)</f>
        <v>-21300</v>
      </c>
      <c r="P452" s="611">
        <f>+IF(OR($Q452=Parametres!$G$2,$Q452=Parametres!$G$3),K452,E452)</f>
        <v>-43300</v>
      </c>
      <c r="Q452" s="610" t="str">
        <f t="shared" si="30"/>
        <v>8-Autres revenus</v>
      </c>
      <c r="R452" s="609" t="str">
        <f t="shared" si="31"/>
        <v>915</v>
      </c>
      <c r="S452" s="610">
        <f t="shared" si="32"/>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1235</v>
      </c>
      <c r="B453" s="950" t="s">
        <v>1236</v>
      </c>
      <c r="C453" s="952">
        <v>-107648.72</v>
      </c>
      <c r="D453" s="952">
        <v>-12066.34</v>
      </c>
      <c r="E453" s="952">
        <v>-119715.06</v>
      </c>
      <c r="F453" s="950" t="s">
        <v>1230</v>
      </c>
      <c r="G453" s="950" t="s">
        <v>1236</v>
      </c>
      <c r="H453" s="942"/>
      <c r="I453" s="943"/>
      <c r="J453" s="943"/>
      <c r="K453" s="943"/>
      <c r="L453" s="609" t="str">
        <f t="shared" si="33"/>
        <v>9161</v>
      </c>
      <c r="M453" s="610" t="str">
        <f t="shared" si="17"/>
        <v>REVENU FIN ET ASS NEUF</v>
      </c>
      <c r="N453" s="611">
        <f>+IF(OR($Q453=Parametres!$G$2,$Q453=Parametres!$G$3),I453,C453)</f>
        <v>-107648.72</v>
      </c>
      <c r="O453" s="611">
        <f>+IF(OR($Q453=Parametres!$G$2,$Q453=Parametres!$G$3),J453,D453)</f>
        <v>-12066.34</v>
      </c>
      <c r="P453" s="611">
        <f>+IF(OR($Q453=Parametres!$G$2,$Q453=Parametres!$G$3),K453,E453)</f>
        <v>-119715.06</v>
      </c>
      <c r="Q453" s="610" t="str">
        <f t="shared" si="30"/>
        <v>8-Autres revenus</v>
      </c>
      <c r="R453" s="609" t="str">
        <f t="shared" si="31"/>
        <v>9161</v>
      </c>
      <c r="S453" s="610">
        <f t="shared" si="32"/>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1239</v>
      </c>
      <c r="B454" s="950" t="s">
        <v>1240</v>
      </c>
      <c r="C454" s="952">
        <v>-368418.67</v>
      </c>
      <c r="D454" s="952">
        <v>-16637.84</v>
      </c>
      <c r="E454" s="952">
        <v>-385056.51</v>
      </c>
      <c r="F454" s="950" t="s">
        <v>1230</v>
      </c>
      <c r="G454" s="950" t="s">
        <v>1240</v>
      </c>
      <c r="H454" s="942"/>
      <c r="I454" s="943"/>
      <c r="J454" s="943"/>
      <c r="K454" s="943"/>
      <c r="L454" s="609" t="str">
        <f t="shared" si="33"/>
        <v>9163</v>
      </c>
      <c r="M454" s="610" t="str">
        <f t="shared" si="17"/>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si="30"/>
        <v>8-Autres revenus</v>
      </c>
      <c r="R454" s="609" t="str">
        <f t="shared" si="31"/>
        <v>9163</v>
      </c>
      <c r="S454" s="610">
        <f t="shared" si="3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1242</v>
      </c>
      <c r="B455" s="950" t="s">
        <v>2708</v>
      </c>
      <c r="C455" s="952">
        <v>-8390.2000000000007</v>
      </c>
      <c r="D455" s="952">
        <v>0</v>
      </c>
      <c r="E455" s="952">
        <v>-8390.2000000000007</v>
      </c>
      <c r="F455" s="950" t="s">
        <v>1230</v>
      </c>
      <c r="G455" s="950" t="s">
        <v>1236</v>
      </c>
      <c r="H455" s="942"/>
      <c r="I455" s="943"/>
      <c r="J455" s="943"/>
      <c r="K455" s="943"/>
      <c r="L455" s="609" t="str">
        <f t="shared" si="33"/>
        <v>9165</v>
      </c>
      <c r="M455" s="610" t="str">
        <f t="shared" si="17"/>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si="30"/>
        <v>8-Autres revenus</v>
      </c>
      <c r="R455" s="609" t="str">
        <f t="shared" si="31"/>
        <v>9161</v>
      </c>
      <c r="S455" s="610">
        <f t="shared" si="32"/>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1243</v>
      </c>
      <c r="B456" s="950" t="s">
        <v>2711</v>
      </c>
      <c r="C456" s="952">
        <v>-18601.68</v>
      </c>
      <c r="D456" s="952">
        <v>-714.39</v>
      </c>
      <c r="E456" s="952">
        <v>-19316.07</v>
      </c>
      <c r="F456" s="950" t="s">
        <v>1230</v>
      </c>
      <c r="G456" s="950" t="s">
        <v>1240</v>
      </c>
      <c r="H456" s="942"/>
      <c r="I456" s="943"/>
      <c r="J456" s="943"/>
      <c r="K456" s="943"/>
      <c r="L456" s="609" t="str">
        <f t="shared" si="33"/>
        <v>9167</v>
      </c>
      <c r="M456" s="610" t="str">
        <f t="shared" si="17"/>
        <v>REV ASSURANCE USAGE</v>
      </c>
      <c r="N456" s="611">
        <f>+IF(OR($Q456=Parametres!$G$2,$Q456=Parametres!$G$3),I456,C456)</f>
        <v>-18601.68</v>
      </c>
      <c r="O456" s="611">
        <f>+IF(OR($Q456=Parametres!$G$2,$Q456=Parametres!$G$3),J456,D456)</f>
        <v>-714.39</v>
      </c>
      <c r="P456" s="611">
        <f>+IF(OR($Q456=Parametres!$G$2,$Q456=Parametres!$G$3),K456,E456)</f>
        <v>-19316.07</v>
      </c>
      <c r="Q456" s="610" t="str">
        <f t="shared" si="30"/>
        <v>8-Autres revenus</v>
      </c>
      <c r="R456" s="609" t="str">
        <f t="shared" si="31"/>
        <v>9163</v>
      </c>
      <c r="S456" s="610">
        <f t="shared" si="32"/>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1246</v>
      </c>
      <c r="B457" s="950" t="s">
        <v>2714</v>
      </c>
      <c r="C457" s="952">
        <v>-76480</v>
      </c>
      <c r="D457" s="952">
        <v>-4668.92</v>
      </c>
      <c r="E457" s="952">
        <v>-81148.92</v>
      </c>
      <c r="F457" s="950" t="s">
        <v>1230</v>
      </c>
      <c r="G457" s="950" t="s">
        <v>1236</v>
      </c>
      <c r="H457" s="942"/>
      <c r="I457" s="943"/>
      <c r="J457" s="943"/>
      <c r="K457" s="943"/>
      <c r="L457" s="609" t="str">
        <f t="shared" si="33"/>
        <v>9169</v>
      </c>
      <c r="M457" s="610" t="str">
        <f t="shared" si="17"/>
        <v>REV GARANTIE PROLONGEE NEUF</v>
      </c>
      <c r="N457" s="611">
        <f>+IF(OR($Q457=Parametres!$G$2,$Q457=Parametres!$G$3),I457,C457)</f>
        <v>-76480</v>
      </c>
      <c r="O457" s="611">
        <f>+IF(OR($Q457=Parametres!$G$2,$Q457=Parametres!$G$3),J457,D457)</f>
        <v>-4668.92</v>
      </c>
      <c r="P457" s="611">
        <f>+IF(OR($Q457=Parametres!$G$2,$Q457=Parametres!$G$3),K457,E457)</f>
        <v>-81148.92</v>
      </c>
      <c r="Q457" s="610" t="str">
        <f t="shared" si="30"/>
        <v>8-Autres revenus</v>
      </c>
      <c r="R457" s="609" t="str">
        <f t="shared" si="31"/>
        <v>9161</v>
      </c>
      <c r="S457" s="610">
        <f t="shared" si="32"/>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1247</v>
      </c>
      <c r="B458" s="950" t="s">
        <v>2717</v>
      </c>
      <c r="C458" s="952">
        <v>-381089.17</v>
      </c>
      <c r="D458" s="952">
        <v>-27825.1</v>
      </c>
      <c r="E458" s="952">
        <v>-408914.27</v>
      </c>
      <c r="F458" s="950" t="s">
        <v>1230</v>
      </c>
      <c r="G458" s="950" t="s">
        <v>1236</v>
      </c>
      <c r="H458" s="942"/>
      <c r="I458" s="943"/>
      <c r="J458" s="943"/>
      <c r="K458" s="943"/>
      <c r="L458" s="609" t="str">
        <f t="shared" si="33"/>
        <v>9170</v>
      </c>
      <c r="M458" s="610" t="str">
        <f t="shared" si="17"/>
        <v>PROFIT PROTECTIONS - NEUFS</v>
      </c>
      <c r="N458" s="611">
        <f>+IF(OR($Q458=Parametres!$G$2,$Q458=Parametres!$G$3),I458,C458)</f>
        <v>-381089.17</v>
      </c>
      <c r="O458" s="611">
        <f>+IF(OR($Q458=Parametres!$G$2,$Q458=Parametres!$G$3),J458,D458)</f>
        <v>-27825.1</v>
      </c>
      <c r="P458" s="611">
        <f>+IF(OR($Q458=Parametres!$G$2,$Q458=Parametres!$G$3),K458,E458)</f>
        <v>-408914.27</v>
      </c>
      <c r="Q458" s="610" t="str">
        <f t="shared" si="30"/>
        <v>8-Autres revenus</v>
      </c>
      <c r="R458" s="609" t="str">
        <f t="shared" si="31"/>
        <v>9161</v>
      </c>
      <c r="S458" s="610">
        <f t="shared" si="32"/>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1248</v>
      </c>
      <c r="B459" s="950" t="s">
        <v>2720</v>
      </c>
      <c r="C459" s="952">
        <v>-266443.45</v>
      </c>
      <c r="D459" s="952">
        <v>-15093</v>
      </c>
      <c r="E459" s="952">
        <v>-281536.45</v>
      </c>
      <c r="F459" s="950" t="s">
        <v>1230</v>
      </c>
      <c r="G459" s="950" t="s">
        <v>1240</v>
      </c>
      <c r="H459" s="942"/>
      <c r="I459" s="943"/>
      <c r="J459" s="943"/>
      <c r="K459" s="943"/>
      <c r="L459" s="609" t="str">
        <f t="shared" si="33"/>
        <v>9171</v>
      </c>
      <c r="M459" s="610" t="str">
        <f t="shared" si="17"/>
        <v>REV GARANTIE PROLONGEE USAGE</v>
      </c>
      <c r="N459" s="611">
        <f>+IF(OR($Q459=Parametres!$G$2,$Q459=Parametres!$G$3),I459,C459)</f>
        <v>-266443.45</v>
      </c>
      <c r="O459" s="611">
        <f>+IF(OR($Q459=Parametres!$G$2,$Q459=Parametres!$G$3),J459,D459)</f>
        <v>-15093</v>
      </c>
      <c r="P459" s="611">
        <f>+IF(OR($Q459=Parametres!$G$2,$Q459=Parametres!$G$3),K459,E459)</f>
        <v>-281536.45</v>
      </c>
      <c r="Q459" s="610" t="str">
        <f t="shared" si="30"/>
        <v>8-Autres revenus</v>
      </c>
      <c r="R459" s="609" t="str">
        <f t="shared" si="31"/>
        <v>9163</v>
      </c>
      <c r="S459" s="610">
        <f t="shared" si="32"/>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1251</v>
      </c>
      <c r="B460" s="950" t="s">
        <v>2723</v>
      </c>
      <c r="C460" s="952">
        <v>-177166.6</v>
      </c>
      <c r="D460" s="952">
        <v>-14368.87</v>
      </c>
      <c r="E460" s="952">
        <v>-191535.47</v>
      </c>
      <c r="F460" s="950" t="s">
        <v>1230</v>
      </c>
      <c r="G460" s="950" t="s">
        <v>1240</v>
      </c>
      <c r="H460" s="942"/>
      <c r="I460" s="943"/>
      <c r="J460" s="943"/>
      <c r="K460" s="943"/>
      <c r="L460" s="609" t="str">
        <f t="shared" si="33"/>
        <v>9172</v>
      </c>
      <c r="M460" s="610" t="str">
        <f t="shared" si="17"/>
        <v>PROFIT PROTECTIONS - USAGES</v>
      </c>
      <c r="N460" s="611">
        <f>+IF(OR($Q460=Parametres!$G$2,$Q460=Parametres!$G$3),I460,C460)</f>
        <v>-177166.6</v>
      </c>
      <c r="O460" s="611">
        <f>+IF(OR($Q460=Parametres!$G$2,$Q460=Parametres!$G$3),J460,D460)</f>
        <v>-14368.87</v>
      </c>
      <c r="P460" s="611">
        <f>+IF(OR($Q460=Parametres!$G$2,$Q460=Parametres!$G$3),K460,E460)</f>
        <v>-191535.47</v>
      </c>
      <c r="Q460" s="610" t="str">
        <f t="shared" si="30"/>
        <v>8-Autres revenus</v>
      </c>
      <c r="R460" s="609" t="str">
        <f t="shared" si="31"/>
        <v>9163</v>
      </c>
      <c r="S460" s="610">
        <f t="shared" si="32"/>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1254</v>
      </c>
      <c r="B461" s="950" t="s">
        <v>2726</v>
      </c>
      <c r="C461" s="952">
        <v>-188181</v>
      </c>
      <c r="D461" s="952">
        <v>-14304</v>
      </c>
      <c r="E461" s="952">
        <v>-202485</v>
      </c>
      <c r="F461" s="950" t="s">
        <v>1230</v>
      </c>
      <c r="G461" s="950" t="s">
        <v>1255</v>
      </c>
      <c r="H461" s="942"/>
      <c r="I461" s="943"/>
      <c r="J461" s="943"/>
      <c r="K461" s="943"/>
      <c r="L461" s="609" t="str">
        <f t="shared" si="33"/>
        <v>9173</v>
      </c>
      <c r="M461" s="610" t="str">
        <f t="shared" si="17"/>
        <v>FRAIS ADMIN. VOLKS</v>
      </c>
      <c r="N461" s="611">
        <f>+IF(OR($Q461=Parametres!$G$2,$Q461=Parametres!$G$3),I461,C461)</f>
        <v>-188181</v>
      </c>
      <c r="O461" s="611">
        <f>+IF(OR($Q461=Parametres!$G$2,$Q461=Parametres!$G$3),J461,D461)</f>
        <v>-14304</v>
      </c>
      <c r="P461" s="611">
        <f>+IF(OR($Q461=Parametres!$G$2,$Q461=Parametres!$G$3),K461,E461)</f>
        <v>-202485</v>
      </c>
      <c r="Q461" s="610" t="str">
        <f t="shared" si="30"/>
        <v>8-Autres revenus</v>
      </c>
      <c r="R461" s="609" t="str">
        <f t="shared" si="31"/>
        <v>9191</v>
      </c>
      <c r="S461" s="610">
        <f t="shared" si="32"/>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1256</v>
      </c>
      <c r="B462" s="950" t="s">
        <v>3348</v>
      </c>
      <c r="C462" s="952">
        <v>-119413.49</v>
      </c>
      <c r="D462" s="952">
        <v>-9570</v>
      </c>
      <c r="E462" s="952">
        <v>-128983.49</v>
      </c>
      <c r="F462" s="950" t="s">
        <v>1230</v>
      </c>
      <c r="G462" s="950" t="s">
        <v>1255</v>
      </c>
      <c r="H462" s="942"/>
      <c r="I462" s="943"/>
      <c r="J462" s="943"/>
      <c r="K462" s="943"/>
      <c r="L462" s="609" t="str">
        <f t="shared" si="33"/>
        <v>9174</v>
      </c>
      <c r="M462" s="610" t="str">
        <f t="shared" si="17"/>
        <v>FRAIS ADMIN. VW USAGE</v>
      </c>
      <c r="N462" s="611">
        <f>+IF(OR($Q462=Parametres!$G$2,$Q462=Parametres!$G$3),I462,C462)</f>
        <v>-119413.49</v>
      </c>
      <c r="O462" s="611">
        <f>+IF(OR($Q462=Parametres!$G$2,$Q462=Parametres!$G$3),J462,D462)</f>
        <v>-9570</v>
      </c>
      <c r="P462" s="611">
        <f>+IF(OR($Q462=Parametres!$G$2,$Q462=Parametres!$G$3),K462,E462)</f>
        <v>-128983.49</v>
      </c>
      <c r="Q462" s="610" t="str">
        <f t="shared" si="30"/>
        <v>8-Autres revenus</v>
      </c>
      <c r="R462" s="609" t="str">
        <f t="shared" si="31"/>
        <v>9191</v>
      </c>
      <c r="S462" s="610">
        <f t="shared" si="32"/>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1257</v>
      </c>
      <c r="B463" s="950" t="s">
        <v>1255</v>
      </c>
      <c r="C463" s="952">
        <v>-274209.42</v>
      </c>
      <c r="D463" s="952">
        <v>-1498.69</v>
      </c>
      <c r="E463" s="952">
        <v>-275708.11</v>
      </c>
      <c r="F463" s="950" t="s">
        <v>1230</v>
      </c>
      <c r="G463" s="950" t="s">
        <v>1255</v>
      </c>
      <c r="H463" s="942"/>
      <c r="I463" s="943"/>
      <c r="J463" s="943"/>
      <c r="K463" s="943"/>
      <c r="L463" s="609" t="str">
        <f t="shared" si="33"/>
        <v>9191</v>
      </c>
      <c r="M463" s="610" t="str">
        <f t="shared" si="17"/>
        <v>REVENUS DIVERS</v>
      </c>
      <c r="N463" s="611">
        <f>+IF(OR($Q463=Parametres!$G$2,$Q463=Parametres!$G$3),I463,C463)</f>
        <v>-274209.42</v>
      </c>
      <c r="O463" s="611">
        <f>+IF(OR($Q463=Parametres!$G$2,$Q463=Parametres!$G$3),J463,D463)</f>
        <v>-1498.69</v>
      </c>
      <c r="P463" s="611">
        <f>+IF(OR($Q463=Parametres!$G$2,$Q463=Parametres!$G$3),K463,E463)</f>
        <v>-275708.11</v>
      </c>
      <c r="Q463" s="610" t="str">
        <f t="shared" si="30"/>
        <v>8-Autres revenus</v>
      </c>
      <c r="R463" s="609" t="str">
        <f t="shared" si="31"/>
        <v>9191</v>
      </c>
      <c r="S463" s="610">
        <f t="shared" si="32"/>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1258</v>
      </c>
      <c r="B464" s="950" t="s">
        <v>1260</v>
      </c>
      <c r="C464" s="952">
        <v>3300</v>
      </c>
      <c r="D464" s="952">
        <v>300</v>
      </c>
      <c r="E464" s="952">
        <v>3600</v>
      </c>
      <c r="F464" s="950" t="s">
        <v>1259</v>
      </c>
      <c r="G464" s="950" t="s">
        <v>1260</v>
      </c>
      <c r="H464" s="942"/>
      <c r="I464" s="943"/>
      <c r="J464" s="943"/>
      <c r="K464" s="943"/>
      <c r="L464" s="609" t="str">
        <f t="shared" si="33"/>
        <v>9402</v>
      </c>
      <c r="M464" s="610" t="str">
        <f t="shared" si="17"/>
        <v>DEPENSE D'INTERETS</v>
      </c>
      <c r="N464" s="611">
        <f>+IF(OR($Q464=Parametres!$G$2,$Q464=Parametres!$G$3),I464,C464)</f>
        <v>3300</v>
      </c>
      <c r="O464" s="611">
        <f>+IF(OR($Q464=Parametres!$G$2,$Q464=Parametres!$G$3),J464,D464)</f>
        <v>300</v>
      </c>
      <c r="P464" s="611">
        <f>+IF(OR($Q464=Parametres!$G$2,$Q464=Parametres!$G$3),K464,E464)</f>
        <v>3600</v>
      </c>
      <c r="Q464" s="610" t="str">
        <f t="shared" si="30"/>
        <v>9-Autres déductions</v>
      </c>
      <c r="R464" s="609" t="str">
        <f t="shared" si="31"/>
        <v>9402</v>
      </c>
      <c r="S464" s="610">
        <f t="shared" si="3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1261</v>
      </c>
      <c r="B465" s="950" t="s">
        <v>2736</v>
      </c>
      <c r="C465" s="952">
        <v>1394.69</v>
      </c>
      <c r="D465" s="952">
        <v>126.79</v>
      </c>
      <c r="E465" s="952">
        <v>1521.48</v>
      </c>
      <c r="F465" s="950" t="s">
        <v>1259</v>
      </c>
      <c r="G465" s="950" t="s">
        <v>1260</v>
      </c>
      <c r="H465" s="951"/>
      <c r="I465" s="951"/>
      <c r="J465" s="951"/>
      <c r="K465" s="951"/>
      <c r="L465" s="609" t="str">
        <f t="shared" si="33"/>
        <v>9404</v>
      </c>
      <c r="M465" s="610" t="str">
        <f t="shared" si="17"/>
        <v>INTERETS SUR PRET</v>
      </c>
      <c r="N465" s="611">
        <f>+IF(OR($Q465=Parametres!$G$2,$Q465=Parametres!$G$3),I465,C465)</f>
        <v>1394.69</v>
      </c>
      <c r="O465" s="611">
        <f>+IF(OR($Q465=Parametres!$G$2,$Q465=Parametres!$G$3),J465,D465)</f>
        <v>126.79</v>
      </c>
      <c r="P465" s="611">
        <f>+IF(OR($Q465=Parametres!$G$2,$Q465=Parametres!$G$3),K465,E465)</f>
        <v>1521.48</v>
      </c>
      <c r="Q465" s="610" t="str">
        <f t="shared" si="30"/>
        <v>9-Autres déductions</v>
      </c>
      <c r="R465" s="609" t="str">
        <f t="shared" si="31"/>
        <v>9402</v>
      </c>
      <c r="S465" s="610">
        <f t="shared" si="32"/>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1244</v>
      </c>
      <c r="B466" s="950" t="s">
        <v>1245</v>
      </c>
      <c r="C466" s="951"/>
      <c r="D466" s="951"/>
      <c r="E466" s="951"/>
      <c r="F466" s="950" t="s">
        <v>7</v>
      </c>
      <c r="G466" s="950" t="s">
        <v>1240</v>
      </c>
      <c r="H466" s="951"/>
      <c r="I466" s="952">
        <v>-32</v>
      </c>
      <c r="J466" s="952">
        <v>-2</v>
      </c>
      <c r="K466" s="952">
        <v>-34</v>
      </c>
      <c r="L466" s="609" t="str">
        <f t="shared" si="33"/>
        <v>9167@</v>
      </c>
      <c r="M466" s="610" t="str">
        <f t="shared" si="17"/>
        <v>ASSURANCE VIE USAGE</v>
      </c>
      <c r="N466" s="611">
        <f>+IF(OR($Q466=Parametres!$G$2,$Q466=Parametres!$G$3),I466,C466)</f>
        <v>-32</v>
      </c>
      <c r="O466" s="611">
        <f>+IF(OR($Q466=Parametres!$G$2,$Q466=Parametres!$G$3),J466,D466)</f>
        <v>-2</v>
      </c>
      <c r="P466" s="611">
        <f>+IF(OR($Q466=Parametres!$G$2,$Q466=Parametres!$G$3),K466,E466)</f>
        <v>-34</v>
      </c>
      <c r="Q466" s="610" t="str">
        <f t="shared" si="30"/>
        <v>10-Compte compteur</v>
      </c>
      <c r="R466" s="609" t="str">
        <f t="shared" si="31"/>
        <v>9163</v>
      </c>
      <c r="S466" s="610">
        <f t="shared" si="32"/>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1249</v>
      </c>
      <c r="B467" s="950" t="s">
        <v>1250</v>
      </c>
      <c r="C467" s="951"/>
      <c r="D467" s="951"/>
      <c r="E467" s="951"/>
      <c r="F467" s="950" t="s">
        <v>7</v>
      </c>
      <c r="G467" s="950" t="s">
        <v>1240</v>
      </c>
      <c r="H467" s="951"/>
      <c r="I467" s="952">
        <v>-192</v>
      </c>
      <c r="J467" s="952">
        <v>-12</v>
      </c>
      <c r="K467" s="952">
        <v>-204</v>
      </c>
      <c r="L467" s="609" t="str">
        <f t="shared" si="33"/>
        <v>9171@</v>
      </c>
      <c r="M467" s="610" t="str">
        <f t="shared" si="17"/>
        <v>VENTE CHIMIQUE USAGE</v>
      </c>
      <c r="N467" s="611">
        <f>+IF(OR($Q467=Parametres!$G$2,$Q467=Parametres!$G$3),I467,C467)</f>
        <v>-192</v>
      </c>
      <c r="O467" s="611">
        <f>+IF(OR($Q467=Parametres!$G$2,$Q467=Parametres!$G$3),J467,D467)</f>
        <v>-12</v>
      </c>
      <c r="P467" s="611">
        <f>+IF(OR($Q467=Parametres!$G$2,$Q467=Parametres!$G$3),K467,E467)</f>
        <v>-204</v>
      </c>
      <c r="Q467" s="610" t="str">
        <f t="shared" si="30"/>
        <v>10-Compte compteur</v>
      </c>
      <c r="R467" s="609" t="str">
        <f t="shared" si="31"/>
        <v>9163</v>
      </c>
      <c r="S467" s="610">
        <f t="shared" si="32"/>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787</v>
      </c>
      <c r="B468" s="950" t="s">
        <v>788</v>
      </c>
      <c r="C468" s="951"/>
      <c r="D468" s="951"/>
      <c r="E468" s="951"/>
      <c r="F468" s="950" t="s">
        <v>7</v>
      </c>
      <c r="G468" s="950" t="s">
        <v>786</v>
      </c>
      <c r="H468" s="951"/>
      <c r="I468" s="952">
        <v>63</v>
      </c>
      <c r="J468" s="952">
        <v>-12</v>
      </c>
      <c r="K468" s="952">
        <v>51</v>
      </c>
      <c r="L468" s="609" t="str">
        <f t="shared" si="33"/>
        <v>1402@</v>
      </c>
      <c r="M468" s="610" t="str">
        <f t="shared" si="17"/>
        <v># DE INVENTAIRE VEH.NEUFS VW</v>
      </c>
      <c r="N468" s="611">
        <f>+IF(OR($Q468=Parametres!$G$2,$Q468=Parametres!$G$3),I468,C468)</f>
        <v>63</v>
      </c>
      <c r="O468" s="611">
        <f>+IF(OR($Q468=Parametres!$G$2,$Q468=Parametres!$G$3),J468,D468)</f>
        <v>-12</v>
      </c>
      <c r="P468" s="611">
        <f>+IF(OR($Q468=Parametres!$G$2,$Q468=Parametres!$G$3),K468,E468)</f>
        <v>51</v>
      </c>
      <c r="Q468" s="610" t="str">
        <f t="shared" si="30"/>
        <v>10-Compte compteur</v>
      </c>
      <c r="R468" s="609" t="str">
        <f t="shared" si="31"/>
        <v>1402</v>
      </c>
      <c r="S468" s="610">
        <f t="shared" si="32"/>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794</v>
      </c>
      <c r="B469" s="950" t="s">
        <v>795</v>
      </c>
      <c r="C469" s="951"/>
      <c r="D469" s="951"/>
      <c r="E469" s="951"/>
      <c r="F469" s="950" t="s">
        <v>7</v>
      </c>
      <c r="G469" s="950" t="s">
        <v>793</v>
      </c>
      <c r="H469" s="951"/>
      <c r="I469" s="952">
        <v>111</v>
      </c>
      <c r="J469" s="952">
        <v>-16</v>
      </c>
      <c r="K469" s="952">
        <v>95</v>
      </c>
      <c r="L469" s="609" t="str">
        <f t="shared" si="33"/>
        <v>1416@</v>
      </c>
      <c r="M469" s="610" t="str">
        <f t="shared" si="17"/>
        <v># DE INV. VEH. USAGE VW</v>
      </c>
      <c r="N469" s="611">
        <f>+IF(OR($Q469=Parametres!$G$2,$Q469=Parametres!$G$3),I469,C469)</f>
        <v>111</v>
      </c>
      <c r="O469" s="611">
        <f>+IF(OR($Q469=Parametres!$G$2,$Q469=Parametres!$G$3),J469,D469)</f>
        <v>-16</v>
      </c>
      <c r="P469" s="611">
        <f>+IF(OR($Q469=Parametres!$G$2,$Q469=Parametres!$G$3),K469,E469)</f>
        <v>95</v>
      </c>
      <c r="Q469" s="610" t="str">
        <f t="shared" si="30"/>
        <v>10-Compte compteur</v>
      </c>
      <c r="R469" s="609" t="str">
        <f t="shared" si="31"/>
        <v>1416</v>
      </c>
      <c r="S469" s="610">
        <f t="shared" si="32"/>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910</v>
      </c>
      <c r="B470" s="950" t="s">
        <v>911</v>
      </c>
      <c r="C470" s="951"/>
      <c r="D470" s="951"/>
      <c r="E470" s="951"/>
      <c r="F470" s="950" t="s">
        <v>7</v>
      </c>
      <c r="G470" s="950" t="s">
        <v>909</v>
      </c>
      <c r="H470" s="951"/>
      <c r="I470" s="952">
        <v>-239</v>
      </c>
      <c r="J470" s="952">
        <v>-10</v>
      </c>
      <c r="K470" s="952">
        <v>-249</v>
      </c>
      <c r="L470" s="609" t="str">
        <f t="shared" si="33"/>
        <v>4100@</v>
      </c>
      <c r="M470" s="610" t="str">
        <f t="shared" si="17"/>
        <v>RESERVE</v>
      </c>
      <c r="N470" s="611">
        <f>+IF(OR($Q470=Parametres!$G$2,$Q470=Parametres!$G$3),I470,C470)</f>
        <v>-239</v>
      </c>
      <c r="O470" s="611">
        <f>+IF(OR($Q470=Parametres!$G$2,$Q470=Parametres!$G$3),J470,D470)</f>
        <v>-10</v>
      </c>
      <c r="P470" s="611">
        <f>+IF(OR($Q470=Parametres!$G$2,$Q470=Parametres!$G$3),K470,E470)</f>
        <v>-249</v>
      </c>
      <c r="Q470" s="610" t="str">
        <f t="shared" si="30"/>
        <v>10-Compte compteur</v>
      </c>
      <c r="R470" s="609" t="str">
        <f t="shared" si="31"/>
        <v>4100</v>
      </c>
      <c r="S470" s="610">
        <f t="shared" si="32"/>
        <v>0</v>
      </c>
      <c r="T470" s="612" t="str">
        <f>+VLOOKUP($L470,Data_Validation!$A:$D,1,0)</f>
        <v>4100@</v>
      </c>
      <c r="U470" s="612" t="str">
        <f>+VLOOKUP($L470,Data_Validation!$A:$D,3,0)</f>
        <v>Véhicules usagés</v>
      </c>
      <c r="V470" s="612" t="str">
        <f>+VLOOKUP($L470,Data_Validation!$A:$D,4,0)</f>
        <v>Rachat bail</v>
      </c>
      <c r="W470" s="612" t="str">
        <f>+VLOOKUP($L470,Data_Validation!$A:$E,5,0)</f>
        <v>NB</v>
      </c>
      <c r="X470" s="612">
        <f>+VLOOKUP($L470,Data_Validation!$A:$F,6,0)</f>
        <v>0</v>
      </c>
    </row>
    <row r="471" spans="1:24" ht="15" customHeight="1">
      <c r="A471" s="950" t="s">
        <v>914</v>
      </c>
      <c r="B471" s="950" t="s">
        <v>915</v>
      </c>
      <c r="C471" s="951"/>
      <c r="D471" s="951"/>
      <c r="E471" s="951"/>
      <c r="F471" s="950" t="s">
        <v>7</v>
      </c>
      <c r="G471" s="950" t="s">
        <v>913</v>
      </c>
      <c r="H471" s="951"/>
      <c r="I471" s="952">
        <v>-7</v>
      </c>
      <c r="J471" s="952">
        <v>0</v>
      </c>
      <c r="K471" s="952">
        <v>-7</v>
      </c>
      <c r="L471" s="609" t="str">
        <f t="shared" si="33"/>
        <v>4109@</v>
      </c>
      <c r="M471" s="610" t="str">
        <f t="shared" si="17"/>
        <v># DE VENTE - GOLF R</v>
      </c>
      <c r="N471" s="611">
        <f>+IF(OR($Q471=Parametres!$G$2,$Q471=Parametres!$G$3),I471,C471)</f>
        <v>-7</v>
      </c>
      <c r="O471" s="615">
        <f>+IF(OR($Q471=Parametres!$G$2,$Q471=Parametres!$G$3),J471,D471)</f>
        <v>0</v>
      </c>
      <c r="P471" s="611">
        <f>+IF(OR($Q471=Parametres!$G$2,$Q471=Parametres!$G$3),K471,E471)</f>
        <v>-7</v>
      </c>
      <c r="Q471" s="610" t="str">
        <f t="shared" si="30"/>
        <v>10-Compte compteur</v>
      </c>
      <c r="R471" s="609" t="str">
        <f t="shared" si="31"/>
        <v>4109</v>
      </c>
      <c r="S471" s="610">
        <f t="shared" si="32"/>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916</v>
      </c>
      <c r="B472" s="950" t="s">
        <v>918</v>
      </c>
      <c r="C472" s="951"/>
      <c r="D472" s="951"/>
      <c r="E472" s="951"/>
      <c r="F472" s="950" t="s">
        <v>7</v>
      </c>
      <c r="G472" s="950" t="s">
        <v>917</v>
      </c>
      <c r="H472" s="951"/>
      <c r="I472" s="952">
        <v>-53</v>
      </c>
      <c r="J472" s="952">
        <v>-7</v>
      </c>
      <c r="K472" s="952">
        <v>-60</v>
      </c>
      <c r="L472" s="609" t="str">
        <f t="shared" si="33"/>
        <v>4111@</v>
      </c>
      <c r="M472" s="610" t="str">
        <f t="shared" si="17"/>
        <v>JETTA/ JETTA GLI</v>
      </c>
      <c r="N472" s="611">
        <f>+IF(OR($Q472=Parametres!$G$2,$Q472=Parametres!$G$3),I472,C472)</f>
        <v>-53</v>
      </c>
      <c r="O472" s="611">
        <f>+IF(OR($Q472=Parametres!$G$2,$Q472=Parametres!$G$3),J472,D472)</f>
        <v>-7</v>
      </c>
      <c r="P472" s="611">
        <f>+IF(OR($Q472=Parametres!$G$2,$Q472=Parametres!$G$3),K472,E472)</f>
        <v>-60</v>
      </c>
      <c r="Q472" s="610" t="str">
        <f t="shared" si="30"/>
        <v>10-Compte compteur</v>
      </c>
      <c r="R472" s="609" t="str">
        <f t="shared" si="31"/>
        <v>4111</v>
      </c>
      <c r="S472" s="610">
        <f t="shared" si="32"/>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921</v>
      </c>
      <c r="B473" s="950" t="s">
        <v>922</v>
      </c>
      <c r="C473" s="951"/>
      <c r="D473" s="951"/>
      <c r="E473" s="951"/>
      <c r="F473" s="950" t="s">
        <v>7</v>
      </c>
      <c r="G473" s="950" t="s">
        <v>923</v>
      </c>
      <c r="H473" s="951"/>
      <c r="I473" s="952">
        <v>-109</v>
      </c>
      <c r="J473" s="952">
        <v>-2</v>
      </c>
      <c r="K473" s="952">
        <v>-111</v>
      </c>
      <c r="L473" s="609" t="str">
        <f t="shared" si="33"/>
        <v>4118@</v>
      </c>
      <c r="M473" s="610" t="str">
        <f t="shared" si="17"/>
        <v>TAOS</v>
      </c>
      <c r="N473" s="611">
        <f>+IF(OR($Q473=Parametres!$G$2,$Q473=Parametres!$G$3),I473,C473)</f>
        <v>-109</v>
      </c>
      <c r="O473" s="611">
        <f>+IF(OR($Q473=Parametres!$G$2,$Q473=Parametres!$G$3),J473,D473)</f>
        <v>-2</v>
      </c>
      <c r="P473" s="611">
        <f>+IF(OR($Q473=Parametres!$G$2,$Q473=Parametres!$G$3),K473,E473)</f>
        <v>-111</v>
      </c>
      <c r="Q473" s="610" t="str">
        <f t="shared" si="30"/>
        <v>10-Compte compteur</v>
      </c>
      <c r="R473" s="609" t="str">
        <f t="shared" si="31"/>
        <v>411</v>
      </c>
      <c r="S473" s="610">
        <f t="shared" si="32"/>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926</v>
      </c>
      <c r="B474" s="950" t="s">
        <v>927</v>
      </c>
      <c r="C474" s="951"/>
      <c r="D474" s="951"/>
      <c r="E474" s="951"/>
      <c r="F474" s="950" t="s">
        <v>7</v>
      </c>
      <c r="G474" s="950" t="s">
        <v>925</v>
      </c>
      <c r="H474" s="951"/>
      <c r="I474" s="952">
        <v>-69</v>
      </c>
      <c r="J474" s="952">
        <v>-2</v>
      </c>
      <c r="K474" s="952">
        <v>-71</v>
      </c>
      <c r="L474" s="609" t="str">
        <f t="shared" si="33"/>
        <v>4119@</v>
      </c>
      <c r="M474" s="610" t="str">
        <f t="shared" si="17"/>
        <v># DE VTE - ATLAS</v>
      </c>
      <c r="N474" s="611">
        <f>+IF(OR($Q474=Parametres!$G$2,$Q474=Parametres!$G$3),I474,C474)</f>
        <v>-69</v>
      </c>
      <c r="O474" s="611">
        <f>+IF(OR($Q474=Parametres!$G$2,$Q474=Parametres!$G$3),J474,D474)</f>
        <v>-2</v>
      </c>
      <c r="P474" s="611">
        <f>+IF(OR($Q474=Parametres!$G$2,$Q474=Parametres!$G$3),K474,E474)</f>
        <v>-71</v>
      </c>
      <c r="Q474" s="610" t="str">
        <f t="shared" si="30"/>
        <v>10-Compte compteur</v>
      </c>
      <c r="R474" s="609" t="str">
        <f t="shared" si="31"/>
        <v>4119</v>
      </c>
      <c r="S474" s="610">
        <f t="shared" si="3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929</v>
      </c>
      <c r="B475" s="950" t="s">
        <v>930</v>
      </c>
      <c r="C475" s="951"/>
      <c r="D475" s="951"/>
      <c r="E475" s="951"/>
      <c r="F475" s="950" t="s">
        <v>7</v>
      </c>
      <c r="G475" s="950" t="s">
        <v>3293</v>
      </c>
      <c r="H475" s="951"/>
      <c r="I475" s="952">
        <v>-3</v>
      </c>
      <c r="J475" s="952">
        <v>0</v>
      </c>
      <c r="K475" s="952">
        <v>-3</v>
      </c>
      <c r="L475" s="609" t="str">
        <f t="shared" si="33"/>
        <v>4121@</v>
      </c>
      <c r="M475" s="610" t="str">
        <f t="shared" si="17"/>
        <v># DE VTE - ATLAS CROSS SPORT</v>
      </c>
      <c r="N475" s="611">
        <f>+IF(OR($Q475=Parametres!$G$2,$Q475=Parametres!$G$3),I475,C475)</f>
        <v>-3</v>
      </c>
      <c r="O475" s="611">
        <f>+IF(OR($Q475=Parametres!$G$2,$Q475=Parametres!$G$3),J475,D475)</f>
        <v>0</v>
      </c>
      <c r="P475" s="611">
        <f>+IF(OR($Q475=Parametres!$G$2,$Q475=Parametres!$G$3),K475,E475)</f>
        <v>-3</v>
      </c>
      <c r="Q475" s="610" t="str">
        <f t="shared" si="30"/>
        <v>10-Compte compteur</v>
      </c>
      <c r="R475" s="609" t="str">
        <f t="shared" si="31"/>
        <v>4121</v>
      </c>
      <c r="S475" s="610">
        <f t="shared" si="32"/>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933</v>
      </c>
      <c r="B476" s="950" t="s">
        <v>934</v>
      </c>
      <c r="C476" s="951"/>
      <c r="D476" s="951"/>
      <c r="E476" s="951"/>
      <c r="F476" s="950" t="s">
        <v>7</v>
      </c>
      <c r="G476" s="950" t="s">
        <v>932</v>
      </c>
      <c r="H476" s="951"/>
      <c r="I476" s="952">
        <v>-19</v>
      </c>
      <c r="J476" s="952">
        <v>0</v>
      </c>
      <c r="K476" s="952">
        <v>-19</v>
      </c>
      <c r="L476" s="609" t="str">
        <f t="shared" si="33"/>
        <v>4127@</v>
      </c>
      <c r="M476" s="610" t="str">
        <f t="shared" si="17"/>
        <v># DE VENTE - GOLF GTI</v>
      </c>
      <c r="N476" s="611">
        <f>+IF(OR($Q476=Parametres!$G$2,$Q476=Parametres!$G$3),I476,C476)</f>
        <v>-19</v>
      </c>
      <c r="O476" s="611">
        <f>+IF(OR($Q476=Parametres!$G$2,$Q476=Parametres!$G$3),J476,D476)</f>
        <v>0</v>
      </c>
      <c r="P476" s="611">
        <f>+IF(OR($Q476=Parametres!$G$2,$Q476=Parametres!$G$3),K476,E476)</f>
        <v>-19</v>
      </c>
      <c r="Q476" s="610" t="str">
        <f t="shared" si="30"/>
        <v>10-Compte compteur</v>
      </c>
      <c r="R476" s="609" t="str">
        <f t="shared" si="31"/>
        <v>4127</v>
      </c>
      <c r="S476" s="610">
        <f t="shared" si="32"/>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937</v>
      </c>
      <c r="B477" s="950" t="s">
        <v>938</v>
      </c>
      <c r="C477" s="951"/>
      <c r="D477" s="951"/>
      <c r="E477" s="951"/>
      <c r="F477" s="950" t="s">
        <v>7</v>
      </c>
      <c r="G477" s="950" t="s">
        <v>936</v>
      </c>
      <c r="H477" s="951"/>
      <c r="I477" s="952">
        <v>-180</v>
      </c>
      <c r="J477" s="952">
        <v>-24</v>
      </c>
      <c r="K477" s="952">
        <v>-204</v>
      </c>
      <c r="L477" s="609" t="str">
        <f t="shared" si="33"/>
        <v>4131@</v>
      </c>
      <c r="M477" s="610" t="str">
        <f t="shared" si="17"/>
        <v># DE VTE - TIGUAN LWB</v>
      </c>
      <c r="N477" s="611">
        <f>+IF(OR($Q477=Parametres!$G$2,$Q477=Parametres!$G$3),I477,C477)</f>
        <v>-180</v>
      </c>
      <c r="O477" s="611">
        <f>+IF(OR($Q477=Parametres!$G$2,$Q477=Parametres!$G$3),J477,D477)</f>
        <v>-24</v>
      </c>
      <c r="P477" s="611">
        <f>+IF(OR($Q477=Parametres!$G$2,$Q477=Parametres!$G$3),K477,E477)</f>
        <v>-204</v>
      </c>
      <c r="Q477" s="610" t="str">
        <f t="shared" si="30"/>
        <v>10-Compte compteur</v>
      </c>
      <c r="R477" s="609" t="str">
        <f t="shared" si="31"/>
        <v>4131</v>
      </c>
      <c r="S477" s="610">
        <f t="shared" si="32"/>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941</v>
      </c>
      <c r="B478" s="950" t="s">
        <v>942</v>
      </c>
      <c r="C478" s="951"/>
      <c r="D478" s="951"/>
      <c r="E478" s="951"/>
      <c r="F478" s="950" t="s">
        <v>7</v>
      </c>
      <c r="G478" s="950" t="s">
        <v>940</v>
      </c>
      <c r="H478" s="951"/>
      <c r="I478" s="952">
        <v>-17</v>
      </c>
      <c r="J478" s="952">
        <v>0</v>
      </c>
      <c r="K478" s="952">
        <v>-17</v>
      </c>
      <c r="L478" s="609" t="str">
        <f t="shared" si="33"/>
        <v>4137@</v>
      </c>
      <c r="M478" s="610" t="str">
        <f t="shared" si="17"/>
        <v>VW FLOTTE/VENTE ENTR/EMPLOYE/VEH DEMONST</v>
      </c>
      <c r="N478" s="611">
        <f>+IF(OR($Q478=Parametres!$G$2,$Q478=Parametres!$G$3),I478,C478)</f>
        <v>-17</v>
      </c>
      <c r="O478" s="611">
        <f>+IF(OR($Q478=Parametres!$G$2,$Q478=Parametres!$G$3),J478,D478)</f>
        <v>0</v>
      </c>
      <c r="P478" s="611">
        <f>+IF(OR($Q478=Parametres!$G$2,$Q478=Parametres!$G$3),K478,E478)</f>
        <v>-17</v>
      </c>
      <c r="Q478" s="610" t="str">
        <f t="shared" si="30"/>
        <v>10-Compte compteur</v>
      </c>
      <c r="R478" s="609" t="str">
        <f t="shared" si="31"/>
        <v>4137</v>
      </c>
      <c r="S478" s="610">
        <f t="shared" si="32"/>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945</v>
      </c>
      <c r="B479" s="950" t="s">
        <v>946</v>
      </c>
      <c r="C479" s="951"/>
      <c r="D479" s="951"/>
      <c r="E479" s="951"/>
      <c r="F479" s="950" t="s">
        <v>7</v>
      </c>
      <c r="G479" s="950" t="s">
        <v>944</v>
      </c>
      <c r="H479" s="951"/>
      <c r="I479" s="952">
        <v>-40</v>
      </c>
      <c r="J479" s="952">
        <v>-2</v>
      </c>
      <c r="K479" s="952">
        <v>-42</v>
      </c>
      <c r="L479" s="609" t="str">
        <f t="shared" si="33"/>
        <v>4139@</v>
      </c>
      <c r="M479" s="610" t="str">
        <f t="shared" si="17"/>
        <v>VENTES A PARK AVENUE LOCATION</v>
      </c>
      <c r="N479" s="611">
        <f>+IF(OR($Q479=Parametres!$G$2,$Q479=Parametres!$G$3),I479,C479)</f>
        <v>-40</v>
      </c>
      <c r="O479" s="611">
        <f>+IF(OR($Q479=Parametres!$G$2,$Q479=Parametres!$G$3),J479,D479)</f>
        <v>-2</v>
      </c>
      <c r="P479" s="611">
        <f>+IF(OR($Q479=Parametres!$G$2,$Q479=Parametres!$G$3),K479,E479)</f>
        <v>-42</v>
      </c>
      <c r="Q479" s="610" t="str">
        <f t="shared" si="30"/>
        <v>10-Compte compteur</v>
      </c>
      <c r="R479" s="609" t="str">
        <f t="shared" si="31"/>
        <v>4139</v>
      </c>
      <c r="S479" s="610">
        <f t="shared" si="32"/>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949</v>
      </c>
      <c r="B480" s="950" t="s">
        <v>950</v>
      </c>
      <c r="C480" s="951"/>
      <c r="D480" s="951"/>
      <c r="E480" s="951"/>
      <c r="F480" s="950" t="s">
        <v>7</v>
      </c>
      <c r="G480" s="950" t="s">
        <v>948</v>
      </c>
      <c r="H480" s="951"/>
      <c r="I480" s="952">
        <v>-20</v>
      </c>
      <c r="J480" s="952">
        <v>0</v>
      </c>
      <c r="K480" s="952">
        <v>-20</v>
      </c>
      <c r="L480" s="609" t="str">
        <f t="shared" si="33"/>
        <v>4144@</v>
      </c>
      <c r="M480" s="610" t="str">
        <f t="shared" si="17"/>
        <v># OF VTES -JETTA GLI</v>
      </c>
      <c r="N480" s="611">
        <f>+IF(OR($Q480=Parametres!$G$2,$Q480=Parametres!$G$3),I480,C480)</f>
        <v>-20</v>
      </c>
      <c r="O480" s="611">
        <f>+IF(OR($Q480=Parametres!$G$2,$Q480=Parametres!$G$3),J480,D480)</f>
        <v>0</v>
      </c>
      <c r="P480" s="611">
        <f>+IF(OR($Q480=Parametres!$G$2,$Q480=Parametres!$G$3),K480,E480)</f>
        <v>-20</v>
      </c>
      <c r="Q480" s="610" t="str">
        <f t="shared" si="30"/>
        <v>10-Compte compteur</v>
      </c>
      <c r="R480" s="609" t="str">
        <f t="shared" si="31"/>
        <v>414</v>
      </c>
      <c r="S480" s="610">
        <f t="shared" si="32"/>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953</v>
      </c>
      <c r="B481" s="950" t="s">
        <v>954</v>
      </c>
      <c r="C481" s="951"/>
      <c r="D481" s="951"/>
      <c r="E481" s="951"/>
      <c r="F481" s="950" t="s">
        <v>7</v>
      </c>
      <c r="G481" s="950" t="s">
        <v>952</v>
      </c>
      <c r="H481" s="951"/>
      <c r="I481" s="952">
        <v>-346</v>
      </c>
      <c r="J481" s="952">
        <v>-24</v>
      </c>
      <c r="K481" s="952">
        <v>-370</v>
      </c>
      <c r="L481" s="609" t="str">
        <f t="shared" si="33"/>
        <v>4201@</v>
      </c>
      <c r="M481" s="610" t="str">
        <f t="shared" si="17"/>
        <v># DE VTE - VEH.USAGE VW DET.CERT.</v>
      </c>
      <c r="N481" s="611">
        <f>+IF(OR($Q481=Parametres!$G$2,$Q481=Parametres!$G$3),I481,C481)</f>
        <v>-346</v>
      </c>
      <c r="O481" s="611">
        <f>+IF(OR($Q481=Parametres!$G$2,$Q481=Parametres!$G$3),J481,D481)</f>
        <v>-24</v>
      </c>
      <c r="P481" s="611">
        <f>+IF(OR($Q481=Parametres!$G$2,$Q481=Parametres!$G$3),K481,E481)</f>
        <v>-370</v>
      </c>
      <c r="Q481" s="610" t="str">
        <f t="shared" si="30"/>
        <v>10-Compte compteur</v>
      </c>
      <c r="R481" s="609" t="str">
        <f t="shared" si="31"/>
        <v>4201</v>
      </c>
      <c r="S481" s="610">
        <f t="shared" si="32"/>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957</v>
      </c>
      <c r="B482" s="950" t="s">
        <v>958</v>
      </c>
      <c r="C482" s="951"/>
      <c r="D482" s="951"/>
      <c r="E482" s="951"/>
      <c r="F482" s="950" t="s">
        <v>7</v>
      </c>
      <c r="G482" s="950" t="s">
        <v>956</v>
      </c>
      <c r="H482" s="951"/>
      <c r="I482" s="952">
        <v>0</v>
      </c>
      <c r="J482" s="952">
        <v>-1</v>
      </c>
      <c r="K482" s="952">
        <v>-1</v>
      </c>
      <c r="L482" s="609" t="str">
        <f t="shared" si="33"/>
        <v>4211@</v>
      </c>
      <c r="M482" s="610" t="str">
        <f t="shared" si="17"/>
        <v>VENTES USED DET. CHAMBLY</v>
      </c>
      <c r="N482" s="611">
        <f>+IF(OR($Q482=Parametres!$G$2,$Q482=Parametres!$G$3),I482,C482)</f>
        <v>0</v>
      </c>
      <c r="O482" s="611">
        <f>+IF(OR($Q482=Parametres!$G$2,$Q482=Parametres!$G$3),J482,D482)</f>
        <v>-1</v>
      </c>
      <c r="P482" s="611">
        <f>+IF(OR($Q482=Parametres!$G$2,$Q482=Parametres!$G$3),K482,E482)</f>
        <v>-1</v>
      </c>
      <c r="Q482" s="610" t="str">
        <f t="shared" si="30"/>
        <v>10-Compte compteur</v>
      </c>
      <c r="R482" s="609" t="str">
        <f t="shared" si="31"/>
        <v>4211</v>
      </c>
      <c r="S482" s="610">
        <f t="shared" si="32"/>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961</v>
      </c>
      <c r="B483" s="950" t="s">
        <v>962</v>
      </c>
      <c r="C483" s="951"/>
      <c r="D483" s="951"/>
      <c r="E483" s="951"/>
      <c r="F483" s="950" t="s">
        <v>7</v>
      </c>
      <c r="G483" s="950" t="s">
        <v>960</v>
      </c>
      <c r="H483" s="951"/>
      <c r="I483" s="952">
        <v>-10</v>
      </c>
      <c r="J483" s="952">
        <v>0</v>
      </c>
      <c r="K483" s="952">
        <v>-10</v>
      </c>
      <c r="L483" s="609" t="str">
        <f t="shared" si="33"/>
        <v>4285@</v>
      </c>
      <c r="M483" s="610" t="str">
        <f t="shared" si="17"/>
        <v>AUTRE MARQUES DETAIL - USAGE</v>
      </c>
      <c r="N483" s="611">
        <f>+IF(OR($Q483=Parametres!$G$2,$Q483=Parametres!$G$3),I483,C483)</f>
        <v>-10</v>
      </c>
      <c r="O483" s="611">
        <f>+IF(OR($Q483=Parametres!$G$2,$Q483=Parametres!$G$3),J483,D483)</f>
        <v>0</v>
      </c>
      <c r="P483" s="611">
        <f>+IF(OR($Q483=Parametres!$G$2,$Q483=Parametres!$G$3),K483,E483)</f>
        <v>-10</v>
      </c>
      <c r="Q483" s="610" t="str">
        <f t="shared" si="30"/>
        <v>10-Compte compteur</v>
      </c>
      <c r="R483" s="609" t="str">
        <f t="shared" si="31"/>
        <v>4261</v>
      </c>
      <c r="S483" s="610">
        <f t="shared" si="32"/>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965</v>
      </c>
      <c r="B484" s="950" t="s">
        <v>966</v>
      </c>
      <c r="C484" s="951"/>
      <c r="D484" s="951"/>
      <c r="E484" s="951"/>
      <c r="F484" s="950" t="s">
        <v>7</v>
      </c>
      <c r="G484" s="950" t="s">
        <v>964</v>
      </c>
      <c r="H484" s="951"/>
      <c r="I484" s="952">
        <v>-324</v>
      </c>
      <c r="J484" s="952">
        <v>-31</v>
      </c>
      <c r="K484" s="952">
        <v>-355</v>
      </c>
      <c r="L484" s="609" t="str">
        <f t="shared" si="33"/>
        <v>4291@</v>
      </c>
      <c r="M484" s="610" t="str">
        <f t="shared" si="17"/>
        <v>VENTE AU GROS - USAGES</v>
      </c>
      <c r="N484" s="611">
        <f>+IF(OR($Q484=Parametres!$G$2,$Q484=Parametres!$G$3),I484,C484)</f>
        <v>-324</v>
      </c>
      <c r="O484" s="611">
        <f>+IF(OR($Q484=Parametres!$G$2,$Q484=Parametres!$G$3),J484,D484)</f>
        <v>-31</v>
      </c>
      <c r="P484" s="611">
        <f>+IF(OR($Q484=Parametres!$G$2,$Q484=Parametres!$G$3),K484,E484)</f>
        <v>-355</v>
      </c>
      <c r="Q484" s="610" t="str">
        <f t="shared" si="30"/>
        <v>10-Compte compteur</v>
      </c>
      <c r="R484" s="609" t="str">
        <f t="shared" si="31"/>
        <v>4281</v>
      </c>
      <c r="S484" s="610">
        <f t="shared" si="3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3615</v>
      </c>
      <c r="B485" s="950" t="s">
        <v>969</v>
      </c>
      <c r="C485" s="951"/>
      <c r="D485" s="951"/>
      <c r="E485" s="951"/>
      <c r="F485" s="950" t="s">
        <v>7</v>
      </c>
      <c r="G485" s="950" t="s">
        <v>968</v>
      </c>
      <c r="H485" s="951"/>
      <c r="I485" s="952">
        <v>-5411</v>
      </c>
      <c r="J485" s="952">
        <v>-370</v>
      </c>
      <c r="K485" s="952">
        <v>-5781</v>
      </c>
      <c r="L485" s="609" t="str">
        <f t="shared" si="33"/>
        <v>4401@</v>
      </c>
      <c r="M485" s="610" t="str">
        <f t="shared" si="17"/>
        <v>MAIN-D'OEUVRE - CLIENT VW - MCI</v>
      </c>
      <c r="N485" s="611">
        <f>+IF(OR($Q485=Parametres!$G$2,$Q485=Parametres!$G$3),I485,C485)</f>
        <v>-5411</v>
      </c>
      <c r="O485" s="611">
        <f>+IF(OR($Q485=Parametres!$G$2,$Q485=Parametres!$G$3),J485,D485)</f>
        <v>-370</v>
      </c>
      <c r="P485" s="611">
        <f>+IF(OR($Q485=Parametres!$G$2,$Q485=Parametres!$G$3),K485,E485)</f>
        <v>-5781</v>
      </c>
      <c r="Q485" s="610" t="str">
        <f t="shared" si="30"/>
        <v>10-Compte compteur</v>
      </c>
      <c r="R485" s="609" t="str">
        <f t="shared" si="31"/>
        <v>4401</v>
      </c>
      <c r="S485" s="610">
        <f t="shared" si="32"/>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3616</v>
      </c>
      <c r="B486" s="950" t="s">
        <v>974</v>
      </c>
      <c r="C486" s="951"/>
      <c r="D486" s="951"/>
      <c r="E486" s="951"/>
      <c r="F486" s="950" t="s">
        <v>7</v>
      </c>
      <c r="G486" s="950" t="s">
        <v>973</v>
      </c>
      <c r="H486" s="951"/>
      <c r="I486" s="952">
        <v>-2534</v>
      </c>
      <c r="J486" s="952">
        <v>-144</v>
      </c>
      <c r="K486" s="952">
        <v>-2678</v>
      </c>
      <c r="L486" s="609" t="str">
        <f t="shared" si="33"/>
        <v>4403@</v>
      </c>
      <c r="M486" s="610" t="str">
        <f t="shared" si="17"/>
        <v>MAIN-D'OEUVRE - GARANTIE VW - MCI</v>
      </c>
      <c r="N486" s="611">
        <f>+IF(OR($Q486=Parametres!$G$2,$Q486=Parametres!$G$3),I486,C486)</f>
        <v>-2534</v>
      </c>
      <c r="O486" s="611">
        <f>+IF(OR($Q486=Parametres!$G$2,$Q486=Parametres!$G$3),J486,D486)</f>
        <v>-144</v>
      </c>
      <c r="P486" s="611">
        <f>+IF(OR($Q486=Parametres!$G$2,$Q486=Parametres!$G$3),K486,E486)</f>
        <v>-2678</v>
      </c>
      <c r="Q486" s="610" t="str">
        <f t="shared" si="30"/>
        <v>10-Compte compteur</v>
      </c>
      <c r="R486" s="609" t="str">
        <f t="shared" si="31"/>
        <v>4403</v>
      </c>
      <c r="S486" s="610">
        <f t="shared" si="32"/>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3617</v>
      </c>
      <c r="B487" s="950" t="s">
        <v>977</v>
      </c>
      <c r="C487" s="951"/>
      <c r="D487" s="951"/>
      <c r="E487" s="951"/>
      <c r="F487" s="950" t="s">
        <v>7</v>
      </c>
      <c r="G487" s="950" t="s">
        <v>976</v>
      </c>
      <c r="H487" s="951"/>
      <c r="I487" s="952">
        <v>-2104</v>
      </c>
      <c r="J487" s="952">
        <v>-196</v>
      </c>
      <c r="K487" s="952">
        <v>-2300</v>
      </c>
      <c r="L487" s="609" t="str">
        <f t="shared" si="33"/>
        <v>4405@</v>
      </c>
      <c r="M487" s="610" t="str">
        <f t="shared" si="17"/>
        <v>MAIN-D'OEUVRE - INTERNE VW - MCI</v>
      </c>
      <c r="N487" s="611">
        <f>+IF(OR($Q487=Parametres!$G$2,$Q487=Parametres!$G$3),I487,C487)</f>
        <v>-2104</v>
      </c>
      <c r="O487" s="611">
        <f>+IF(OR($Q487=Parametres!$G$2,$Q487=Parametres!$G$3),J487,D487)</f>
        <v>-196</v>
      </c>
      <c r="P487" s="611">
        <f>+IF(OR($Q487=Parametres!$G$2,$Q487=Parametres!$G$3),K487,E487)</f>
        <v>-2300</v>
      </c>
      <c r="Q487" s="610" t="str">
        <f t="shared" si="30"/>
        <v>10-Compte compteur</v>
      </c>
      <c r="R487" s="609" t="str">
        <f t="shared" si="31"/>
        <v>4405</v>
      </c>
      <c r="S487" s="610">
        <f t="shared" si="32"/>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978</v>
      </c>
      <c r="B488" s="950" t="s">
        <v>980</v>
      </c>
      <c r="C488" s="951"/>
      <c r="D488" s="951"/>
      <c r="E488" s="951"/>
      <c r="F488" s="950" t="s">
        <v>7</v>
      </c>
      <c r="G488" s="950" t="s">
        <v>979</v>
      </c>
      <c r="H488" s="951"/>
      <c r="I488" s="952">
        <v>-4088</v>
      </c>
      <c r="J488" s="952">
        <v>-291</v>
      </c>
      <c r="K488" s="952">
        <v>-4379</v>
      </c>
      <c r="L488" s="609" t="str">
        <f t="shared" si="33"/>
        <v>4451@</v>
      </c>
      <c r="M488" s="610" t="str">
        <f t="shared" si="17"/>
        <v>CARBURANT/HUILE/GRAISSE</v>
      </c>
      <c r="N488" s="611">
        <f>+IF(OR($Q488=Parametres!$G$2,$Q488=Parametres!$G$3),I488,C488)</f>
        <v>-4088</v>
      </c>
      <c r="O488" s="611">
        <f>+IF(OR($Q488=Parametres!$G$2,$Q488=Parametres!$G$3),J488,D488)</f>
        <v>-291</v>
      </c>
      <c r="P488" s="611">
        <f>+IF(OR($Q488=Parametres!$G$2,$Q488=Parametres!$G$3),K488,E488)</f>
        <v>-4379</v>
      </c>
      <c r="Q488" s="610" t="str">
        <f t="shared" si="30"/>
        <v>10-Compte compteur</v>
      </c>
      <c r="R488" s="609" t="str">
        <f t="shared" si="31"/>
        <v>4782</v>
      </c>
      <c r="S488" s="610">
        <f t="shared" si="32"/>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981</v>
      </c>
      <c r="B489" s="950" t="s">
        <v>983</v>
      </c>
      <c r="C489" s="951"/>
      <c r="D489" s="951"/>
      <c r="E489" s="951"/>
      <c r="F489" s="950" t="s">
        <v>7</v>
      </c>
      <c r="G489" s="950" t="s">
        <v>982</v>
      </c>
      <c r="H489" s="951"/>
      <c r="I489" s="952">
        <v>-110</v>
      </c>
      <c r="J489" s="952">
        <v>-8</v>
      </c>
      <c r="K489" s="952">
        <v>-118</v>
      </c>
      <c r="L489" s="609" t="str">
        <f t="shared" si="33"/>
        <v>4491@</v>
      </c>
      <c r="M489" s="610" t="str">
        <f t="shared" si="17"/>
        <v>REPARATION SOUS-LOC. - GENERAL</v>
      </c>
      <c r="N489" s="611">
        <f>+IF(OR($Q489=Parametres!$G$2,$Q489=Parametres!$G$3),I489,C489)</f>
        <v>-110</v>
      </c>
      <c r="O489" s="611">
        <f>+IF(OR($Q489=Parametres!$G$2,$Q489=Parametres!$G$3),J489,D489)</f>
        <v>-8</v>
      </c>
      <c r="P489" s="611">
        <f>+IF(OR($Q489=Parametres!$G$2,$Q489=Parametres!$G$3),K489,E489)</f>
        <v>-118</v>
      </c>
      <c r="Q489" s="610" t="str">
        <f t="shared" si="30"/>
        <v>10-Compte compteur</v>
      </c>
      <c r="R489" s="609" t="str">
        <f t="shared" si="31"/>
        <v>4491</v>
      </c>
      <c r="S489" s="610">
        <f t="shared" si="32"/>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986</v>
      </c>
      <c r="B490" s="950" t="s">
        <v>987</v>
      </c>
      <c r="C490" s="951"/>
      <c r="D490" s="951"/>
      <c r="E490" s="951"/>
      <c r="F490" s="950" t="s">
        <v>7</v>
      </c>
      <c r="G490" s="950" t="s">
        <v>985</v>
      </c>
      <c r="H490" s="951"/>
      <c r="I490" s="952">
        <v>-30</v>
      </c>
      <c r="J490" s="952">
        <v>-4</v>
      </c>
      <c r="K490" s="952">
        <v>-34</v>
      </c>
      <c r="L490" s="609" t="str">
        <f t="shared" si="33"/>
        <v>4493@</v>
      </c>
      <c r="M490" s="610" t="str">
        <f t="shared" si="17"/>
        <v># DE VTE - SOUS-TRAITANCE GARANTIE</v>
      </c>
      <c r="N490" s="611">
        <f>+IF(OR($Q490=Parametres!$G$2,$Q490=Parametres!$G$3),I490,C490)</f>
        <v>-30</v>
      </c>
      <c r="O490" s="611">
        <f>+IF(OR($Q490=Parametres!$G$2,$Q490=Parametres!$G$3),J490,D490)</f>
        <v>-4</v>
      </c>
      <c r="P490" s="611">
        <f>+IF(OR($Q490=Parametres!$G$2,$Q490=Parametres!$G$3),K490,E490)</f>
        <v>-34</v>
      </c>
      <c r="Q490" s="610" t="str">
        <f t="shared" si="30"/>
        <v>10-Compte compteur</v>
      </c>
      <c r="R490" s="609" t="str">
        <f t="shared" si="31"/>
        <v>4493</v>
      </c>
      <c r="S490" s="610">
        <f t="shared" si="32"/>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990</v>
      </c>
      <c r="B491" s="950" t="s">
        <v>991</v>
      </c>
      <c r="C491" s="951"/>
      <c r="D491" s="951"/>
      <c r="E491" s="951"/>
      <c r="F491" s="950" t="s">
        <v>7</v>
      </c>
      <c r="G491" s="950" t="s">
        <v>989</v>
      </c>
      <c r="H491" s="951"/>
      <c r="I491" s="952">
        <v>-1020</v>
      </c>
      <c r="J491" s="952">
        <v>-51</v>
      </c>
      <c r="K491" s="952">
        <v>-1071</v>
      </c>
      <c r="L491" s="609" t="str">
        <f t="shared" si="33"/>
        <v>4495@</v>
      </c>
      <c r="M491" s="610" t="str">
        <f t="shared" si="17"/>
        <v># DE VTE - S-TRAITANCE MEC.INTERNE VW</v>
      </c>
      <c r="N491" s="611">
        <f>+IF(OR($Q491=Parametres!$G$2,$Q491=Parametres!$G$3),I491,C491)</f>
        <v>-1020</v>
      </c>
      <c r="O491" s="611">
        <f>+IF(OR($Q491=Parametres!$G$2,$Q491=Parametres!$G$3),J491,D491)</f>
        <v>-51</v>
      </c>
      <c r="P491" s="611">
        <f>+IF(OR($Q491=Parametres!$G$2,$Q491=Parametres!$G$3),K491,E491)</f>
        <v>-1071</v>
      </c>
      <c r="Q491" s="610" t="str">
        <f t="shared" si="30"/>
        <v>10-Compte compteur</v>
      </c>
      <c r="R491" s="609" t="str">
        <f t="shared" si="31"/>
        <v>4495</v>
      </c>
      <c r="S491" s="610">
        <f t="shared" si="32"/>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993</v>
      </c>
      <c r="B492" s="950" t="s">
        <v>994</v>
      </c>
      <c r="C492" s="951"/>
      <c r="D492" s="951"/>
      <c r="E492" s="951"/>
      <c r="F492" s="950" t="s">
        <v>7</v>
      </c>
      <c r="G492" s="950" t="s">
        <v>3278</v>
      </c>
      <c r="H492" s="951"/>
      <c r="I492" s="952">
        <v>-100</v>
      </c>
      <c r="J492" s="952">
        <v>0</v>
      </c>
      <c r="K492" s="952">
        <v>-100</v>
      </c>
      <c r="L492" s="609" t="str">
        <f t="shared" si="33"/>
        <v>4503@</v>
      </c>
      <c r="M492" s="610" t="str">
        <f t="shared" si="17"/>
        <v># DE VTE - M.O. CARROS.GARANTIE</v>
      </c>
      <c r="N492" s="611">
        <f>+IF(OR($Q492=Parametres!$G$2,$Q492=Parametres!$G$3),I492,C492)</f>
        <v>-100</v>
      </c>
      <c r="O492" s="611">
        <f>+IF(OR($Q492=Parametres!$G$2,$Q492=Parametres!$G$3),J492,D492)</f>
        <v>0</v>
      </c>
      <c r="P492" s="611">
        <f>+IF(OR($Q492=Parametres!$G$2,$Q492=Parametres!$G$3),K492,E492)</f>
        <v>-100</v>
      </c>
      <c r="Q492" s="610" t="str">
        <f t="shared" si="30"/>
        <v>10-Compte compteur</v>
      </c>
      <c r="R492" s="609" t="str">
        <f t="shared" si="31"/>
        <v>4503</v>
      </c>
      <c r="S492" s="610">
        <f t="shared" si="32"/>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997</v>
      </c>
      <c r="B493" s="950" t="s">
        <v>998</v>
      </c>
      <c r="C493" s="951"/>
      <c r="D493" s="951"/>
      <c r="E493" s="951"/>
      <c r="F493" s="950" t="s">
        <v>7</v>
      </c>
      <c r="G493" s="950" t="s">
        <v>996</v>
      </c>
      <c r="H493" s="951"/>
      <c r="I493" s="952">
        <v>-239</v>
      </c>
      <c r="J493" s="952">
        <v>-16</v>
      </c>
      <c r="K493" s="952">
        <v>-255</v>
      </c>
      <c r="L493" s="609" t="str">
        <f t="shared" si="33"/>
        <v>4591@</v>
      </c>
      <c r="M493" s="610" t="str">
        <f t="shared" si="17"/>
        <v>REPARATION SOUS-LOC.-PEINT/DEB</v>
      </c>
      <c r="N493" s="611">
        <f>+IF(OR($Q493=Parametres!$G$2,$Q493=Parametres!$G$3),I493,C493)</f>
        <v>-239</v>
      </c>
      <c r="O493" s="611">
        <f>+IF(OR($Q493=Parametres!$G$2,$Q493=Parametres!$G$3),J493,D493)</f>
        <v>-16</v>
      </c>
      <c r="P493" s="611">
        <f>+IF(OR($Q493=Parametres!$G$2,$Q493=Parametres!$G$3),K493,E493)</f>
        <v>-255</v>
      </c>
      <c r="Q493" s="610" t="str">
        <f t="shared" si="30"/>
        <v>10-Compte compteur</v>
      </c>
      <c r="R493" s="609" t="str">
        <f t="shared" si="31"/>
        <v>4591</v>
      </c>
      <c r="S493" s="610">
        <f t="shared" si="32"/>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1001</v>
      </c>
      <c r="B494" s="950" t="s">
        <v>1002</v>
      </c>
      <c r="C494" s="951"/>
      <c r="D494" s="951"/>
      <c r="E494" s="951"/>
      <c r="F494" s="950" t="s">
        <v>7</v>
      </c>
      <c r="G494" s="950" t="s">
        <v>1000</v>
      </c>
      <c r="H494" s="951"/>
      <c r="I494" s="952">
        <v>-277</v>
      </c>
      <c r="J494" s="952">
        <v>-17</v>
      </c>
      <c r="K494" s="952">
        <v>-294</v>
      </c>
      <c r="L494" s="609" t="str">
        <f t="shared" si="33"/>
        <v>4593@</v>
      </c>
      <c r="M494" s="610" t="str">
        <f t="shared" si="17"/>
        <v># DE VTE - S-TRAITANCE GAR.CARR.</v>
      </c>
      <c r="N494" s="611">
        <f>+IF(OR($Q494=Parametres!$G$2,$Q494=Parametres!$G$3),I494,C494)</f>
        <v>-277</v>
      </c>
      <c r="O494" s="611">
        <f>+IF(OR($Q494=Parametres!$G$2,$Q494=Parametres!$G$3),J494,D494)</f>
        <v>-17</v>
      </c>
      <c r="P494" s="611">
        <f>+IF(OR($Q494=Parametres!$G$2,$Q494=Parametres!$G$3),K494,E494)</f>
        <v>-294</v>
      </c>
      <c r="Q494" s="610" t="str">
        <f t="shared" si="30"/>
        <v>10-Compte compteur</v>
      </c>
      <c r="R494" s="609" t="str">
        <f t="shared" si="31"/>
        <v>4593</v>
      </c>
      <c r="S494" s="610">
        <f t="shared" si="3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1005</v>
      </c>
      <c r="B495" s="950" t="s">
        <v>1006</v>
      </c>
      <c r="C495" s="951"/>
      <c r="D495" s="951"/>
      <c r="E495" s="951"/>
      <c r="F495" s="950" t="s">
        <v>7</v>
      </c>
      <c r="G495" s="950" t="s">
        <v>1004</v>
      </c>
      <c r="H495" s="951"/>
      <c r="I495" s="952">
        <v>-147</v>
      </c>
      <c r="J495" s="952">
        <v>-8</v>
      </c>
      <c r="K495" s="952">
        <v>-155</v>
      </c>
      <c r="L495" s="609" t="str">
        <f t="shared" si="33"/>
        <v>4595@</v>
      </c>
      <c r="M495" s="610" t="str">
        <f t="shared" si="17"/>
        <v># DE VTE - S-TRAIT.INTERNE CARR.</v>
      </c>
      <c r="N495" s="611">
        <f>+IF(OR($Q495=Parametres!$G$2,$Q495=Parametres!$G$3),I495,C495)</f>
        <v>-147</v>
      </c>
      <c r="O495" s="611">
        <f>+IF(OR($Q495=Parametres!$G$2,$Q495=Parametres!$G$3),J495,D495)</f>
        <v>-8</v>
      </c>
      <c r="P495" s="611">
        <f>+IF(OR($Q495=Parametres!$G$2,$Q495=Parametres!$G$3),K495,E495)</f>
        <v>-155</v>
      </c>
      <c r="Q495" s="610" t="str">
        <f t="shared" si="30"/>
        <v>10-Compte compteur</v>
      </c>
      <c r="R495" s="609" t="str">
        <f t="shared" si="31"/>
        <v>4595</v>
      </c>
      <c r="S495" s="610">
        <f t="shared" si="32"/>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3618</v>
      </c>
      <c r="B496" s="950" t="s">
        <v>1010</v>
      </c>
      <c r="C496" s="951"/>
      <c r="D496" s="951"/>
      <c r="E496" s="951"/>
      <c r="F496" s="950" t="s">
        <v>7</v>
      </c>
      <c r="G496" s="950" t="s">
        <v>1008</v>
      </c>
      <c r="H496" s="951"/>
      <c r="I496" s="952">
        <v>-5061</v>
      </c>
      <c r="J496" s="952">
        <v>-333</v>
      </c>
      <c r="K496" s="952">
        <v>-5394</v>
      </c>
      <c r="L496" s="609" t="str">
        <f t="shared" si="33"/>
        <v>4701@</v>
      </c>
      <c r="M496" s="610" t="str">
        <f t="shared" si="17"/>
        <v>VW P&amp;A - BR - CLIENT - MCI</v>
      </c>
      <c r="N496" s="611">
        <f>+IF(OR($Q496=Parametres!$G$2,$Q496=Parametres!$G$3),I496,C496)</f>
        <v>-5061</v>
      </c>
      <c r="O496" s="611">
        <f>+IF(OR($Q496=Parametres!$G$2,$Q496=Parametres!$G$3),J496,D496)</f>
        <v>-333</v>
      </c>
      <c r="P496" s="611">
        <f>+IF(OR($Q496=Parametres!$G$2,$Q496=Parametres!$G$3),K496,E496)</f>
        <v>-5394</v>
      </c>
      <c r="Q496" s="610" t="str">
        <f t="shared" si="30"/>
        <v>10-Compte compteur</v>
      </c>
      <c r="R496" s="609" t="str">
        <f t="shared" si="31"/>
        <v>4701</v>
      </c>
      <c r="S496" s="610">
        <f t="shared" si="32"/>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3619</v>
      </c>
      <c r="B497" s="950" t="s">
        <v>1016</v>
      </c>
      <c r="C497" s="951"/>
      <c r="D497" s="951"/>
      <c r="E497" s="951"/>
      <c r="F497" s="950" t="s">
        <v>7</v>
      </c>
      <c r="G497" s="950" t="s">
        <v>1014</v>
      </c>
      <c r="H497" s="951"/>
      <c r="I497" s="952">
        <v>-1417</v>
      </c>
      <c r="J497" s="952">
        <v>-99</v>
      </c>
      <c r="K497" s="952">
        <v>-1516</v>
      </c>
      <c r="L497" s="609" t="str">
        <f t="shared" si="33"/>
        <v>4703@</v>
      </c>
      <c r="M497" s="610" t="str">
        <f t="shared" si="17"/>
        <v>VW P&amp;A - BR - GARANTIE - MCI</v>
      </c>
      <c r="N497" s="611">
        <f>+IF(OR($Q497=Parametres!$G$2,$Q497=Parametres!$G$3),I497,C497)</f>
        <v>-1417</v>
      </c>
      <c r="O497" s="611">
        <f>+IF(OR($Q497=Parametres!$G$2,$Q497=Parametres!$G$3),J497,D497)</f>
        <v>-99</v>
      </c>
      <c r="P497" s="611">
        <f>+IF(OR($Q497=Parametres!$G$2,$Q497=Parametres!$G$3),K497,E497)</f>
        <v>-1516</v>
      </c>
      <c r="Q497" s="610" t="str">
        <f t="shared" si="30"/>
        <v>10-Compte compteur</v>
      </c>
      <c r="R497" s="609" t="str">
        <f t="shared" si="31"/>
        <v>4703</v>
      </c>
      <c r="S497" s="610">
        <f t="shared" si="32"/>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3620</v>
      </c>
      <c r="B498" s="950" t="s">
        <v>1020</v>
      </c>
      <c r="C498" s="951"/>
      <c r="D498" s="951"/>
      <c r="E498" s="951"/>
      <c r="F498" s="950" t="s">
        <v>7</v>
      </c>
      <c r="G498" s="950" t="s">
        <v>1018</v>
      </c>
      <c r="H498" s="951"/>
      <c r="I498" s="952">
        <v>-2298</v>
      </c>
      <c r="J498" s="952">
        <v>-218</v>
      </c>
      <c r="K498" s="952">
        <v>-2516</v>
      </c>
      <c r="L498" s="609" t="str">
        <f t="shared" si="33"/>
        <v>4705@</v>
      </c>
      <c r="M498" s="610" t="str">
        <f t="shared" si="17"/>
        <v>VW P&amp;A - BR - INTERNE - MCI</v>
      </c>
      <c r="N498" s="611">
        <f>+IF(OR($Q498=Parametres!$G$2,$Q498=Parametres!$G$3),I498,C498)</f>
        <v>-2298</v>
      </c>
      <c r="O498" s="611">
        <f>+IF(OR($Q498=Parametres!$G$2,$Q498=Parametres!$G$3),J498,D498)</f>
        <v>-218</v>
      </c>
      <c r="P498" s="611">
        <f>+IF(OR($Q498=Parametres!$G$2,$Q498=Parametres!$G$3),K498,E498)</f>
        <v>-2516</v>
      </c>
      <c r="Q498" s="610" t="str">
        <f t="shared" si="30"/>
        <v>10-Compte compteur</v>
      </c>
      <c r="R498" s="609" t="str">
        <f t="shared" si="31"/>
        <v>4705</v>
      </c>
      <c r="S498" s="610">
        <f t="shared" si="32"/>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1024</v>
      </c>
      <c r="B499" s="950" t="s">
        <v>1025</v>
      </c>
      <c r="C499" s="951"/>
      <c r="D499" s="951"/>
      <c r="E499" s="951"/>
      <c r="F499" s="950" t="s">
        <v>7</v>
      </c>
      <c r="G499" s="950" t="s">
        <v>1023</v>
      </c>
      <c r="H499" s="951"/>
      <c r="I499" s="952">
        <v>-1724</v>
      </c>
      <c r="J499" s="952">
        <v>-135</v>
      </c>
      <c r="K499" s="952">
        <v>-1859</v>
      </c>
      <c r="L499" s="609" t="str">
        <f t="shared" si="33"/>
        <v>4711@</v>
      </c>
      <c r="M499" s="610" t="str">
        <f t="shared" si="17"/>
        <v># DE VTE - P&amp;A B.T. CLIENT AUDI</v>
      </c>
      <c r="N499" s="611">
        <f>+IF(OR($Q499=Parametres!$G$2,$Q499=Parametres!$G$3),I499,C499)</f>
        <v>-1724</v>
      </c>
      <c r="O499" s="611">
        <f>+IF(OR($Q499=Parametres!$G$2,$Q499=Parametres!$G$3),J499,D499)</f>
        <v>-135</v>
      </c>
      <c r="P499" s="611">
        <f>+IF(OR($Q499=Parametres!$G$2,$Q499=Parametres!$G$3),K499,E499)</f>
        <v>-1859</v>
      </c>
      <c r="Q499" s="610" t="str">
        <f t="shared" si="30"/>
        <v>10-Compte compteur</v>
      </c>
      <c r="R499" s="609" t="str">
        <f t="shared" si="31"/>
        <v>84711</v>
      </c>
      <c r="S499" s="610">
        <f t="shared" si="32"/>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1027</v>
      </c>
      <c r="B500" s="950" t="s">
        <v>1028</v>
      </c>
      <c r="C500" s="951"/>
      <c r="D500" s="951"/>
      <c r="E500" s="951"/>
      <c r="F500" s="950" t="s">
        <v>7</v>
      </c>
      <c r="G500" s="950" t="s">
        <v>1029</v>
      </c>
      <c r="H500" s="951"/>
      <c r="I500" s="952">
        <v>-2</v>
      </c>
      <c r="J500" s="952">
        <v>0</v>
      </c>
      <c r="K500" s="952">
        <v>-2</v>
      </c>
      <c r="L500" s="609" t="str">
        <f t="shared" si="33"/>
        <v>4715@</v>
      </c>
      <c r="M500" s="610" t="str">
        <f t="shared" si="17"/>
        <v># DE VTE - P&amp;A B.T. INTERNE AUDI</v>
      </c>
      <c r="N500" s="611">
        <f>+IF(OR($Q500=Parametres!$G$2,$Q500=Parametres!$G$3),I500,C500)</f>
        <v>-2</v>
      </c>
      <c r="O500" s="611">
        <f>+IF(OR($Q500=Parametres!$G$2,$Q500=Parametres!$G$3),J500,D500)</f>
        <v>0</v>
      </c>
      <c r="P500" s="611">
        <f>+IF(OR($Q500=Parametres!$G$2,$Q500=Parametres!$G$3),K500,E500)</f>
        <v>-2</v>
      </c>
      <c r="Q500" s="610" t="str">
        <f t="shared" si="30"/>
        <v>10-Compte compteur</v>
      </c>
      <c r="R500" s="609" t="str">
        <f t="shared" si="31"/>
        <v>84715</v>
      </c>
      <c r="S500" s="610">
        <f t="shared" si="32"/>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1032</v>
      </c>
      <c r="B501" s="950" t="s">
        <v>1033</v>
      </c>
      <c r="C501" s="951"/>
      <c r="D501" s="951"/>
      <c r="E501" s="951"/>
      <c r="F501" s="950" t="s">
        <v>7</v>
      </c>
      <c r="G501" s="950" t="s">
        <v>1031</v>
      </c>
      <c r="H501" s="951"/>
      <c r="I501" s="952">
        <v>-100</v>
      </c>
      <c r="J501" s="952">
        <v>-8</v>
      </c>
      <c r="K501" s="952">
        <v>-108</v>
      </c>
      <c r="L501" s="609" t="str">
        <f t="shared" si="33"/>
        <v>4731@</v>
      </c>
      <c r="M501" s="610" t="str">
        <f t="shared" si="17"/>
        <v>PIECES-BON REPAR. PEINT/DEBOS</v>
      </c>
      <c r="N501" s="611">
        <f>+IF(OR($Q501=Parametres!$G$2,$Q501=Parametres!$G$3),I501,C501)</f>
        <v>-100</v>
      </c>
      <c r="O501" s="611">
        <f>+IF(OR($Q501=Parametres!$G$2,$Q501=Parametres!$G$3),J501,D501)</f>
        <v>-8</v>
      </c>
      <c r="P501" s="611">
        <f>+IF(OR($Q501=Parametres!$G$2,$Q501=Parametres!$G$3),K501,E501)</f>
        <v>-108</v>
      </c>
      <c r="Q501" s="610" t="str">
        <f t="shared" si="30"/>
        <v>10-Compte compteur</v>
      </c>
      <c r="R501" s="609" t="str">
        <f t="shared" si="31"/>
        <v>4731</v>
      </c>
      <c r="S501" s="610">
        <f t="shared" si="32"/>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1036</v>
      </c>
      <c r="B502" s="950" t="s">
        <v>1037</v>
      </c>
      <c r="C502" s="951"/>
      <c r="D502" s="951"/>
      <c r="E502" s="951"/>
      <c r="F502" s="950" t="s">
        <v>7</v>
      </c>
      <c r="G502" s="950" t="s">
        <v>1035</v>
      </c>
      <c r="H502" s="951"/>
      <c r="I502" s="952">
        <v>-227</v>
      </c>
      <c r="J502" s="952">
        <v>-15</v>
      </c>
      <c r="K502" s="952">
        <v>-242</v>
      </c>
      <c r="L502" s="609" t="str">
        <f t="shared" si="33"/>
        <v>4733@</v>
      </c>
      <c r="M502" s="610" t="str">
        <f t="shared" si="17"/>
        <v># DE VTE - P&amp;A B.T. GARANTIE CARR.</v>
      </c>
      <c r="N502" s="611">
        <f>+IF(OR($Q502=Parametres!$G$2,$Q502=Parametres!$G$3),I502,C502)</f>
        <v>-227</v>
      </c>
      <c r="O502" s="611">
        <f>+IF(OR($Q502=Parametres!$G$2,$Q502=Parametres!$G$3),J502,D502)</f>
        <v>-15</v>
      </c>
      <c r="P502" s="611">
        <f>+IF(OR($Q502=Parametres!$G$2,$Q502=Parametres!$G$3),K502,E502)</f>
        <v>-242</v>
      </c>
      <c r="Q502" s="610" t="str">
        <f t="shared" si="30"/>
        <v>10-Compte compteur</v>
      </c>
      <c r="R502" s="609" t="str">
        <f t="shared" si="31"/>
        <v>4733</v>
      </c>
      <c r="S502" s="610">
        <f t="shared" si="32"/>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1040</v>
      </c>
      <c r="B503" s="950" t="s">
        <v>1041</v>
      </c>
      <c r="C503" s="951"/>
      <c r="D503" s="951"/>
      <c r="E503" s="951"/>
      <c r="F503" s="950" t="s">
        <v>7</v>
      </c>
      <c r="G503" s="950" t="s">
        <v>1039</v>
      </c>
      <c r="H503" s="951"/>
      <c r="I503" s="952">
        <v>-53</v>
      </c>
      <c r="J503" s="952">
        <v>-2</v>
      </c>
      <c r="K503" s="952">
        <v>-55</v>
      </c>
      <c r="L503" s="609" t="str">
        <f t="shared" si="33"/>
        <v>4735@</v>
      </c>
      <c r="M503" s="610" t="str">
        <f t="shared" si="17"/>
        <v># DE VTE - P&amp;A B.T. INTERNE CARROS.</v>
      </c>
      <c r="N503" s="611">
        <f>+IF(OR($Q503=Parametres!$G$2,$Q503=Parametres!$G$3),I503,C503)</f>
        <v>-53</v>
      </c>
      <c r="O503" s="611">
        <f>+IF(OR($Q503=Parametres!$G$2,$Q503=Parametres!$G$3),J503,D503)</f>
        <v>-2</v>
      </c>
      <c r="P503" s="611">
        <f>+IF(OR($Q503=Parametres!$G$2,$Q503=Parametres!$G$3),K503,E503)</f>
        <v>-55</v>
      </c>
      <c r="Q503" s="610" t="str">
        <f t="shared" si="30"/>
        <v>10-Compte compteur</v>
      </c>
      <c r="R503" s="609" t="str">
        <f t="shared" si="31"/>
        <v>4735</v>
      </c>
      <c r="S503" s="610">
        <f t="shared" si="32"/>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1044</v>
      </c>
      <c r="B504" s="950" t="s">
        <v>1045</v>
      </c>
      <c r="C504" s="951"/>
      <c r="D504" s="951"/>
      <c r="E504" s="951"/>
      <c r="F504" s="950" t="s">
        <v>7</v>
      </c>
      <c r="G504" s="950" t="s">
        <v>1043</v>
      </c>
      <c r="H504" s="951"/>
      <c r="I504" s="952">
        <v>-1831</v>
      </c>
      <c r="J504" s="952">
        <v>-153</v>
      </c>
      <c r="K504" s="952">
        <v>-1984</v>
      </c>
      <c r="L504" s="609" t="str">
        <f t="shared" si="33"/>
        <v>4761@</v>
      </c>
      <c r="M504" s="610" t="str">
        <f t="shared" si="17"/>
        <v>PIECES-COMPTOIR-DETAIL</v>
      </c>
      <c r="N504" s="611">
        <f>+IF(OR($Q504=Parametres!$G$2,$Q504=Parametres!$G$3),I504,C504)</f>
        <v>-1831</v>
      </c>
      <c r="O504" s="611">
        <f>+IF(OR($Q504=Parametres!$G$2,$Q504=Parametres!$G$3),J504,D504)</f>
        <v>-153</v>
      </c>
      <c r="P504" s="611">
        <f>+IF(OR($Q504=Parametres!$G$2,$Q504=Parametres!$G$3),K504,E504)</f>
        <v>-1984</v>
      </c>
      <c r="Q504" s="610" t="str">
        <f t="shared" si="30"/>
        <v>10-Compte compteur</v>
      </c>
      <c r="R504" s="609" t="str">
        <f t="shared" si="31"/>
        <v>4761</v>
      </c>
      <c r="S504" s="610">
        <f t="shared" si="3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1048</v>
      </c>
      <c r="B505" s="950" t="s">
        <v>1049</v>
      </c>
      <c r="C505" s="951"/>
      <c r="D505" s="951"/>
      <c r="E505" s="951"/>
      <c r="F505" s="950" t="s">
        <v>7</v>
      </c>
      <c r="G505" s="950" t="s">
        <v>1047</v>
      </c>
      <c r="H505" s="951"/>
      <c r="I505" s="952">
        <v>-3151</v>
      </c>
      <c r="J505" s="952">
        <v>-267</v>
      </c>
      <c r="K505" s="952">
        <v>-3418</v>
      </c>
      <c r="L505" s="609" t="str">
        <f t="shared" si="33"/>
        <v>4763@</v>
      </c>
      <c r="M505" s="610" t="str">
        <f t="shared" si="17"/>
        <v>PIECES-COMPTOIR-COMM. GROS</v>
      </c>
      <c r="N505" s="611">
        <f>+IF(OR($Q505=Parametres!$G$2,$Q505=Parametres!$G$3),I505,C505)</f>
        <v>-3151</v>
      </c>
      <c r="O505" s="611">
        <f>+IF(OR($Q505=Parametres!$G$2,$Q505=Parametres!$G$3),J505,D505)</f>
        <v>-267</v>
      </c>
      <c r="P505" s="611">
        <f>+IF(OR($Q505=Parametres!$G$2,$Q505=Parametres!$G$3),K505,E505)</f>
        <v>-3418</v>
      </c>
      <c r="Q505" s="610" t="str">
        <f t="shared" si="30"/>
        <v>10-Compte compteur</v>
      </c>
      <c r="R505" s="609" t="str">
        <f t="shared" si="31"/>
        <v>4763</v>
      </c>
      <c r="S505" s="610">
        <f t="shared" si="32"/>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1050</v>
      </c>
      <c r="B506" s="950" t="s">
        <v>1052</v>
      </c>
      <c r="C506" s="951"/>
      <c r="D506" s="951"/>
      <c r="E506" s="951"/>
      <c r="F506" s="950" t="s">
        <v>7</v>
      </c>
      <c r="G506" s="950" t="s">
        <v>1051</v>
      </c>
      <c r="H506" s="951"/>
      <c r="I506" s="952">
        <v>-521</v>
      </c>
      <c r="J506" s="952">
        <v>-46</v>
      </c>
      <c r="K506" s="952">
        <v>-567</v>
      </c>
      <c r="L506" s="609" t="str">
        <f t="shared" si="33"/>
        <v>4781@</v>
      </c>
      <c r="M506" s="610" t="str">
        <f t="shared" si="17"/>
        <v>VENTES PNEUS</v>
      </c>
      <c r="N506" s="611">
        <f>+IF(OR($Q506=Parametres!$G$2,$Q506=Parametres!$G$3),I506,C506)</f>
        <v>-521</v>
      </c>
      <c r="O506" s="611">
        <f>+IF(OR($Q506=Parametres!$G$2,$Q506=Parametres!$G$3),J506,D506)</f>
        <v>-46</v>
      </c>
      <c r="P506" s="611">
        <f>+IF(OR($Q506=Parametres!$G$2,$Q506=Parametres!$G$3),K506,E506)</f>
        <v>-567</v>
      </c>
      <c r="Q506" s="610" t="str">
        <f t="shared" si="30"/>
        <v>10-Compte compteur</v>
      </c>
      <c r="R506" s="609" t="str">
        <f t="shared" si="31"/>
        <v>4781</v>
      </c>
      <c r="S506" s="610">
        <f t="shared" si="32"/>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1237</v>
      </c>
      <c r="B507" s="950" t="s">
        <v>1238</v>
      </c>
      <c r="C507" s="951"/>
      <c r="D507" s="951"/>
      <c r="E507" s="951"/>
      <c r="F507" s="950" t="s">
        <v>7</v>
      </c>
      <c r="G507" s="950" t="s">
        <v>1236</v>
      </c>
      <c r="H507" s="951"/>
      <c r="I507" s="952">
        <v>-50</v>
      </c>
      <c r="J507" s="952">
        <v>0</v>
      </c>
      <c r="K507" s="952">
        <v>-50</v>
      </c>
      <c r="L507" s="609" t="str">
        <f t="shared" si="33"/>
        <v>9161@</v>
      </c>
      <c r="M507" s="610" t="str">
        <f t="shared" si="17"/>
        <v>REV FINANCE ET ASS NEUF</v>
      </c>
      <c r="N507" s="611">
        <f>+IF(OR($Q507=Parametres!$G$2,$Q507=Parametres!$G$3),I507,C507)</f>
        <v>-50</v>
      </c>
      <c r="O507" s="611">
        <f>+IF(OR($Q507=Parametres!$G$2,$Q507=Parametres!$G$3),J507,D507)</f>
        <v>0</v>
      </c>
      <c r="P507" s="611">
        <f>+IF(OR($Q507=Parametres!$G$2,$Q507=Parametres!$G$3),K507,E507)</f>
        <v>-50</v>
      </c>
      <c r="Q507" s="610" t="str">
        <f t="shared" si="30"/>
        <v>10-Compte compteur</v>
      </c>
      <c r="R507" s="609" t="str">
        <f t="shared" si="31"/>
        <v>9161</v>
      </c>
      <c r="S507" s="610">
        <f t="shared" si="32"/>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1239</v>
      </c>
      <c r="B508" s="950" t="s">
        <v>1241</v>
      </c>
      <c r="C508" s="951"/>
      <c r="D508" s="951"/>
      <c r="E508" s="951"/>
      <c r="F508" s="950" t="s">
        <v>7</v>
      </c>
      <c r="G508" s="950" t="s">
        <v>1240</v>
      </c>
      <c r="H508" s="951"/>
      <c r="I508" s="952">
        <v>-233</v>
      </c>
      <c r="J508" s="952">
        <v>-11</v>
      </c>
      <c r="K508" s="952">
        <v>-244</v>
      </c>
      <c r="L508" s="609" t="str">
        <f t="shared" si="33"/>
        <v>9163@</v>
      </c>
      <c r="M508" s="610" t="str">
        <f t="shared" si="17"/>
        <v>RESERVE FIN ET ASS VEH OCCASION</v>
      </c>
      <c r="N508" s="611">
        <f>+IF(OR($Q508=Parametres!$G$2,$Q508=Parametres!$G$3),I508,C508)</f>
        <v>-233</v>
      </c>
      <c r="O508" s="611">
        <f>+IF(OR($Q508=Parametres!$G$2,$Q508=Parametres!$G$3),J508,D508)</f>
        <v>-11</v>
      </c>
      <c r="P508" s="611">
        <f>+IF(OR($Q508=Parametres!$G$2,$Q508=Parametres!$G$3),K508,E508)</f>
        <v>-244</v>
      </c>
      <c r="Q508" s="610" t="str">
        <f t="shared" si="30"/>
        <v>10-Compte compteur</v>
      </c>
      <c r="R508" s="609" t="str">
        <f t="shared" si="31"/>
        <v>9163</v>
      </c>
      <c r="S508" s="610">
        <f t="shared" si="32"/>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1252</v>
      </c>
      <c r="B509" s="950" t="s">
        <v>1253</v>
      </c>
      <c r="C509" s="951"/>
      <c r="D509" s="951"/>
      <c r="E509" s="951"/>
      <c r="F509" s="950" t="s">
        <v>7</v>
      </c>
      <c r="G509" s="950" t="s">
        <v>1240</v>
      </c>
      <c r="H509" s="951"/>
      <c r="I509" s="952">
        <v>-335</v>
      </c>
      <c r="J509" s="952">
        <v>-25</v>
      </c>
      <c r="K509" s="952">
        <v>-360</v>
      </c>
      <c r="L509" s="609" t="str">
        <f t="shared" si="33"/>
        <v>9172@</v>
      </c>
      <c r="M509" s="610" t="str">
        <f t="shared" si="17"/>
        <v># DE PROFIT PROTECTIONS - USAGES</v>
      </c>
      <c r="N509" s="611">
        <f>+IF(OR($Q509=Parametres!$G$2,$Q509=Parametres!$G$3),I509,C509)</f>
        <v>-335</v>
      </c>
      <c r="O509" s="611">
        <f>+IF(OR($Q509=Parametres!$G$2,$Q509=Parametres!$G$3),J509,D509)</f>
        <v>-25</v>
      </c>
      <c r="P509" s="611">
        <f>+IF(OR($Q509=Parametres!$G$2,$Q509=Parametres!$G$3),K509,E509)</f>
        <v>-360</v>
      </c>
      <c r="Q509" s="610" t="str">
        <f t="shared" si="30"/>
        <v>10-Compte compteur</v>
      </c>
      <c r="R509" s="609" t="str">
        <f t="shared" si="31"/>
        <v>9163</v>
      </c>
      <c r="S509" s="610">
        <f t="shared" si="32"/>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33"/>
        <v>0</v>
      </c>
      <c r="M510" s="610">
        <f t="shared" si="17"/>
        <v>0</v>
      </c>
      <c r="N510" s="611">
        <f>+IF(OR($Q510=Parametres!$G$2,$Q510=Parametres!$G$3),I510,C510)</f>
        <v>0</v>
      </c>
      <c r="O510" s="611">
        <f>+IF(OR($Q510=Parametres!$G$2,$Q510=Parametres!$G$3),J510,D510)</f>
        <v>0</v>
      </c>
      <c r="P510" s="611">
        <f>+IF(OR($Q510=Parametres!$G$2,$Q510=Parametres!$G$3),K510,E510)</f>
        <v>0</v>
      </c>
      <c r="Q510" s="610">
        <f t="shared" si="30"/>
        <v>0</v>
      </c>
      <c r="R510" s="609">
        <f t="shared" si="31"/>
        <v>0</v>
      </c>
      <c r="S510" s="610">
        <f t="shared" si="32"/>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33"/>
        <v>0</v>
      </c>
      <c r="M511" s="610">
        <f t="shared" si="17"/>
        <v>0</v>
      </c>
      <c r="N511" s="611">
        <f>+IF(OR($Q511=Parametres!$G$2,$Q511=Parametres!$G$3),I511,C511)</f>
        <v>0</v>
      </c>
      <c r="O511" s="611">
        <f>+IF(OR($Q511=Parametres!$G$2,$Q511=Parametres!$G$3),J511,D511)</f>
        <v>0</v>
      </c>
      <c r="P511" s="611">
        <f>+IF(OR($Q511=Parametres!$G$2,$Q511=Parametres!$G$3),K511,E511)</f>
        <v>0</v>
      </c>
      <c r="Q511" s="610">
        <f t="shared" si="30"/>
        <v>0</v>
      </c>
      <c r="R511" s="609">
        <f t="shared" si="31"/>
        <v>0</v>
      </c>
      <c r="S511" s="610">
        <f t="shared" si="32"/>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33"/>
        <v>0</v>
      </c>
      <c r="M512" s="610">
        <f t="shared" ref="M512:M766" si="34">+A512</f>
        <v>0</v>
      </c>
      <c r="N512" s="611">
        <f>+IF(OR($Q512=Parametres!$G$2,$Q512=Parametres!$G$3),I512,C512)</f>
        <v>0</v>
      </c>
      <c r="O512" s="611">
        <f>+IF(OR($Q512=Parametres!$G$2,$Q512=Parametres!$G$3),J512,D512)</f>
        <v>0</v>
      </c>
      <c r="P512" s="611">
        <f>+IF(OR($Q512=Parametres!$G$2,$Q512=Parametres!$G$3),K512,E512)</f>
        <v>0</v>
      </c>
      <c r="Q512" s="610">
        <f t="shared" si="30"/>
        <v>0</v>
      </c>
      <c r="R512" s="609">
        <f t="shared" si="31"/>
        <v>0</v>
      </c>
      <c r="S512" s="610">
        <f t="shared" si="32"/>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33"/>
        <v>0</v>
      </c>
      <c r="M513" s="610">
        <f t="shared" si="34"/>
        <v>0</v>
      </c>
      <c r="N513" s="611">
        <f>+IF(OR($Q513=Parametres!$G$2,$Q513=Parametres!$G$3),I513,C513)</f>
        <v>0</v>
      </c>
      <c r="O513" s="611">
        <f>+IF(OR($Q513=Parametres!$G$2,$Q513=Parametres!$G$3),J513,D513)</f>
        <v>0</v>
      </c>
      <c r="P513" s="611">
        <f>+IF(OR($Q513=Parametres!$G$2,$Q513=Parametres!$G$3),K513,E513)</f>
        <v>0</v>
      </c>
      <c r="Q513" s="610">
        <f t="shared" si="30"/>
        <v>0</v>
      </c>
      <c r="R513" s="609">
        <f t="shared" si="31"/>
        <v>0</v>
      </c>
      <c r="S513" s="610">
        <f t="shared" si="3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33"/>
        <v>0</v>
      </c>
      <c r="M514" s="610">
        <f t="shared" si="34"/>
        <v>0</v>
      </c>
      <c r="N514" s="611">
        <f>+IF(OR($Q514=Parametres!$G$2,$Q514=Parametres!$G$3),I514,C514)</f>
        <v>0</v>
      </c>
      <c r="O514" s="611">
        <f>+IF(OR($Q514=Parametres!$G$2,$Q514=Parametres!$G$3),J514,D514)</f>
        <v>0</v>
      </c>
      <c r="P514" s="611">
        <f>+IF(OR($Q514=Parametres!$G$2,$Q514=Parametres!$G$3),K514,E514)</f>
        <v>0</v>
      </c>
      <c r="Q514" s="610">
        <f t="shared" ref="Q514:Q577" si="35">+F514</f>
        <v>0</v>
      </c>
      <c r="R514" s="609">
        <f t="shared" ref="R514:R577" si="36">+G514</f>
        <v>0</v>
      </c>
      <c r="S514" s="610">
        <f t="shared" ref="S514:S577" si="37">+H514</f>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38">TEXT(B515,0)</f>
        <v>0</v>
      </c>
      <c r="M515" s="610">
        <f t="shared" si="34"/>
        <v>0</v>
      </c>
      <c r="N515" s="611">
        <f>+IF(OR($Q515=Parametres!$G$2,$Q515=Parametres!$G$3),I515,C515)</f>
        <v>0</v>
      </c>
      <c r="O515" s="611">
        <f>+IF(OR($Q515=Parametres!$G$2,$Q515=Parametres!$G$3),J515,D515)</f>
        <v>0</v>
      </c>
      <c r="P515" s="611">
        <f>+IF(OR($Q515=Parametres!$G$2,$Q515=Parametres!$G$3),K515,E515)</f>
        <v>0</v>
      </c>
      <c r="Q515" s="610">
        <f t="shared" si="35"/>
        <v>0</v>
      </c>
      <c r="R515" s="609">
        <f t="shared" si="36"/>
        <v>0</v>
      </c>
      <c r="S515" s="610">
        <f t="shared" si="37"/>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38"/>
        <v>0</v>
      </c>
      <c r="M516" s="610">
        <f t="shared" si="34"/>
        <v>0</v>
      </c>
      <c r="N516" s="611">
        <f>+IF(OR($Q516=Parametres!$G$2,$Q516=Parametres!$G$3),I516,C516)</f>
        <v>0</v>
      </c>
      <c r="O516" s="611">
        <f>+IF(OR($Q516=Parametres!$G$2,$Q516=Parametres!$G$3),J516,D516)</f>
        <v>0</v>
      </c>
      <c r="P516" s="611">
        <f>+IF(OR($Q516=Parametres!$G$2,$Q516=Parametres!$G$3),K516,E516)</f>
        <v>0</v>
      </c>
      <c r="Q516" s="610">
        <f t="shared" si="35"/>
        <v>0</v>
      </c>
      <c r="R516" s="609">
        <f t="shared" si="36"/>
        <v>0</v>
      </c>
      <c r="S516" s="610">
        <f t="shared" si="37"/>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38"/>
        <v>0</v>
      </c>
      <c r="M517" s="610">
        <f t="shared" si="34"/>
        <v>0</v>
      </c>
      <c r="N517" s="611">
        <f>+IF(OR($Q517=Parametres!$G$2,$Q517=Parametres!$G$3),I517,C517)</f>
        <v>0</v>
      </c>
      <c r="O517" s="611">
        <f>+IF(OR($Q517=Parametres!$G$2,$Q517=Parametres!$G$3),J517,D517)</f>
        <v>0</v>
      </c>
      <c r="P517" s="611">
        <f>+IF(OR($Q517=Parametres!$G$2,$Q517=Parametres!$G$3),K517,E517)</f>
        <v>0</v>
      </c>
      <c r="Q517" s="610">
        <f t="shared" si="35"/>
        <v>0</v>
      </c>
      <c r="R517" s="609">
        <f t="shared" si="36"/>
        <v>0</v>
      </c>
      <c r="S517" s="610">
        <f t="shared" si="3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38"/>
        <v>0</v>
      </c>
      <c r="M518" s="610">
        <f t="shared" si="34"/>
        <v>0</v>
      </c>
      <c r="N518" s="611">
        <f>+IF(OR($Q518=Parametres!$G$2,$Q518=Parametres!$G$3),I518,C518)</f>
        <v>0</v>
      </c>
      <c r="O518" s="611">
        <f>+IF(OR($Q518=Parametres!$G$2,$Q518=Parametres!$G$3),J518,D518)</f>
        <v>0</v>
      </c>
      <c r="P518" s="611">
        <f>+IF(OR($Q518=Parametres!$G$2,$Q518=Parametres!$G$3),K518,E518)</f>
        <v>0</v>
      </c>
      <c r="Q518" s="610">
        <f t="shared" si="35"/>
        <v>0</v>
      </c>
      <c r="R518" s="609">
        <f t="shared" si="36"/>
        <v>0</v>
      </c>
      <c r="S518" s="610">
        <f t="shared" si="37"/>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38"/>
        <v>0</v>
      </c>
      <c r="M519" s="610">
        <f t="shared" si="34"/>
        <v>0</v>
      </c>
      <c r="N519" s="611">
        <f>+IF(OR($Q519=Parametres!$G$2,$Q519=Parametres!$G$3),I519,C519)</f>
        <v>0</v>
      </c>
      <c r="O519" s="611">
        <f>+IF(OR($Q519=Parametres!$G$2,$Q519=Parametres!$G$3),J519,D519)</f>
        <v>0</v>
      </c>
      <c r="P519" s="611">
        <f>+IF(OR($Q519=Parametres!$G$2,$Q519=Parametres!$G$3),K519,E519)</f>
        <v>0</v>
      </c>
      <c r="Q519" s="610">
        <f t="shared" si="35"/>
        <v>0</v>
      </c>
      <c r="R519" s="609">
        <f t="shared" si="36"/>
        <v>0</v>
      </c>
      <c r="S519" s="610">
        <f t="shared" si="37"/>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38"/>
        <v>0</v>
      </c>
      <c r="M520" s="610">
        <f t="shared" si="34"/>
        <v>0</v>
      </c>
      <c r="N520" s="611">
        <f>+IF(OR($Q520=Parametres!$G$2,$Q520=Parametres!$G$3),I520,C520)</f>
        <v>0</v>
      </c>
      <c r="O520" s="611">
        <f>+IF(OR($Q520=Parametres!$G$2,$Q520=Parametres!$G$3),J520,D520)</f>
        <v>0</v>
      </c>
      <c r="P520" s="611">
        <f>+IF(OR($Q520=Parametres!$G$2,$Q520=Parametres!$G$3),K520,E520)</f>
        <v>0</v>
      </c>
      <c r="Q520" s="610">
        <f t="shared" si="35"/>
        <v>0</v>
      </c>
      <c r="R520" s="609">
        <f t="shared" si="36"/>
        <v>0</v>
      </c>
      <c r="S520" s="610">
        <f t="shared" si="37"/>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38"/>
        <v>0</v>
      </c>
      <c r="M521" s="610">
        <f t="shared" si="34"/>
        <v>0</v>
      </c>
      <c r="N521" s="611">
        <f>+IF(OR($Q521=Parametres!$G$2,$Q521=Parametres!$G$3),I521,C521)</f>
        <v>0</v>
      </c>
      <c r="O521" s="611">
        <f>+IF(OR($Q521=Parametres!$G$2,$Q521=Parametres!$G$3),J521,D521)</f>
        <v>0</v>
      </c>
      <c r="P521" s="611">
        <f>+IF(OR($Q521=Parametres!$G$2,$Q521=Parametres!$G$3),K521,E521)</f>
        <v>0</v>
      </c>
      <c r="Q521" s="610">
        <f t="shared" si="35"/>
        <v>0</v>
      </c>
      <c r="R521" s="609">
        <f t="shared" si="36"/>
        <v>0</v>
      </c>
      <c r="S521" s="610">
        <f t="shared" si="37"/>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38"/>
        <v>0</v>
      </c>
      <c r="M522" s="610">
        <f t="shared" si="34"/>
        <v>0</v>
      </c>
      <c r="N522" s="611">
        <f>+IF(OR($Q522=Parametres!$G$2,$Q522=Parametres!$G$3),I522,C522)</f>
        <v>0</v>
      </c>
      <c r="O522" s="611">
        <f>+IF(OR($Q522=Parametres!$G$2,$Q522=Parametres!$G$3),J522,D522)</f>
        <v>0</v>
      </c>
      <c r="P522" s="611">
        <f>+IF(OR($Q522=Parametres!$G$2,$Q522=Parametres!$G$3),K522,E522)</f>
        <v>0</v>
      </c>
      <c r="Q522" s="610">
        <f t="shared" si="35"/>
        <v>0</v>
      </c>
      <c r="R522" s="609">
        <f t="shared" si="36"/>
        <v>0</v>
      </c>
      <c r="S522" s="610">
        <f t="shared" si="37"/>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38"/>
        <v>0</v>
      </c>
      <c r="M523" s="610">
        <f t="shared" si="34"/>
        <v>0</v>
      </c>
      <c r="N523" s="611">
        <f>+IF(OR($Q523=Parametres!$G$2,$Q523=Parametres!$G$3),I523,C523)</f>
        <v>0</v>
      </c>
      <c r="O523" s="611">
        <f>+IF(OR($Q523=Parametres!$G$2,$Q523=Parametres!$G$3),J523,D523)</f>
        <v>0</v>
      </c>
      <c r="P523" s="611">
        <f>+IF(OR($Q523=Parametres!$G$2,$Q523=Parametres!$G$3),K523,E523)</f>
        <v>0</v>
      </c>
      <c r="Q523" s="610">
        <f t="shared" si="35"/>
        <v>0</v>
      </c>
      <c r="R523" s="609">
        <f t="shared" si="36"/>
        <v>0</v>
      </c>
      <c r="S523" s="610">
        <f t="shared" si="37"/>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38"/>
        <v>0</v>
      </c>
      <c r="M524" s="610">
        <f t="shared" si="34"/>
        <v>0</v>
      </c>
      <c r="N524" s="611">
        <f>+IF(OR($Q524=Parametres!$G$2,$Q524=Parametres!$G$3),I524,C524)</f>
        <v>0</v>
      </c>
      <c r="O524" s="611">
        <f>+IF(OR($Q524=Parametres!$G$2,$Q524=Parametres!$G$3),J524,D524)</f>
        <v>0</v>
      </c>
      <c r="P524" s="611">
        <f>+IF(OR($Q524=Parametres!$G$2,$Q524=Parametres!$G$3),K524,E524)</f>
        <v>0</v>
      </c>
      <c r="Q524" s="610">
        <f t="shared" si="35"/>
        <v>0</v>
      </c>
      <c r="R524" s="609">
        <f t="shared" si="36"/>
        <v>0</v>
      </c>
      <c r="S524" s="610">
        <f t="shared" si="37"/>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38"/>
        <v>0</v>
      </c>
      <c r="M525" s="610">
        <f t="shared" si="34"/>
        <v>0</v>
      </c>
      <c r="N525" s="611">
        <f>+IF(OR($Q525=Parametres!$G$2,$Q525=Parametres!$G$3),I525,C525)</f>
        <v>0</v>
      </c>
      <c r="O525" s="611">
        <f>+IF(OR($Q525=Parametres!$G$2,$Q525=Parametres!$G$3),J525,D525)</f>
        <v>0</v>
      </c>
      <c r="P525" s="611">
        <f>+IF(OR($Q525=Parametres!$G$2,$Q525=Parametres!$G$3),K525,E525)</f>
        <v>0</v>
      </c>
      <c r="Q525" s="610">
        <f t="shared" si="35"/>
        <v>0</v>
      </c>
      <c r="R525" s="609">
        <f t="shared" si="36"/>
        <v>0</v>
      </c>
      <c r="S525" s="610">
        <f t="shared" si="37"/>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38"/>
        <v>0</v>
      </c>
      <c r="M526" s="610">
        <f t="shared" si="34"/>
        <v>0</v>
      </c>
      <c r="N526" s="611">
        <f>+IF(OR($Q526=Parametres!$G$2,$Q526=Parametres!$G$3),I526,C526)</f>
        <v>0</v>
      </c>
      <c r="O526" s="611">
        <f>+IF(OR($Q526=Parametres!$G$2,$Q526=Parametres!$G$3),J526,D526)</f>
        <v>0</v>
      </c>
      <c r="P526" s="611">
        <f>+IF(OR($Q526=Parametres!$G$2,$Q526=Parametres!$G$3),K526,E526)</f>
        <v>0</v>
      </c>
      <c r="Q526" s="610">
        <f t="shared" si="35"/>
        <v>0</v>
      </c>
      <c r="R526" s="609">
        <f t="shared" si="36"/>
        <v>0</v>
      </c>
      <c r="S526" s="610">
        <f t="shared" si="37"/>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38"/>
        <v>0</v>
      </c>
      <c r="M527" s="610">
        <f t="shared" si="34"/>
        <v>0</v>
      </c>
      <c r="N527" s="611">
        <f>+IF(OR($Q527=Parametres!$G$2,$Q527=Parametres!$G$3),I527,C527)</f>
        <v>0</v>
      </c>
      <c r="O527" s="611">
        <f>+IF(OR($Q527=Parametres!$G$2,$Q527=Parametres!$G$3),J527,D527)</f>
        <v>0</v>
      </c>
      <c r="P527" s="611">
        <f>+IF(OR($Q527=Parametres!$G$2,$Q527=Parametres!$G$3),K527,E527)</f>
        <v>0</v>
      </c>
      <c r="Q527" s="610">
        <f t="shared" si="35"/>
        <v>0</v>
      </c>
      <c r="R527" s="609">
        <f t="shared" si="36"/>
        <v>0</v>
      </c>
      <c r="S527" s="610">
        <f t="shared" si="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38"/>
        <v>0</v>
      </c>
      <c r="M528" s="610">
        <f t="shared" si="34"/>
        <v>0</v>
      </c>
      <c r="N528" s="611">
        <f>+IF(OR($Q528=Parametres!$G$2,$Q528=Parametres!$G$3),I528,C528)</f>
        <v>0</v>
      </c>
      <c r="O528" s="611">
        <f>+IF(OR($Q528=Parametres!$G$2,$Q528=Parametres!$G$3),J528,D528)</f>
        <v>0</v>
      </c>
      <c r="P528" s="611">
        <f>+IF(OR($Q528=Parametres!$G$2,$Q528=Parametres!$G$3),K528,E528)</f>
        <v>0</v>
      </c>
      <c r="Q528" s="610">
        <f t="shared" si="35"/>
        <v>0</v>
      </c>
      <c r="R528" s="609">
        <f t="shared" si="36"/>
        <v>0</v>
      </c>
      <c r="S528" s="610">
        <f t="shared" si="37"/>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38"/>
        <v>0</v>
      </c>
      <c r="M529" s="610">
        <f t="shared" si="34"/>
        <v>0</v>
      </c>
      <c r="N529" s="611">
        <f>+IF(OR($Q529=Parametres!$G$2,$Q529=Parametres!$G$3),I529,C529)</f>
        <v>0</v>
      </c>
      <c r="O529" s="611">
        <f>+IF(OR($Q529=Parametres!$G$2,$Q529=Parametres!$G$3),J529,D529)</f>
        <v>0</v>
      </c>
      <c r="P529" s="611">
        <f>+IF(OR($Q529=Parametres!$G$2,$Q529=Parametres!$G$3),K529,E529)</f>
        <v>0</v>
      </c>
      <c r="Q529" s="610">
        <f t="shared" si="35"/>
        <v>0</v>
      </c>
      <c r="R529" s="609">
        <f t="shared" si="36"/>
        <v>0</v>
      </c>
      <c r="S529" s="610">
        <f t="shared" si="37"/>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38"/>
        <v>0</v>
      </c>
      <c r="M530" s="610">
        <f t="shared" si="34"/>
        <v>0</v>
      </c>
      <c r="N530" s="611">
        <f>+IF(OR($Q530=Parametres!$G$2,$Q530=Parametres!$G$3),I530,C530)</f>
        <v>0</v>
      </c>
      <c r="O530" s="669">
        <f>+IF(OR($Q530=Parametres!$G$2,$Q530=Parametres!$G$3),J530,D530)</f>
        <v>0</v>
      </c>
      <c r="P530" s="611">
        <f>+IF(OR($Q530=Parametres!$G$2,$Q530=Parametres!$G$3),K530,E530)</f>
        <v>0</v>
      </c>
      <c r="Q530" s="610">
        <f t="shared" si="35"/>
        <v>0</v>
      </c>
      <c r="R530" s="609">
        <f t="shared" si="36"/>
        <v>0</v>
      </c>
      <c r="S530" s="610">
        <f t="shared" si="37"/>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38"/>
        <v>0</v>
      </c>
      <c r="M531" s="610">
        <f t="shared" si="34"/>
        <v>0</v>
      </c>
      <c r="N531" s="611">
        <f>+IF(OR($Q531=Parametres!$G$2,$Q531=Parametres!$G$3),I531,C531)</f>
        <v>0</v>
      </c>
      <c r="O531" s="611">
        <f>+IF(OR($Q531=Parametres!$G$2,$Q531=Parametres!$G$3),J531,D531)</f>
        <v>0</v>
      </c>
      <c r="P531" s="611">
        <f>+IF(OR($Q531=Parametres!$G$2,$Q531=Parametres!$G$3),K531,E531)</f>
        <v>0</v>
      </c>
      <c r="Q531" s="610">
        <f t="shared" si="35"/>
        <v>0</v>
      </c>
      <c r="R531" s="609">
        <f t="shared" si="36"/>
        <v>0</v>
      </c>
      <c r="S531" s="610">
        <f t="shared" si="37"/>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38"/>
        <v>0</v>
      </c>
      <c r="M532" s="610">
        <f t="shared" si="34"/>
        <v>0</v>
      </c>
      <c r="N532" s="611">
        <f>+IF(OR($Q532=Parametres!$G$2,$Q532=Parametres!$G$3),I532,C532)</f>
        <v>0</v>
      </c>
      <c r="O532" s="611">
        <f>+IF(OR($Q532=Parametres!$G$2,$Q532=Parametres!$G$3),J532,D532)</f>
        <v>0</v>
      </c>
      <c r="P532" s="611">
        <f>+IF(OR($Q532=Parametres!$G$2,$Q532=Parametres!$G$3),K532,E532)</f>
        <v>0</v>
      </c>
      <c r="Q532" s="610">
        <f t="shared" si="35"/>
        <v>0</v>
      </c>
      <c r="R532" s="609">
        <f t="shared" si="36"/>
        <v>0</v>
      </c>
      <c r="S532" s="610">
        <f t="shared" si="37"/>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38"/>
        <v>0</v>
      </c>
      <c r="M533" s="610">
        <f t="shared" si="34"/>
        <v>0</v>
      </c>
      <c r="N533" s="611">
        <f>+IF(OR($Q533=Parametres!$G$2,$Q533=Parametres!$G$3),I533,C533)</f>
        <v>0</v>
      </c>
      <c r="O533" s="611">
        <f>+IF(OR($Q533=Parametres!$G$2,$Q533=Parametres!$G$3),J533,D533)</f>
        <v>0</v>
      </c>
      <c r="P533" s="611">
        <f>+IF(OR($Q533=Parametres!$G$2,$Q533=Parametres!$G$3),K533,E533)</f>
        <v>0</v>
      </c>
      <c r="Q533" s="610">
        <f t="shared" si="35"/>
        <v>0</v>
      </c>
      <c r="R533" s="609">
        <f t="shared" si="36"/>
        <v>0</v>
      </c>
      <c r="S533" s="610">
        <f t="shared" si="37"/>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38"/>
        <v>0</v>
      </c>
      <c r="M534" s="610">
        <f t="shared" si="34"/>
        <v>0</v>
      </c>
      <c r="N534" s="611">
        <f>+IF(OR($Q534=Parametres!$G$2,$Q534=Parametres!$G$3),I534,C534)</f>
        <v>0</v>
      </c>
      <c r="O534" s="611">
        <f>+IF(OR($Q534=Parametres!$G$2,$Q534=Parametres!$G$3),J534,D534)</f>
        <v>0</v>
      </c>
      <c r="P534" s="611">
        <f>+IF(OR($Q534=Parametres!$G$2,$Q534=Parametres!$G$3),K534,E534)</f>
        <v>0</v>
      </c>
      <c r="Q534" s="610">
        <f t="shared" si="35"/>
        <v>0</v>
      </c>
      <c r="R534" s="609">
        <f t="shared" si="36"/>
        <v>0</v>
      </c>
      <c r="S534" s="610">
        <f t="shared" si="37"/>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38"/>
        <v>0</v>
      </c>
      <c r="M535" s="610">
        <f t="shared" si="34"/>
        <v>0</v>
      </c>
      <c r="N535" s="611">
        <f>+IF(OR($Q535=Parametres!$G$2,$Q535=Parametres!$G$3),I535,C535)</f>
        <v>0</v>
      </c>
      <c r="O535" s="611">
        <f>+IF(OR($Q535=Parametres!$G$2,$Q535=Parametres!$G$3),J535,D535)</f>
        <v>0</v>
      </c>
      <c r="P535" s="611">
        <f>+IF(OR($Q535=Parametres!$G$2,$Q535=Parametres!$G$3),K535,E535)</f>
        <v>0</v>
      </c>
      <c r="Q535" s="610">
        <f t="shared" si="35"/>
        <v>0</v>
      </c>
      <c r="R535" s="609">
        <f t="shared" si="36"/>
        <v>0</v>
      </c>
      <c r="S535" s="610">
        <f t="shared" si="37"/>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38"/>
        <v>0</v>
      </c>
      <c r="M536" s="610">
        <f t="shared" si="34"/>
        <v>0</v>
      </c>
      <c r="N536" s="611">
        <f>+IF(OR($Q536=Parametres!$G$2,$Q536=Parametres!$G$3),I536,C536)</f>
        <v>0</v>
      </c>
      <c r="O536" s="611">
        <f>+IF(OR($Q536=Parametres!$G$2,$Q536=Parametres!$G$3),J536,D536)</f>
        <v>0</v>
      </c>
      <c r="P536" s="611">
        <f>+IF(OR($Q536=Parametres!$G$2,$Q536=Parametres!$G$3),K536,E536)</f>
        <v>0</v>
      </c>
      <c r="Q536" s="610">
        <f t="shared" si="35"/>
        <v>0</v>
      </c>
      <c r="R536" s="609">
        <f t="shared" si="36"/>
        <v>0</v>
      </c>
      <c r="S536" s="610">
        <f t="shared" si="37"/>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38"/>
        <v>0</v>
      </c>
      <c r="M537" s="610">
        <f t="shared" si="34"/>
        <v>0</v>
      </c>
      <c r="N537" s="611">
        <f>+IF(OR($Q537=Parametres!$G$2,$Q537=Parametres!$G$3),I537,C537)</f>
        <v>0</v>
      </c>
      <c r="O537" s="611">
        <f>+IF(OR($Q537=Parametres!$G$2,$Q537=Parametres!$G$3),J537,D537)</f>
        <v>0</v>
      </c>
      <c r="P537" s="611">
        <f>+IF(OR($Q537=Parametres!$G$2,$Q537=Parametres!$G$3),K537,E537)</f>
        <v>0</v>
      </c>
      <c r="Q537" s="610">
        <f t="shared" si="35"/>
        <v>0</v>
      </c>
      <c r="R537" s="609">
        <f t="shared" si="36"/>
        <v>0</v>
      </c>
      <c r="S537" s="610">
        <f t="shared" si="3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38"/>
        <v>0</v>
      </c>
      <c r="M538" s="610">
        <f t="shared" si="34"/>
        <v>0</v>
      </c>
      <c r="N538" s="611">
        <f>+IF(OR($Q538=Parametres!$G$2,$Q538=Parametres!$G$3),I538,C538)</f>
        <v>0</v>
      </c>
      <c r="O538" s="611">
        <f>+IF(OR($Q538=Parametres!$G$2,$Q538=Parametres!$G$3),J538,D538)</f>
        <v>0</v>
      </c>
      <c r="P538" s="611">
        <f>+IF(OR($Q538=Parametres!$G$2,$Q538=Parametres!$G$3),K538,E538)</f>
        <v>0</v>
      </c>
      <c r="Q538" s="610">
        <f t="shared" si="35"/>
        <v>0</v>
      </c>
      <c r="R538" s="609">
        <f t="shared" si="36"/>
        <v>0</v>
      </c>
      <c r="S538" s="610">
        <f t="shared" si="37"/>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38"/>
        <v>0</v>
      </c>
      <c r="M539" s="610">
        <f t="shared" si="34"/>
        <v>0</v>
      </c>
      <c r="N539" s="611">
        <f>+IF(OR($Q539=Parametres!$G$2,$Q539=Parametres!$G$3),I539,C539)</f>
        <v>0</v>
      </c>
      <c r="O539" s="611">
        <f>+IF(OR($Q539=Parametres!$G$2,$Q539=Parametres!$G$3),J539,D539)</f>
        <v>0</v>
      </c>
      <c r="P539" s="611">
        <f>+IF(OR($Q539=Parametres!$G$2,$Q539=Parametres!$G$3),K539,E539)</f>
        <v>0</v>
      </c>
      <c r="Q539" s="610">
        <f t="shared" si="35"/>
        <v>0</v>
      </c>
      <c r="R539" s="609">
        <f t="shared" si="36"/>
        <v>0</v>
      </c>
      <c r="S539" s="610">
        <f t="shared" si="37"/>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38"/>
        <v>0</v>
      </c>
      <c r="M540" s="610">
        <f t="shared" si="34"/>
        <v>0</v>
      </c>
      <c r="N540" s="611">
        <f>+IF(OR($Q540=Parametres!$G$2,$Q540=Parametres!$G$3),I540,C540)</f>
        <v>0</v>
      </c>
      <c r="O540" s="611">
        <f>+IF(OR($Q540=Parametres!$G$2,$Q540=Parametres!$G$3),J540,D540)</f>
        <v>0</v>
      </c>
      <c r="P540" s="611">
        <f>+IF(OR($Q540=Parametres!$G$2,$Q540=Parametres!$G$3),K540,E540)</f>
        <v>0</v>
      </c>
      <c r="Q540" s="610">
        <f t="shared" si="35"/>
        <v>0</v>
      </c>
      <c r="R540" s="609">
        <f t="shared" si="36"/>
        <v>0</v>
      </c>
      <c r="S540" s="610">
        <f t="shared" si="37"/>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38"/>
        <v>0</v>
      </c>
      <c r="M541" s="610">
        <f t="shared" si="34"/>
        <v>0</v>
      </c>
      <c r="N541" s="611">
        <f>+IF(OR($Q541=Parametres!$G$2,$Q541=Parametres!$G$3),I541,C541)</f>
        <v>0</v>
      </c>
      <c r="O541" s="611">
        <f>+IF(OR($Q541=Parametres!$G$2,$Q541=Parametres!$G$3),J541,D541)</f>
        <v>0</v>
      </c>
      <c r="P541" s="611">
        <f>+IF(OR($Q541=Parametres!$G$2,$Q541=Parametres!$G$3),K541,E541)</f>
        <v>0</v>
      </c>
      <c r="Q541" s="610">
        <f t="shared" si="35"/>
        <v>0</v>
      </c>
      <c r="R541" s="609">
        <f t="shared" si="36"/>
        <v>0</v>
      </c>
      <c r="S541" s="610">
        <f t="shared" si="37"/>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38"/>
        <v>0</v>
      </c>
      <c r="M542" s="610">
        <f t="shared" si="34"/>
        <v>0</v>
      </c>
      <c r="N542" s="611">
        <f>+IF(OR($Q542=Parametres!$G$2,$Q542=Parametres!$G$3),I542,C542)</f>
        <v>0</v>
      </c>
      <c r="O542" s="611">
        <f>+IF(OR($Q542=Parametres!$G$2,$Q542=Parametres!$G$3),J542,D542)</f>
        <v>0</v>
      </c>
      <c r="P542" s="611">
        <f>+IF(OR($Q542=Parametres!$G$2,$Q542=Parametres!$G$3),K542,E542)</f>
        <v>0</v>
      </c>
      <c r="Q542" s="610">
        <f t="shared" si="35"/>
        <v>0</v>
      </c>
      <c r="R542" s="609">
        <f t="shared" si="36"/>
        <v>0</v>
      </c>
      <c r="S542" s="610">
        <f t="shared" si="37"/>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38"/>
        <v>0</v>
      </c>
      <c r="M543" s="610">
        <f t="shared" si="34"/>
        <v>0</v>
      </c>
      <c r="N543" s="611">
        <f>+IF(OR($Q543=Parametres!$G$2,$Q543=Parametres!$G$3),I543,C543)</f>
        <v>0</v>
      </c>
      <c r="O543" s="611">
        <f>+IF(OR($Q543=Parametres!$G$2,$Q543=Parametres!$G$3),J543,D543)</f>
        <v>0</v>
      </c>
      <c r="P543" s="611">
        <f>+IF(OR($Q543=Parametres!$G$2,$Q543=Parametres!$G$3),K543,E543)</f>
        <v>0</v>
      </c>
      <c r="Q543" s="610">
        <f t="shared" si="35"/>
        <v>0</v>
      </c>
      <c r="R543" s="609">
        <f t="shared" si="36"/>
        <v>0</v>
      </c>
      <c r="S543" s="610">
        <f t="shared" si="37"/>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38"/>
        <v>0</v>
      </c>
      <c r="M544" s="610">
        <f t="shared" si="34"/>
        <v>0</v>
      </c>
      <c r="N544" s="611">
        <f>+IF(OR($Q544=Parametres!$G$2,$Q544=Parametres!$G$3),I544,C544)</f>
        <v>0</v>
      </c>
      <c r="O544" s="611">
        <f>+IF(OR($Q544=Parametres!$G$2,$Q544=Parametres!$G$3),J544,D544)</f>
        <v>0</v>
      </c>
      <c r="P544" s="611">
        <f>+IF(OR($Q544=Parametres!$G$2,$Q544=Parametres!$G$3),K544,E544)</f>
        <v>0</v>
      </c>
      <c r="Q544" s="610">
        <f t="shared" si="35"/>
        <v>0</v>
      </c>
      <c r="R544" s="609">
        <f t="shared" si="36"/>
        <v>0</v>
      </c>
      <c r="S544" s="610">
        <f t="shared" si="37"/>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38"/>
        <v>0</v>
      </c>
      <c r="M545" s="610">
        <f t="shared" si="34"/>
        <v>0</v>
      </c>
      <c r="N545" s="611">
        <f>+IF(OR($Q545=Parametres!$G$2,$Q545=Parametres!$G$3),I545,C545)</f>
        <v>0</v>
      </c>
      <c r="O545" s="611">
        <f>+IF(OR($Q545=Parametres!$G$2,$Q545=Parametres!$G$3),J545,D545)</f>
        <v>0</v>
      </c>
      <c r="P545" s="611">
        <f>+IF(OR($Q545=Parametres!$G$2,$Q545=Parametres!$G$3),K545,E545)</f>
        <v>0</v>
      </c>
      <c r="Q545" s="610">
        <f t="shared" si="35"/>
        <v>0</v>
      </c>
      <c r="R545" s="609">
        <f t="shared" si="36"/>
        <v>0</v>
      </c>
      <c r="S545" s="610">
        <f t="shared" si="37"/>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38"/>
        <v>0</v>
      </c>
      <c r="M546" s="610">
        <f t="shared" si="34"/>
        <v>0</v>
      </c>
      <c r="N546" s="611">
        <f>+IF(OR($Q546=Parametres!$G$2,$Q546=Parametres!$G$3),I546,C546)</f>
        <v>0</v>
      </c>
      <c r="O546" s="611">
        <f>+IF(OR($Q546=Parametres!$G$2,$Q546=Parametres!$G$3),J546,D546)</f>
        <v>0</v>
      </c>
      <c r="P546" s="611">
        <f>+IF(OR($Q546=Parametres!$G$2,$Q546=Parametres!$G$3),K546,E546)</f>
        <v>0</v>
      </c>
      <c r="Q546" s="610">
        <f t="shared" si="35"/>
        <v>0</v>
      </c>
      <c r="R546" s="609">
        <f t="shared" si="36"/>
        <v>0</v>
      </c>
      <c r="S546" s="610">
        <f t="shared" si="37"/>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38"/>
        <v>0</v>
      </c>
      <c r="M547" s="610">
        <f t="shared" si="34"/>
        <v>0</v>
      </c>
      <c r="N547" s="611">
        <f>+IF(OR($Q547=Parametres!$G$2,$Q547=Parametres!$G$3),I547,C547)</f>
        <v>0</v>
      </c>
      <c r="O547" s="611">
        <f>+IF(OR($Q547=Parametres!$G$2,$Q547=Parametres!$G$3),J547,D547)</f>
        <v>0</v>
      </c>
      <c r="P547" s="611">
        <f>+IF(OR($Q547=Parametres!$G$2,$Q547=Parametres!$G$3),K547,E547)</f>
        <v>0</v>
      </c>
      <c r="Q547" s="610">
        <f t="shared" si="35"/>
        <v>0</v>
      </c>
      <c r="R547" s="609">
        <f t="shared" si="36"/>
        <v>0</v>
      </c>
      <c r="S547" s="610">
        <f t="shared" si="3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38"/>
        <v>0</v>
      </c>
      <c r="M548" s="610">
        <f t="shared" si="34"/>
        <v>0</v>
      </c>
      <c r="N548" s="611">
        <f>+IF(OR($Q548=Parametres!$G$2,$Q548=Parametres!$G$3),I548,C548)</f>
        <v>0</v>
      </c>
      <c r="O548" s="611">
        <f>+IF(OR($Q548=Parametres!$G$2,$Q548=Parametres!$G$3),J548,D548)</f>
        <v>0</v>
      </c>
      <c r="P548" s="611">
        <f>+IF(OR($Q548=Parametres!$G$2,$Q548=Parametres!$G$3),K548,E548)</f>
        <v>0</v>
      </c>
      <c r="Q548" s="610">
        <f t="shared" si="35"/>
        <v>0</v>
      </c>
      <c r="R548" s="609">
        <f t="shared" si="36"/>
        <v>0</v>
      </c>
      <c r="S548" s="610">
        <f t="shared" si="37"/>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38"/>
        <v>0</v>
      </c>
      <c r="M549" s="610">
        <f t="shared" si="34"/>
        <v>0</v>
      </c>
      <c r="N549" s="611">
        <f>+IF(OR($Q549=Parametres!$G$2,$Q549=Parametres!$G$3),I549,C549)</f>
        <v>0</v>
      </c>
      <c r="O549" s="611">
        <f>+IF(OR($Q549=Parametres!$G$2,$Q549=Parametres!$G$3),J549,D549)</f>
        <v>0</v>
      </c>
      <c r="P549" s="611">
        <f>+IF(OR($Q549=Parametres!$G$2,$Q549=Parametres!$G$3),K549,E549)</f>
        <v>0</v>
      </c>
      <c r="Q549" s="610">
        <f t="shared" si="35"/>
        <v>0</v>
      </c>
      <c r="R549" s="609">
        <f t="shared" si="36"/>
        <v>0</v>
      </c>
      <c r="S549" s="610">
        <f t="shared" si="37"/>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38"/>
        <v>0</v>
      </c>
      <c r="M550" s="610">
        <f t="shared" si="34"/>
        <v>0</v>
      </c>
      <c r="N550" s="611">
        <f>+IF(OR($Q550=Parametres!$G$2,$Q550=Parametres!$G$3),I550,C550)</f>
        <v>0</v>
      </c>
      <c r="O550" s="611">
        <f>+IF(OR($Q550=Parametres!$G$2,$Q550=Parametres!$G$3),J550,D550)</f>
        <v>0</v>
      </c>
      <c r="P550" s="611">
        <f>+IF(OR($Q550=Parametres!$G$2,$Q550=Parametres!$G$3),K550,E550)</f>
        <v>0</v>
      </c>
      <c r="Q550" s="610">
        <f t="shared" si="35"/>
        <v>0</v>
      </c>
      <c r="R550" s="609">
        <f t="shared" si="36"/>
        <v>0</v>
      </c>
      <c r="S550" s="610">
        <f t="shared" si="37"/>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38"/>
        <v>0</v>
      </c>
      <c r="M551" s="610">
        <f t="shared" si="34"/>
        <v>0</v>
      </c>
      <c r="N551" s="611">
        <f>+IF(OR($Q551=Parametres!$G$2,$Q551=Parametres!$G$3),I551,C551)</f>
        <v>0</v>
      </c>
      <c r="O551" s="611">
        <f>+IF(OR($Q551=Parametres!$G$2,$Q551=Parametres!$G$3),J551,D551)</f>
        <v>0</v>
      </c>
      <c r="P551" s="611">
        <f>+IF(OR($Q551=Parametres!$G$2,$Q551=Parametres!$G$3),K551,E551)</f>
        <v>0</v>
      </c>
      <c r="Q551" s="610">
        <f t="shared" si="35"/>
        <v>0</v>
      </c>
      <c r="R551" s="609">
        <f t="shared" si="36"/>
        <v>0</v>
      </c>
      <c r="S551" s="610">
        <f t="shared" si="37"/>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38"/>
        <v>0</v>
      </c>
      <c r="M552" s="610">
        <f t="shared" si="34"/>
        <v>0</v>
      </c>
      <c r="N552" s="611">
        <f>+IF(OR($Q552=Parametres!$G$2,$Q552=Parametres!$G$3),I552,C552)</f>
        <v>0</v>
      </c>
      <c r="O552" s="611">
        <f>+IF(OR($Q552=Parametres!$G$2,$Q552=Parametres!$G$3),J552,D552)</f>
        <v>0</v>
      </c>
      <c r="P552" s="611">
        <f>+IF(OR($Q552=Parametres!$G$2,$Q552=Parametres!$G$3),K552,E552)</f>
        <v>0</v>
      </c>
      <c r="Q552" s="610">
        <f t="shared" si="35"/>
        <v>0</v>
      </c>
      <c r="R552" s="609">
        <f t="shared" si="36"/>
        <v>0</v>
      </c>
      <c r="S552" s="610">
        <f t="shared" si="37"/>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38"/>
        <v>0</v>
      </c>
      <c r="M553" s="610">
        <f t="shared" si="34"/>
        <v>0</v>
      </c>
      <c r="N553" s="611">
        <f>+IF(OR($Q553=Parametres!$G$2,$Q553=Parametres!$G$3),I553,C553)</f>
        <v>0</v>
      </c>
      <c r="O553" s="611">
        <f>+IF(OR($Q553=Parametres!$G$2,$Q553=Parametres!$G$3),J553,D553)</f>
        <v>0</v>
      </c>
      <c r="P553" s="611">
        <f>+IF(OR($Q553=Parametres!$G$2,$Q553=Parametres!$G$3),K553,E553)</f>
        <v>0</v>
      </c>
      <c r="Q553" s="610">
        <f t="shared" si="35"/>
        <v>0</v>
      </c>
      <c r="R553" s="609">
        <f t="shared" si="36"/>
        <v>0</v>
      </c>
      <c r="S553" s="610">
        <f t="shared" si="37"/>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38"/>
        <v>0</v>
      </c>
      <c r="M554" s="610">
        <f t="shared" si="34"/>
        <v>0</v>
      </c>
      <c r="N554" s="611">
        <f>+IF(OR($Q554=Parametres!$G$2,$Q554=Parametres!$G$3),I554,C554)</f>
        <v>0</v>
      </c>
      <c r="O554" s="611">
        <f>+IF(OR($Q554=Parametres!$G$2,$Q554=Parametres!$G$3),J554,D554)</f>
        <v>0</v>
      </c>
      <c r="P554" s="611">
        <f>+IF(OR($Q554=Parametres!$G$2,$Q554=Parametres!$G$3),K554,E554)</f>
        <v>0</v>
      </c>
      <c r="Q554" s="610">
        <f t="shared" si="35"/>
        <v>0</v>
      </c>
      <c r="R554" s="609">
        <f t="shared" si="36"/>
        <v>0</v>
      </c>
      <c r="S554" s="610">
        <f t="shared" si="37"/>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38"/>
        <v>0</v>
      </c>
      <c r="M555" s="610">
        <f t="shared" si="34"/>
        <v>0</v>
      </c>
      <c r="N555" s="611">
        <f>+IF(OR($Q555=Parametres!$G$2,$Q555=Parametres!$G$3),I555,C555)</f>
        <v>0</v>
      </c>
      <c r="O555" s="611">
        <f>+IF(OR($Q555=Parametres!$G$2,$Q555=Parametres!$G$3),J555,D555)</f>
        <v>0</v>
      </c>
      <c r="P555" s="611">
        <f>+IF(OR($Q555=Parametres!$G$2,$Q555=Parametres!$G$3),K555,E555)</f>
        <v>0</v>
      </c>
      <c r="Q555" s="610">
        <f t="shared" si="35"/>
        <v>0</v>
      </c>
      <c r="R555" s="609">
        <f t="shared" si="36"/>
        <v>0</v>
      </c>
      <c r="S555" s="610">
        <f t="shared" si="37"/>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38"/>
        <v>0</v>
      </c>
      <c r="M556" s="610">
        <f t="shared" si="34"/>
        <v>0</v>
      </c>
      <c r="N556" s="611">
        <f>+IF(OR($Q556=Parametres!$G$2,$Q556=Parametres!$G$3),I556,C556)</f>
        <v>0</v>
      </c>
      <c r="O556" s="611">
        <f>+IF(OR($Q556=Parametres!$G$2,$Q556=Parametres!$G$3),J556,D556)</f>
        <v>0</v>
      </c>
      <c r="P556" s="611">
        <f>+IF(OR($Q556=Parametres!$G$2,$Q556=Parametres!$G$3),K556,E556)</f>
        <v>0</v>
      </c>
      <c r="Q556" s="610">
        <f t="shared" si="35"/>
        <v>0</v>
      </c>
      <c r="R556" s="609">
        <f t="shared" si="36"/>
        <v>0</v>
      </c>
      <c r="S556" s="610">
        <f t="shared" si="37"/>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38"/>
        <v>0</v>
      </c>
      <c r="M557" s="610">
        <f t="shared" si="34"/>
        <v>0</v>
      </c>
      <c r="N557" s="611">
        <f>+IF(OR($Q557=Parametres!$G$2,$Q557=Parametres!$G$3),I557,C557)</f>
        <v>0</v>
      </c>
      <c r="O557" s="611">
        <f>+IF(OR($Q557=Parametres!$G$2,$Q557=Parametres!$G$3),J557,D557)</f>
        <v>0</v>
      </c>
      <c r="P557" s="611">
        <f>+IF(OR($Q557=Parametres!$G$2,$Q557=Parametres!$G$3),K557,E557)</f>
        <v>0</v>
      </c>
      <c r="Q557" s="610">
        <f t="shared" si="35"/>
        <v>0</v>
      </c>
      <c r="R557" s="609">
        <f t="shared" si="36"/>
        <v>0</v>
      </c>
      <c r="S557" s="610">
        <f t="shared" si="3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38"/>
        <v>0</v>
      </c>
      <c r="M558" s="610">
        <f t="shared" si="34"/>
        <v>0</v>
      </c>
      <c r="N558" s="611">
        <f>+IF(OR($Q558=Parametres!$G$2,$Q558=Parametres!$G$3),I558,C558)</f>
        <v>0</v>
      </c>
      <c r="O558" s="611">
        <f>+IF(OR($Q558=Parametres!$G$2,$Q558=Parametres!$G$3),J558,D558)</f>
        <v>0</v>
      </c>
      <c r="P558" s="611">
        <f>+IF(OR($Q558=Parametres!$G$2,$Q558=Parametres!$G$3),K558,E558)</f>
        <v>0</v>
      </c>
      <c r="Q558" s="610">
        <f t="shared" si="35"/>
        <v>0</v>
      </c>
      <c r="R558" s="609">
        <f t="shared" si="36"/>
        <v>0</v>
      </c>
      <c r="S558" s="610">
        <f t="shared" si="37"/>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38"/>
        <v>0</v>
      </c>
      <c r="M559" s="610">
        <f t="shared" si="34"/>
        <v>0</v>
      </c>
      <c r="N559" s="611">
        <f>+IF(OR($Q559=Parametres!$G$2,$Q559=Parametres!$G$3),I559,C559)</f>
        <v>0</v>
      </c>
      <c r="O559" s="611">
        <f>+IF(OR($Q559=Parametres!$G$2,$Q559=Parametres!$G$3),J559,D559)</f>
        <v>0</v>
      </c>
      <c r="P559" s="611">
        <f>+IF(OR($Q559=Parametres!$G$2,$Q559=Parametres!$G$3),K559,E559)</f>
        <v>0</v>
      </c>
      <c r="Q559" s="610">
        <f t="shared" si="35"/>
        <v>0</v>
      </c>
      <c r="R559" s="609">
        <f t="shared" si="36"/>
        <v>0</v>
      </c>
      <c r="S559" s="610">
        <f t="shared" si="37"/>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38"/>
        <v>0</v>
      </c>
      <c r="M560" s="610">
        <f t="shared" si="34"/>
        <v>0</v>
      </c>
      <c r="N560" s="611">
        <f>+IF(OR($Q560=Parametres!$G$2,$Q560=Parametres!$G$3),I560,C560)</f>
        <v>0</v>
      </c>
      <c r="O560" s="611">
        <f>+IF(OR($Q560=Parametres!$G$2,$Q560=Parametres!$G$3),J560,D560)</f>
        <v>0</v>
      </c>
      <c r="P560" s="611">
        <f>+IF(OR($Q560=Parametres!$G$2,$Q560=Parametres!$G$3),K560,E560)</f>
        <v>0</v>
      </c>
      <c r="Q560" s="610">
        <f t="shared" si="35"/>
        <v>0</v>
      </c>
      <c r="R560" s="609">
        <f t="shared" si="36"/>
        <v>0</v>
      </c>
      <c r="S560" s="610">
        <f t="shared" si="37"/>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38"/>
        <v>0</v>
      </c>
      <c r="M561" s="610">
        <f t="shared" si="34"/>
        <v>0</v>
      </c>
      <c r="N561" s="611">
        <f>+IF(OR($Q561=Parametres!$G$2,$Q561=Parametres!$G$3),I561,C561)</f>
        <v>0</v>
      </c>
      <c r="O561" s="611">
        <f>+IF(OR($Q561=Parametres!$G$2,$Q561=Parametres!$G$3),J561,D561)</f>
        <v>0</v>
      </c>
      <c r="P561" s="611">
        <f>+IF(OR($Q561=Parametres!$G$2,$Q561=Parametres!$G$3),K561,E561)</f>
        <v>0</v>
      </c>
      <c r="Q561" s="610">
        <f t="shared" si="35"/>
        <v>0</v>
      </c>
      <c r="R561" s="609">
        <f t="shared" si="36"/>
        <v>0</v>
      </c>
      <c r="S561" s="610">
        <f t="shared" si="37"/>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38"/>
        <v>0</v>
      </c>
      <c r="M562" s="610">
        <f t="shared" si="34"/>
        <v>0</v>
      </c>
      <c r="N562" s="611">
        <f>+IF(OR($Q562=Parametres!$G$2,$Q562=Parametres!$G$3),I562,C562)</f>
        <v>0</v>
      </c>
      <c r="O562" s="611">
        <f>+IF(OR($Q562=Parametres!$G$2,$Q562=Parametres!$G$3),J562,D562)</f>
        <v>0</v>
      </c>
      <c r="P562" s="611">
        <f>+IF(OR($Q562=Parametres!$G$2,$Q562=Parametres!$G$3),K562,E562)</f>
        <v>0</v>
      </c>
      <c r="Q562" s="610">
        <f t="shared" si="35"/>
        <v>0</v>
      </c>
      <c r="R562" s="609">
        <f t="shared" si="36"/>
        <v>0</v>
      </c>
      <c r="S562" s="610">
        <f t="shared" si="37"/>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38"/>
        <v>0</v>
      </c>
      <c r="M563" s="610">
        <f t="shared" si="34"/>
        <v>0</v>
      </c>
      <c r="N563" s="611">
        <f>+IF(OR($Q563=Parametres!$G$2,$Q563=Parametres!$G$3),I563,C563)</f>
        <v>0</v>
      </c>
      <c r="O563" s="611">
        <f>+IF(OR($Q563=Parametres!$G$2,$Q563=Parametres!$G$3),J563,D563)</f>
        <v>0</v>
      </c>
      <c r="P563" s="611">
        <f>+IF(OR($Q563=Parametres!$G$2,$Q563=Parametres!$G$3),K563,E563)</f>
        <v>0</v>
      </c>
      <c r="Q563" s="610">
        <f t="shared" si="35"/>
        <v>0</v>
      </c>
      <c r="R563" s="609">
        <f t="shared" si="36"/>
        <v>0</v>
      </c>
      <c r="S563" s="610">
        <f t="shared" si="37"/>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38"/>
        <v>0</v>
      </c>
      <c r="M564" s="610">
        <f t="shared" si="34"/>
        <v>0</v>
      </c>
      <c r="N564" s="611">
        <f>+IF(OR($Q564=Parametres!$G$2,$Q564=Parametres!$G$3),I564,C564)</f>
        <v>0</v>
      </c>
      <c r="O564" s="611">
        <f>+IF(OR($Q564=Parametres!$G$2,$Q564=Parametres!$G$3),J564,D564)</f>
        <v>0</v>
      </c>
      <c r="P564" s="611">
        <f>+IF(OR($Q564=Parametres!$G$2,$Q564=Parametres!$G$3),K564,E564)</f>
        <v>0</v>
      </c>
      <c r="Q564" s="610">
        <f t="shared" si="35"/>
        <v>0</v>
      </c>
      <c r="R564" s="609">
        <f t="shared" si="36"/>
        <v>0</v>
      </c>
      <c r="S564" s="610">
        <f t="shared" si="37"/>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38"/>
        <v>0</v>
      </c>
      <c r="M565" s="610">
        <f t="shared" si="34"/>
        <v>0</v>
      </c>
      <c r="N565" s="611">
        <f>+IF(OR($Q565=Parametres!$G$2,$Q565=Parametres!$G$3),I565,C565)</f>
        <v>0</v>
      </c>
      <c r="O565" s="611">
        <f>+IF(OR($Q565=Parametres!$G$2,$Q565=Parametres!$G$3),J565,D565)</f>
        <v>0</v>
      </c>
      <c r="P565" s="611">
        <f>+IF(OR($Q565=Parametres!$G$2,$Q565=Parametres!$G$3),K565,E565)</f>
        <v>0</v>
      </c>
      <c r="Q565" s="610">
        <f t="shared" si="35"/>
        <v>0</v>
      </c>
      <c r="R565" s="609">
        <f t="shared" si="36"/>
        <v>0</v>
      </c>
      <c r="S565" s="610">
        <f t="shared" si="37"/>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38"/>
        <v>0</v>
      </c>
      <c r="M566" s="610">
        <f t="shared" si="34"/>
        <v>0</v>
      </c>
      <c r="N566" s="611">
        <f>+IF(OR($Q566=Parametres!$G$2,$Q566=Parametres!$G$3),I566,C566)</f>
        <v>0</v>
      </c>
      <c r="O566" s="611">
        <f>+IF(OR($Q566=Parametres!$G$2,$Q566=Parametres!$G$3),J566,D566)</f>
        <v>0</v>
      </c>
      <c r="P566" s="611">
        <f>+IF(OR($Q566=Parametres!$G$2,$Q566=Parametres!$G$3),K566,E566)</f>
        <v>0</v>
      </c>
      <c r="Q566" s="610">
        <f t="shared" si="35"/>
        <v>0</v>
      </c>
      <c r="R566" s="609">
        <f t="shared" si="36"/>
        <v>0</v>
      </c>
      <c r="S566" s="610">
        <f t="shared" si="37"/>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38"/>
        <v>0</v>
      </c>
      <c r="M567" s="610">
        <f t="shared" si="34"/>
        <v>0</v>
      </c>
      <c r="N567" s="611">
        <f>+IF(OR($Q567=Parametres!$G$2,$Q567=Parametres!$G$3),I567,C567)</f>
        <v>0</v>
      </c>
      <c r="O567" s="611">
        <f>+IF(OR($Q567=Parametres!$G$2,$Q567=Parametres!$G$3),J567,D567)</f>
        <v>0</v>
      </c>
      <c r="P567" s="611">
        <f>+IF(OR($Q567=Parametres!$G$2,$Q567=Parametres!$G$3),K567,E567)</f>
        <v>0</v>
      </c>
      <c r="Q567" s="610">
        <f t="shared" si="35"/>
        <v>0</v>
      </c>
      <c r="R567" s="609">
        <f t="shared" si="36"/>
        <v>0</v>
      </c>
      <c r="S567" s="610">
        <f t="shared" si="3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38"/>
        <v>0</v>
      </c>
      <c r="M568" s="610">
        <f t="shared" si="34"/>
        <v>0</v>
      </c>
      <c r="N568" s="611">
        <f>+IF(OR($Q568=Parametres!$G$2,$Q568=Parametres!$G$3),I568,C568)</f>
        <v>0</v>
      </c>
      <c r="O568" s="611">
        <f>+IF(OR($Q568=Parametres!$G$2,$Q568=Parametres!$G$3),J568,D568)</f>
        <v>0</v>
      </c>
      <c r="P568" s="611">
        <f>+IF(OR($Q568=Parametres!$G$2,$Q568=Parametres!$G$3),K568,E568)</f>
        <v>0</v>
      </c>
      <c r="Q568" s="610">
        <f t="shared" si="35"/>
        <v>0</v>
      </c>
      <c r="R568" s="609">
        <f t="shared" si="36"/>
        <v>0</v>
      </c>
      <c r="S568" s="610">
        <f t="shared" si="37"/>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38"/>
        <v>0</v>
      </c>
      <c r="M569" s="610">
        <f t="shared" si="34"/>
        <v>0</v>
      </c>
      <c r="N569" s="611">
        <f>+IF(OR($Q569=Parametres!$G$2,$Q569=Parametres!$G$3),I569,C569)</f>
        <v>0</v>
      </c>
      <c r="O569" s="611">
        <f>+IF(OR($Q569=Parametres!$G$2,$Q569=Parametres!$G$3),J569,D569)</f>
        <v>0</v>
      </c>
      <c r="P569" s="611">
        <f>+IF(OR($Q569=Parametres!$G$2,$Q569=Parametres!$G$3),K569,E569)</f>
        <v>0</v>
      </c>
      <c r="Q569" s="610">
        <f t="shared" si="35"/>
        <v>0</v>
      </c>
      <c r="R569" s="609">
        <f t="shared" si="36"/>
        <v>0</v>
      </c>
      <c r="S569" s="610">
        <f t="shared" si="37"/>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38"/>
        <v>0</v>
      </c>
      <c r="M570" s="610">
        <f t="shared" si="34"/>
        <v>0</v>
      </c>
      <c r="N570" s="611">
        <f>+IF(OR($Q570=Parametres!$G$2,$Q570=Parametres!$G$3),I570,C570)</f>
        <v>0</v>
      </c>
      <c r="O570" s="611">
        <f>+IF(OR($Q570=Parametres!$G$2,$Q570=Parametres!$G$3),J570,D570)</f>
        <v>0</v>
      </c>
      <c r="P570" s="611">
        <f>+IF(OR($Q570=Parametres!$G$2,$Q570=Parametres!$G$3),K570,E570)</f>
        <v>0</v>
      </c>
      <c r="Q570" s="610">
        <f t="shared" si="35"/>
        <v>0</v>
      </c>
      <c r="R570" s="609">
        <f t="shared" si="36"/>
        <v>0</v>
      </c>
      <c r="S570" s="610">
        <f t="shared" si="37"/>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38"/>
        <v>0</v>
      </c>
      <c r="M571" s="610">
        <f t="shared" si="34"/>
        <v>0</v>
      </c>
      <c r="N571" s="611">
        <f>+IF(OR($Q571=Parametres!$G$2,$Q571=Parametres!$G$3),I571,C571)</f>
        <v>0</v>
      </c>
      <c r="O571" s="611">
        <f>+IF(OR($Q571=Parametres!$G$2,$Q571=Parametres!$G$3),J571,D571)</f>
        <v>0</v>
      </c>
      <c r="P571" s="611">
        <f>+IF(OR($Q571=Parametres!$G$2,$Q571=Parametres!$G$3),K571,E571)</f>
        <v>0</v>
      </c>
      <c r="Q571" s="610">
        <f t="shared" si="35"/>
        <v>0</v>
      </c>
      <c r="R571" s="609">
        <f t="shared" si="36"/>
        <v>0</v>
      </c>
      <c r="S571" s="610">
        <f t="shared" si="37"/>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38"/>
        <v>0</v>
      </c>
      <c r="M572" s="610">
        <f t="shared" si="34"/>
        <v>0</v>
      </c>
      <c r="N572" s="611">
        <f>+IF(OR($Q572=Parametres!$G$2,$Q572=Parametres!$G$3),I572,C572)</f>
        <v>0</v>
      </c>
      <c r="O572" s="611">
        <f>+IF(OR($Q572=Parametres!$G$2,$Q572=Parametres!$G$3),J572,D572)</f>
        <v>0</v>
      </c>
      <c r="P572" s="611">
        <f>+IF(OR($Q572=Parametres!$G$2,$Q572=Parametres!$G$3),K572,E572)</f>
        <v>0</v>
      </c>
      <c r="Q572" s="610">
        <f t="shared" si="35"/>
        <v>0</v>
      </c>
      <c r="R572" s="609">
        <f t="shared" si="36"/>
        <v>0</v>
      </c>
      <c r="S572" s="610">
        <f t="shared" si="37"/>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38"/>
        <v>0</v>
      </c>
      <c r="M573" s="610">
        <f t="shared" si="34"/>
        <v>0</v>
      </c>
      <c r="N573" s="611">
        <f>+IF(OR($Q573=Parametres!$G$2,$Q573=Parametres!$G$3),I573,C573)</f>
        <v>0</v>
      </c>
      <c r="O573" s="611">
        <f>+IF(OR($Q573=Parametres!$G$2,$Q573=Parametres!$G$3),J573,D573)</f>
        <v>0</v>
      </c>
      <c r="P573" s="611">
        <f>+IF(OR($Q573=Parametres!$G$2,$Q573=Parametres!$G$3),K573,E573)</f>
        <v>0</v>
      </c>
      <c r="Q573" s="610">
        <f t="shared" si="35"/>
        <v>0</v>
      </c>
      <c r="R573" s="609">
        <f t="shared" si="36"/>
        <v>0</v>
      </c>
      <c r="S573" s="610">
        <f t="shared" si="37"/>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38"/>
        <v>0</v>
      </c>
      <c r="M574" s="610">
        <f t="shared" si="34"/>
        <v>0</v>
      </c>
      <c r="N574" s="611">
        <f>+IF(OR($Q574=Parametres!$G$2,$Q574=Parametres!$G$3),I574,C574)</f>
        <v>0</v>
      </c>
      <c r="O574" s="611">
        <f>+IF(OR($Q574=Parametres!$G$2,$Q574=Parametres!$G$3),J574,D574)</f>
        <v>0</v>
      </c>
      <c r="P574" s="611">
        <f>+IF(OR($Q574=Parametres!$G$2,$Q574=Parametres!$G$3),K574,E574)</f>
        <v>0</v>
      </c>
      <c r="Q574" s="610">
        <f t="shared" si="35"/>
        <v>0</v>
      </c>
      <c r="R574" s="609">
        <f t="shared" si="36"/>
        <v>0</v>
      </c>
      <c r="S574" s="610">
        <f t="shared" si="37"/>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38"/>
        <v>0</v>
      </c>
      <c r="M575" s="610">
        <f t="shared" si="34"/>
        <v>0</v>
      </c>
      <c r="N575" s="611">
        <f>+IF(OR($Q575=Parametres!$G$2,$Q575=Parametres!$G$3),I575,C575)</f>
        <v>0</v>
      </c>
      <c r="O575" s="611">
        <f>+IF(OR($Q575=Parametres!$G$2,$Q575=Parametres!$G$3),J575,D575)</f>
        <v>0</v>
      </c>
      <c r="P575" s="611">
        <f>+IF(OR($Q575=Parametres!$G$2,$Q575=Parametres!$G$3),K575,E575)</f>
        <v>0</v>
      </c>
      <c r="Q575" s="610">
        <f t="shared" si="35"/>
        <v>0</v>
      </c>
      <c r="R575" s="609">
        <f t="shared" si="36"/>
        <v>0</v>
      </c>
      <c r="S575" s="610">
        <f t="shared" si="37"/>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38"/>
        <v>0</v>
      </c>
      <c r="M576" s="610">
        <f t="shared" si="34"/>
        <v>0</v>
      </c>
      <c r="N576" s="611">
        <f>+IF(OR($Q576=Parametres!$G$2,$Q576=Parametres!$G$3),I576,C576)</f>
        <v>0</v>
      </c>
      <c r="O576" s="611">
        <f>+IF(OR($Q576=Parametres!$G$2,$Q576=Parametres!$G$3),J576,D576)</f>
        <v>0</v>
      </c>
      <c r="P576" s="611">
        <f>+IF(OR($Q576=Parametres!$G$2,$Q576=Parametres!$G$3),K576,E576)</f>
        <v>0</v>
      </c>
      <c r="Q576" s="610">
        <f t="shared" si="35"/>
        <v>0</v>
      </c>
      <c r="R576" s="609">
        <f t="shared" si="36"/>
        <v>0</v>
      </c>
      <c r="S576" s="610">
        <f t="shared" si="37"/>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38"/>
        <v>0</v>
      </c>
      <c r="M577" s="610">
        <f t="shared" si="34"/>
        <v>0</v>
      </c>
      <c r="N577" s="611">
        <f>+IF(OR($Q577=Parametres!$G$2,$Q577=Parametres!$G$3),I577,C577)</f>
        <v>0</v>
      </c>
      <c r="O577" s="611">
        <f>+IF(OR($Q577=Parametres!$G$2,$Q577=Parametres!$G$3),J577,D577)</f>
        <v>0</v>
      </c>
      <c r="P577" s="611">
        <f>+IF(OR($Q577=Parametres!$G$2,$Q577=Parametres!$G$3),K577,E577)</f>
        <v>0</v>
      </c>
      <c r="Q577" s="610">
        <f t="shared" si="35"/>
        <v>0</v>
      </c>
      <c r="R577" s="609">
        <f t="shared" si="36"/>
        <v>0</v>
      </c>
      <c r="S577" s="610">
        <f t="shared" si="3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38"/>
        <v>0</v>
      </c>
      <c r="M578" s="610">
        <f t="shared" si="34"/>
        <v>0</v>
      </c>
      <c r="N578" s="611">
        <f>+IF(OR($Q578=Parametres!$G$2,$Q578=Parametres!$G$3),I578,C578)</f>
        <v>0</v>
      </c>
      <c r="O578" s="611">
        <f>+IF(OR($Q578=Parametres!$G$2,$Q578=Parametres!$G$3),J578,D578)</f>
        <v>0</v>
      </c>
      <c r="P578" s="611">
        <f>+IF(OR($Q578=Parametres!$G$2,$Q578=Parametres!$G$3),K578,E578)</f>
        <v>0</v>
      </c>
      <c r="Q578" s="610">
        <f t="shared" ref="Q578:Q641" si="39">+F578</f>
        <v>0</v>
      </c>
      <c r="R578" s="609">
        <f t="shared" ref="R578:R641" si="40">+G578</f>
        <v>0</v>
      </c>
      <c r="S578" s="610">
        <f t="shared" ref="S578:S641" si="41">+H578</f>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42">TEXT(B579,0)</f>
        <v>0</v>
      </c>
      <c r="M579" s="610">
        <f t="shared" si="34"/>
        <v>0</v>
      </c>
      <c r="N579" s="611">
        <f>+IF(OR($Q579=Parametres!$G$2,$Q579=Parametres!$G$3),I579,C579)</f>
        <v>0</v>
      </c>
      <c r="O579" s="611">
        <f>+IF(OR($Q579=Parametres!$G$2,$Q579=Parametres!$G$3),J579,D579)</f>
        <v>0</v>
      </c>
      <c r="P579" s="611">
        <f>+IF(OR($Q579=Parametres!$G$2,$Q579=Parametres!$G$3),K579,E579)</f>
        <v>0</v>
      </c>
      <c r="Q579" s="610">
        <f t="shared" si="39"/>
        <v>0</v>
      </c>
      <c r="R579" s="609">
        <f t="shared" si="40"/>
        <v>0</v>
      </c>
      <c r="S579" s="610">
        <f t="shared" si="41"/>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42"/>
        <v>0</v>
      </c>
      <c r="M580" s="610">
        <f t="shared" si="34"/>
        <v>0</v>
      </c>
      <c r="N580" s="611">
        <f>+IF(OR($Q580=Parametres!$G$2,$Q580=Parametres!$G$3),I580,C580)</f>
        <v>0</v>
      </c>
      <c r="O580" s="611">
        <f>+IF(OR($Q580=Parametres!$G$2,$Q580=Parametres!$G$3),J580,D580)</f>
        <v>0</v>
      </c>
      <c r="P580" s="611">
        <f>+IF(OR($Q580=Parametres!$G$2,$Q580=Parametres!$G$3),K580,E580)</f>
        <v>0</v>
      </c>
      <c r="Q580" s="610">
        <f t="shared" si="39"/>
        <v>0</v>
      </c>
      <c r="R580" s="609">
        <f t="shared" si="40"/>
        <v>0</v>
      </c>
      <c r="S580" s="610">
        <f t="shared" si="4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42"/>
        <v>0</v>
      </c>
      <c r="M581" s="610">
        <f t="shared" si="34"/>
        <v>0</v>
      </c>
      <c r="N581" s="611">
        <f>+IF(OR($Q581=Parametres!$G$2,$Q581=Parametres!$G$3),I581,C581)</f>
        <v>0</v>
      </c>
      <c r="O581" s="611">
        <f>+IF(OR($Q581=Parametres!$G$2,$Q581=Parametres!$G$3),J581,D581)</f>
        <v>0</v>
      </c>
      <c r="P581" s="611">
        <f>+IF(OR($Q581=Parametres!$G$2,$Q581=Parametres!$G$3),K581,E581)</f>
        <v>0</v>
      </c>
      <c r="Q581" s="610">
        <f t="shared" si="39"/>
        <v>0</v>
      </c>
      <c r="R581" s="609">
        <f t="shared" si="40"/>
        <v>0</v>
      </c>
      <c r="S581" s="610">
        <f t="shared" si="41"/>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42"/>
        <v>0</v>
      </c>
      <c r="M582" s="610">
        <f t="shared" si="34"/>
        <v>0</v>
      </c>
      <c r="N582" s="611">
        <f>+IF(OR($Q582=Parametres!$G$2,$Q582=Parametres!$G$3),I582,C582)</f>
        <v>0</v>
      </c>
      <c r="O582" s="611">
        <f>+IF(OR($Q582=Parametres!$G$2,$Q582=Parametres!$G$3),J582,D582)</f>
        <v>0</v>
      </c>
      <c r="P582" s="611">
        <f>+IF(OR($Q582=Parametres!$G$2,$Q582=Parametres!$G$3),K582,E582)</f>
        <v>0</v>
      </c>
      <c r="Q582" s="610">
        <f t="shared" si="39"/>
        <v>0</v>
      </c>
      <c r="R582" s="609">
        <f t="shared" si="40"/>
        <v>0</v>
      </c>
      <c r="S582" s="610">
        <f t="shared" si="41"/>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42"/>
        <v>0</v>
      </c>
      <c r="M583" s="610">
        <f t="shared" si="34"/>
        <v>0</v>
      </c>
      <c r="N583" s="611">
        <f>+IF(OR($Q583=Parametres!$G$2,$Q583=Parametres!$G$3),I583,C583)</f>
        <v>0</v>
      </c>
      <c r="O583" s="611">
        <f>+IF(OR($Q583=Parametres!$G$2,$Q583=Parametres!$G$3),J583,D583)</f>
        <v>0</v>
      </c>
      <c r="P583" s="611">
        <f>+IF(OR($Q583=Parametres!$G$2,$Q583=Parametres!$G$3),K583,E583)</f>
        <v>0</v>
      </c>
      <c r="Q583" s="610">
        <f t="shared" si="39"/>
        <v>0</v>
      </c>
      <c r="R583" s="609">
        <f t="shared" si="40"/>
        <v>0</v>
      </c>
      <c r="S583" s="610">
        <f t="shared" si="41"/>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42"/>
        <v>0</v>
      </c>
      <c r="M584" s="610">
        <f t="shared" si="34"/>
        <v>0</v>
      </c>
      <c r="N584" s="611">
        <f>+IF(OR($Q584=Parametres!$G$2,$Q584=Parametres!$G$3),I584,C584)</f>
        <v>0</v>
      </c>
      <c r="O584" s="611">
        <f>+IF(OR($Q584=Parametres!$G$2,$Q584=Parametres!$G$3),J584,D584)</f>
        <v>0</v>
      </c>
      <c r="P584" s="611">
        <f>+IF(OR($Q584=Parametres!$G$2,$Q584=Parametres!$G$3),K584,E584)</f>
        <v>0</v>
      </c>
      <c r="Q584" s="610">
        <f t="shared" si="39"/>
        <v>0</v>
      </c>
      <c r="R584" s="609">
        <f t="shared" si="40"/>
        <v>0</v>
      </c>
      <c r="S584" s="610">
        <f t="shared" si="41"/>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42"/>
        <v>0</v>
      </c>
      <c r="M585" s="610">
        <f t="shared" si="34"/>
        <v>0</v>
      </c>
      <c r="N585" s="611">
        <f>+IF(OR($Q585=Parametres!$G$2,$Q585=Parametres!$G$3),I585,C585)</f>
        <v>0</v>
      </c>
      <c r="O585" s="611">
        <f>+IF(OR($Q585=Parametres!$G$2,$Q585=Parametres!$G$3),J585,D585)</f>
        <v>0</v>
      </c>
      <c r="P585" s="611">
        <f>+IF(OR($Q585=Parametres!$G$2,$Q585=Parametres!$G$3),K585,E585)</f>
        <v>0</v>
      </c>
      <c r="Q585" s="610">
        <f t="shared" si="39"/>
        <v>0</v>
      </c>
      <c r="R585" s="609">
        <f t="shared" si="40"/>
        <v>0</v>
      </c>
      <c r="S585" s="610">
        <f t="shared" si="41"/>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42"/>
        <v>0</v>
      </c>
      <c r="M586" s="610">
        <f t="shared" si="34"/>
        <v>0</v>
      </c>
      <c r="N586" s="611">
        <f>+IF(OR($Q586=Parametres!$G$2,$Q586=Parametres!$G$3),I586,C586)</f>
        <v>0</v>
      </c>
      <c r="O586" s="611">
        <f>+IF(OR($Q586=Parametres!$G$2,$Q586=Parametres!$G$3),J586,D586)</f>
        <v>0</v>
      </c>
      <c r="P586" s="611">
        <f>+IF(OR($Q586=Parametres!$G$2,$Q586=Parametres!$G$3),K586,E586)</f>
        <v>0</v>
      </c>
      <c r="Q586" s="610">
        <f t="shared" si="39"/>
        <v>0</v>
      </c>
      <c r="R586" s="609">
        <f t="shared" si="40"/>
        <v>0</v>
      </c>
      <c r="S586" s="610">
        <f t="shared" si="41"/>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42"/>
        <v>0</v>
      </c>
      <c r="M587" s="610">
        <f t="shared" si="34"/>
        <v>0</v>
      </c>
      <c r="N587" s="611">
        <f>+IF(OR($Q587=Parametres!$G$2,$Q587=Parametres!$G$3),I587,C587)</f>
        <v>0</v>
      </c>
      <c r="O587" s="611">
        <f>+IF(OR($Q587=Parametres!$G$2,$Q587=Parametres!$G$3),J587,D587)</f>
        <v>0</v>
      </c>
      <c r="P587" s="611">
        <f>+IF(OR($Q587=Parametres!$G$2,$Q587=Parametres!$G$3),K587,E587)</f>
        <v>0</v>
      </c>
      <c r="Q587" s="610">
        <f t="shared" si="39"/>
        <v>0</v>
      </c>
      <c r="R587" s="609">
        <f t="shared" si="40"/>
        <v>0</v>
      </c>
      <c r="S587" s="610">
        <f t="shared" si="41"/>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42"/>
        <v>0</v>
      </c>
      <c r="M588" s="610">
        <f t="shared" si="34"/>
        <v>0</v>
      </c>
      <c r="N588" s="611">
        <f>+IF(OR($Q588=Parametres!$G$2,$Q588=Parametres!$G$3),I588,C588)</f>
        <v>0</v>
      </c>
      <c r="O588" s="611">
        <f>+IF(OR($Q588=Parametres!$G$2,$Q588=Parametres!$G$3),J588,D588)</f>
        <v>0</v>
      </c>
      <c r="P588" s="611">
        <f>+IF(OR($Q588=Parametres!$G$2,$Q588=Parametres!$G$3),K588,E588)</f>
        <v>0</v>
      </c>
      <c r="Q588" s="610">
        <f t="shared" si="39"/>
        <v>0</v>
      </c>
      <c r="R588" s="609">
        <f t="shared" si="40"/>
        <v>0</v>
      </c>
      <c r="S588" s="610">
        <f t="shared" si="41"/>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42"/>
        <v>0</v>
      </c>
      <c r="M589" s="610">
        <f t="shared" si="34"/>
        <v>0</v>
      </c>
      <c r="N589" s="611">
        <f>+IF(OR($Q589=Parametres!$G$2,$Q589=Parametres!$G$3),I589,C589)</f>
        <v>0</v>
      </c>
      <c r="O589" s="611">
        <f>+IF(OR($Q589=Parametres!$G$2,$Q589=Parametres!$G$3),J589,D589)</f>
        <v>0</v>
      </c>
      <c r="P589" s="611">
        <f>+IF(OR($Q589=Parametres!$G$2,$Q589=Parametres!$G$3),K589,E589)</f>
        <v>0</v>
      </c>
      <c r="Q589" s="610">
        <f t="shared" si="39"/>
        <v>0</v>
      </c>
      <c r="R589" s="609">
        <f t="shared" si="40"/>
        <v>0</v>
      </c>
      <c r="S589" s="610">
        <f t="shared" si="41"/>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42"/>
        <v>0</v>
      </c>
      <c r="M590" s="610">
        <f t="shared" si="34"/>
        <v>0</v>
      </c>
      <c r="N590" s="611">
        <f>+IF(OR($Q590=Parametres!$G$2,$Q590=Parametres!$G$3),I590,C590)</f>
        <v>0</v>
      </c>
      <c r="O590" s="611">
        <f>+IF(OR($Q590=Parametres!$G$2,$Q590=Parametres!$G$3),J590,D590)</f>
        <v>0</v>
      </c>
      <c r="P590" s="611">
        <f>+IF(OR($Q590=Parametres!$G$2,$Q590=Parametres!$G$3),K590,E590)</f>
        <v>0</v>
      </c>
      <c r="Q590" s="610">
        <f t="shared" si="39"/>
        <v>0</v>
      </c>
      <c r="R590" s="609">
        <f t="shared" si="40"/>
        <v>0</v>
      </c>
      <c r="S590" s="610">
        <f t="shared" si="4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42"/>
        <v>0</v>
      </c>
      <c r="M591" s="610">
        <f t="shared" si="34"/>
        <v>0</v>
      </c>
      <c r="N591" s="611">
        <f>+IF(OR($Q591=Parametres!$G$2,$Q591=Parametres!$G$3),I591,C591)</f>
        <v>0</v>
      </c>
      <c r="O591" s="611">
        <f>+IF(OR($Q591=Parametres!$G$2,$Q591=Parametres!$G$3),J591,D591)</f>
        <v>0</v>
      </c>
      <c r="P591" s="611">
        <f>+IF(OR($Q591=Parametres!$G$2,$Q591=Parametres!$G$3),K591,E591)</f>
        <v>0</v>
      </c>
      <c r="Q591" s="610">
        <f t="shared" si="39"/>
        <v>0</v>
      </c>
      <c r="R591" s="609">
        <f t="shared" si="40"/>
        <v>0</v>
      </c>
      <c r="S591" s="610">
        <f t="shared" si="41"/>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42"/>
        <v>0</v>
      </c>
      <c r="M592" s="610">
        <f t="shared" si="34"/>
        <v>0</v>
      </c>
      <c r="N592" s="611">
        <f>+IF(OR($Q592=Parametres!$G$2,$Q592=Parametres!$G$3),I592,C592)</f>
        <v>0</v>
      </c>
      <c r="O592" s="611">
        <f>+IF(OR($Q592=Parametres!$G$2,$Q592=Parametres!$G$3),J592,D592)</f>
        <v>0</v>
      </c>
      <c r="P592" s="611">
        <f>+IF(OR($Q592=Parametres!$G$2,$Q592=Parametres!$G$3),K592,E592)</f>
        <v>0</v>
      </c>
      <c r="Q592" s="610">
        <f t="shared" si="39"/>
        <v>0</v>
      </c>
      <c r="R592" s="609">
        <f t="shared" si="40"/>
        <v>0</v>
      </c>
      <c r="S592" s="610">
        <f t="shared" si="41"/>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42"/>
        <v>0</v>
      </c>
      <c r="M593" s="610">
        <f t="shared" si="34"/>
        <v>0</v>
      </c>
      <c r="N593" s="611">
        <f>+IF(OR($Q593=Parametres!$G$2,$Q593=Parametres!$G$3),I593,C593)</f>
        <v>0</v>
      </c>
      <c r="O593" s="611">
        <f>+IF(OR($Q593=Parametres!$G$2,$Q593=Parametres!$G$3),J593,D593)</f>
        <v>0</v>
      </c>
      <c r="P593" s="611">
        <f>+IF(OR($Q593=Parametres!$G$2,$Q593=Parametres!$G$3),K593,E593)</f>
        <v>0</v>
      </c>
      <c r="Q593" s="610">
        <f t="shared" si="39"/>
        <v>0</v>
      </c>
      <c r="R593" s="609">
        <f t="shared" si="40"/>
        <v>0</v>
      </c>
      <c r="S593" s="610">
        <f t="shared" si="41"/>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42"/>
        <v>0</v>
      </c>
      <c r="M594" s="610">
        <f t="shared" si="34"/>
        <v>0</v>
      </c>
      <c r="N594" s="611">
        <f>+IF(OR($Q594=Parametres!$G$2,$Q594=Parametres!$G$3),I594,C594)</f>
        <v>0</v>
      </c>
      <c r="O594" s="611">
        <f>+IF(OR($Q594=Parametres!$G$2,$Q594=Parametres!$G$3),J594,D594)</f>
        <v>0</v>
      </c>
      <c r="P594" s="611">
        <f>+IF(OR($Q594=Parametres!$G$2,$Q594=Parametres!$G$3),K594,E594)</f>
        <v>0</v>
      </c>
      <c r="Q594" s="610">
        <f t="shared" si="39"/>
        <v>0</v>
      </c>
      <c r="R594" s="609">
        <f t="shared" si="40"/>
        <v>0</v>
      </c>
      <c r="S594" s="610">
        <f t="shared" si="41"/>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42"/>
        <v>0</v>
      </c>
      <c r="M595" s="610">
        <f t="shared" si="34"/>
        <v>0</v>
      </c>
      <c r="N595" s="611">
        <f>+IF(OR($Q595=Parametres!$G$2,$Q595=Parametres!$G$3),I595,C595)</f>
        <v>0</v>
      </c>
      <c r="O595" s="611">
        <f>+IF(OR($Q595=Parametres!$G$2,$Q595=Parametres!$G$3),J595,D595)</f>
        <v>0</v>
      </c>
      <c r="P595" s="611">
        <f>+IF(OR($Q595=Parametres!$G$2,$Q595=Parametres!$G$3),K595,E595)</f>
        <v>0</v>
      </c>
      <c r="Q595" s="610">
        <f t="shared" si="39"/>
        <v>0</v>
      </c>
      <c r="R595" s="609">
        <f t="shared" si="40"/>
        <v>0</v>
      </c>
      <c r="S595" s="610">
        <f t="shared" si="41"/>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42"/>
        <v>0</v>
      </c>
      <c r="M596" s="610">
        <f t="shared" si="34"/>
        <v>0</v>
      </c>
      <c r="N596" s="611">
        <f>+IF(OR($Q596=Parametres!$G$2,$Q596=Parametres!$G$3),I596,C596)</f>
        <v>0</v>
      </c>
      <c r="O596" s="611">
        <f>+IF(OR($Q596=Parametres!$G$2,$Q596=Parametres!$G$3),J596,D596)</f>
        <v>0</v>
      </c>
      <c r="P596" s="611">
        <f>+IF(OR($Q596=Parametres!$G$2,$Q596=Parametres!$G$3),K596,E596)</f>
        <v>0</v>
      </c>
      <c r="Q596" s="610">
        <f t="shared" si="39"/>
        <v>0</v>
      </c>
      <c r="R596" s="609">
        <f t="shared" si="40"/>
        <v>0</v>
      </c>
      <c r="S596" s="610">
        <f t="shared" si="41"/>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42"/>
        <v>0</v>
      </c>
      <c r="M597" s="610">
        <f t="shared" si="34"/>
        <v>0</v>
      </c>
      <c r="N597" s="611">
        <f>+IF(OR($Q597=Parametres!$G$2,$Q597=Parametres!$G$3),I597,C597)</f>
        <v>0</v>
      </c>
      <c r="O597" s="611">
        <f>+IF(OR($Q597=Parametres!$G$2,$Q597=Parametres!$G$3),J597,D597)</f>
        <v>0</v>
      </c>
      <c r="P597" s="611">
        <f>+IF(OR($Q597=Parametres!$G$2,$Q597=Parametres!$G$3),K597,E597)</f>
        <v>0</v>
      </c>
      <c r="Q597" s="610">
        <f t="shared" si="39"/>
        <v>0</v>
      </c>
      <c r="R597" s="609">
        <f t="shared" si="40"/>
        <v>0</v>
      </c>
      <c r="S597" s="610">
        <f t="shared" si="41"/>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42"/>
        <v>0</v>
      </c>
      <c r="M598" s="610">
        <f t="shared" si="34"/>
        <v>0</v>
      </c>
      <c r="N598" s="611">
        <f>+IF(OR($Q598=Parametres!$G$2,$Q598=Parametres!$G$3),I598,C598)</f>
        <v>0</v>
      </c>
      <c r="O598" s="611">
        <f>+IF(OR($Q598=Parametres!$G$2,$Q598=Parametres!$G$3),J598,D598)</f>
        <v>0</v>
      </c>
      <c r="P598" s="611">
        <f>+IF(OR($Q598=Parametres!$G$2,$Q598=Parametres!$G$3),K598,E598)</f>
        <v>0</v>
      </c>
      <c r="Q598" s="610">
        <f t="shared" si="39"/>
        <v>0</v>
      </c>
      <c r="R598" s="609">
        <f t="shared" si="40"/>
        <v>0</v>
      </c>
      <c r="S598" s="610">
        <f t="shared" si="41"/>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42"/>
        <v>0</v>
      </c>
      <c r="M599" s="610">
        <f t="shared" si="34"/>
        <v>0</v>
      </c>
      <c r="N599" s="611">
        <f>+IF(OR($Q599=Parametres!$G$2,$Q599=Parametres!$G$3),I599,C599)</f>
        <v>0</v>
      </c>
      <c r="O599" s="611">
        <f>+IF(OR($Q599=Parametres!$G$2,$Q599=Parametres!$G$3),J599,D599)</f>
        <v>0</v>
      </c>
      <c r="P599" s="611">
        <f>+IF(OR($Q599=Parametres!$G$2,$Q599=Parametres!$G$3),K599,E599)</f>
        <v>0</v>
      </c>
      <c r="Q599" s="610">
        <f t="shared" si="39"/>
        <v>0</v>
      </c>
      <c r="R599" s="609">
        <f t="shared" si="40"/>
        <v>0</v>
      </c>
      <c r="S599" s="610">
        <f t="shared" si="41"/>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42"/>
        <v>0</v>
      </c>
      <c r="M600" s="610">
        <f t="shared" si="34"/>
        <v>0</v>
      </c>
      <c r="N600" s="611">
        <f>+IF(OR($Q600=Parametres!$G$2,$Q600=Parametres!$G$3),I600,C600)</f>
        <v>0</v>
      </c>
      <c r="O600" s="611">
        <f>+IF(OR($Q600=Parametres!$G$2,$Q600=Parametres!$G$3),J600,D600)</f>
        <v>0</v>
      </c>
      <c r="P600" s="611">
        <f>+IF(OR($Q600=Parametres!$G$2,$Q600=Parametres!$G$3),K600,E600)</f>
        <v>0</v>
      </c>
      <c r="Q600" s="610">
        <f t="shared" si="39"/>
        <v>0</v>
      </c>
      <c r="R600" s="609">
        <f t="shared" si="40"/>
        <v>0</v>
      </c>
      <c r="S600" s="610">
        <f t="shared" si="4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42"/>
        <v>0</v>
      </c>
      <c r="M601" s="610">
        <f t="shared" si="34"/>
        <v>0</v>
      </c>
      <c r="N601" s="611">
        <f>+IF(OR($Q601=Parametres!$G$2,$Q601=Parametres!$G$3),I601,C601)</f>
        <v>0</v>
      </c>
      <c r="O601" s="611">
        <f>+IF(OR($Q601=Parametres!$G$2,$Q601=Parametres!$G$3),J601,D601)</f>
        <v>0</v>
      </c>
      <c r="P601" s="611">
        <f>+IF(OR($Q601=Parametres!$G$2,$Q601=Parametres!$G$3),K601,E601)</f>
        <v>0</v>
      </c>
      <c r="Q601" s="610">
        <f t="shared" si="39"/>
        <v>0</v>
      </c>
      <c r="R601" s="609">
        <f t="shared" si="40"/>
        <v>0</v>
      </c>
      <c r="S601" s="610">
        <f t="shared" si="41"/>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42"/>
        <v>0</v>
      </c>
      <c r="M602" s="610">
        <f t="shared" si="34"/>
        <v>0</v>
      </c>
      <c r="N602" s="611">
        <f>+IF(OR($Q602=Parametres!$G$2,$Q602=Parametres!$G$3),I602,C602)</f>
        <v>0</v>
      </c>
      <c r="O602" s="611">
        <f>+IF(OR($Q602=Parametres!$G$2,$Q602=Parametres!$G$3),J602,D602)</f>
        <v>0</v>
      </c>
      <c r="P602" s="611">
        <f>+IF(OR($Q602=Parametres!$G$2,$Q602=Parametres!$G$3),K602,E602)</f>
        <v>0</v>
      </c>
      <c r="Q602" s="610">
        <f t="shared" si="39"/>
        <v>0</v>
      </c>
      <c r="R602" s="609">
        <f t="shared" si="40"/>
        <v>0</v>
      </c>
      <c r="S602" s="610">
        <f t="shared" si="41"/>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42"/>
        <v>0</v>
      </c>
      <c r="M603" s="610">
        <f t="shared" si="34"/>
        <v>0</v>
      </c>
      <c r="N603" s="611">
        <f>+IF(OR($Q603=Parametres!$G$2,$Q603=Parametres!$G$3),I603,C603)</f>
        <v>0</v>
      </c>
      <c r="O603" s="611">
        <f>+IF(OR($Q603=Parametres!$G$2,$Q603=Parametres!$G$3),J603,D603)</f>
        <v>0</v>
      </c>
      <c r="P603" s="611">
        <f>+IF(OR($Q603=Parametres!$G$2,$Q603=Parametres!$G$3),K603,E603)</f>
        <v>0</v>
      </c>
      <c r="Q603" s="610">
        <f t="shared" si="39"/>
        <v>0</v>
      </c>
      <c r="R603" s="609">
        <f t="shared" si="40"/>
        <v>0</v>
      </c>
      <c r="S603" s="610">
        <f t="shared" si="41"/>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42"/>
        <v>0</v>
      </c>
      <c r="M604" s="610">
        <f t="shared" si="34"/>
        <v>0</v>
      </c>
      <c r="N604" s="611">
        <f>+IF(OR($Q604=Parametres!$G$2,$Q604=Parametres!$G$3),I604,C604)</f>
        <v>0</v>
      </c>
      <c r="O604" s="611">
        <f>+IF(OR($Q604=Parametres!$G$2,$Q604=Parametres!$G$3),J604,D604)</f>
        <v>0</v>
      </c>
      <c r="P604" s="611">
        <f>+IF(OR($Q604=Parametres!$G$2,$Q604=Parametres!$G$3),K604,E604)</f>
        <v>0</v>
      </c>
      <c r="Q604" s="610">
        <f t="shared" si="39"/>
        <v>0</v>
      </c>
      <c r="R604" s="609">
        <f t="shared" si="40"/>
        <v>0</v>
      </c>
      <c r="S604" s="610">
        <f t="shared" si="41"/>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42"/>
        <v>0</v>
      </c>
      <c r="M605" s="610">
        <f t="shared" si="34"/>
        <v>0</v>
      </c>
      <c r="N605" s="611">
        <f>+IF(OR($Q605=Parametres!$G$2,$Q605=Parametres!$G$3),I605,C605)</f>
        <v>0</v>
      </c>
      <c r="O605" s="611">
        <f>+IF(OR($Q605=Parametres!$G$2,$Q605=Parametres!$G$3),J605,D605)</f>
        <v>0</v>
      </c>
      <c r="P605" s="611">
        <f>+IF(OR($Q605=Parametres!$G$2,$Q605=Parametres!$G$3),K605,E605)</f>
        <v>0</v>
      </c>
      <c r="Q605" s="610">
        <f t="shared" si="39"/>
        <v>0</v>
      </c>
      <c r="R605" s="609">
        <f t="shared" si="40"/>
        <v>0</v>
      </c>
      <c r="S605" s="610">
        <f t="shared" si="41"/>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42"/>
        <v>0</v>
      </c>
      <c r="M606" s="610">
        <f t="shared" si="34"/>
        <v>0</v>
      </c>
      <c r="N606" s="611">
        <f>+IF(OR($Q606=Parametres!$G$2,$Q606=Parametres!$G$3),I606,C606)</f>
        <v>0</v>
      </c>
      <c r="O606" s="611">
        <f>+IF(OR($Q606=Parametres!$G$2,$Q606=Parametres!$G$3),J606,D606)</f>
        <v>0</v>
      </c>
      <c r="P606" s="611">
        <f>+IF(OR($Q606=Parametres!$G$2,$Q606=Parametres!$G$3),K606,E606)</f>
        <v>0</v>
      </c>
      <c r="Q606" s="610">
        <f t="shared" si="39"/>
        <v>0</v>
      </c>
      <c r="R606" s="609">
        <f t="shared" si="40"/>
        <v>0</v>
      </c>
      <c r="S606" s="610">
        <f t="shared" si="41"/>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42"/>
        <v>0</v>
      </c>
      <c r="M607" s="610">
        <f t="shared" si="34"/>
        <v>0</v>
      </c>
      <c r="N607" s="611">
        <f>+IF(OR($Q607=Parametres!$G$2,$Q607=Parametres!$G$3),I607,C607)</f>
        <v>0</v>
      </c>
      <c r="O607" s="611">
        <f>+IF(OR($Q607=Parametres!$G$2,$Q607=Parametres!$G$3),J607,D607)</f>
        <v>0</v>
      </c>
      <c r="P607" s="611">
        <f>+IF(OR($Q607=Parametres!$G$2,$Q607=Parametres!$G$3),K607,E607)</f>
        <v>0</v>
      </c>
      <c r="Q607" s="610">
        <f t="shared" si="39"/>
        <v>0</v>
      </c>
      <c r="R607" s="609">
        <f t="shared" si="40"/>
        <v>0</v>
      </c>
      <c r="S607" s="610">
        <f t="shared" si="41"/>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42"/>
        <v>0</v>
      </c>
      <c r="M608" s="610">
        <f t="shared" si="34"/>
        <v>0</v>
      </c>
      <c r="N608" s="611">
        <f>+IF(OR($Q608=Parametres!$G$2,$Q608=Parametres!$G$3),I608,C608)</f>
        <v>0</v>
      </c>
      <c r="O608" s="611">
        <f>+IF(OR($Q608=Parametres!$G$2,$Q608=Parametres!$G$3),J608,D608)</f>
        <v>0</v>
      </c>
      <c r="P608" s="611">
        <f>+IF(OR($Q608=Parametres!$G$2,$Q608=Parametres!$G$3),K608,E608)</f>
        <v>0</v>
      </c>
      <c r="Q608" s="610">
        <f t="shared" si="39"/>
        <v>0</v>
      </c>
      <c r="R608" s="609">
        <f t="shared" si="40"/>
        <v>0</v>
      </c>
      <c r="S608" s="610">
        <f t="shared" si="41"/>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42"/>
        <v>0</v>
      </c>
      <c r="M609" s="610">
        <f t="shared" si="34"/>
        <v>0</v>
      </c>
      <c r="N609" s="611">
        <f>+IF(OR($Q609=Parametres!$G$2,$Q609=Parametres!$G$3),I609,C609)</f>
        <v>0</v>
      </c>
      <c r="O609" s="611">
        <f>+IF(OR($Q609=Parametres!$G$2,$Q609=Parametres!$G$3),J609,D609)</f>
        <v>0</v>
      </c>
      <c r="P609" s="611">
        <f>+IF(OR($Q609=Parametres!$G$2,$Q609=Parametres!$G$3),K609,E609)</f>
        <v>0</v>
      </c>
      <c r="Q609" s="610">
        <f t="shared" si="39"/>
        <v>0</v>
      </c>
      <c r="R609" s="609">
        <f t="shared" si="40"/>
        <v>0</v>
      </c>
      <c r="S609" s="610">
        <f t="shared" si="41"/>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42"/>
        <v>0</v>
      </c>
      <c r="M610" s="610">
        <f t="shared" si="34"/>
        <v>0</v>
      </c>
      <c r="N610" s="611">
        <f>+IF(OR($Q610=Parametres!$G$2,$Q610=Parametres!$G$3),I610,C610)</f>
        <v>0</v>
      </c>
      <c r="O610" s="611">
        <f>+IF(OR($Q610=Parametres!$G$2,$Q610=Parametres!$G$3),J610,D610)</f>
        <v>0</v>
      </c>
      <c r="P610" s="611">
        <f>+IF(OR($Q610=Parametres!$G$2,$Q610=Parametres!$G$3),K610,E610)</f>
        <v>0</v>
      </c>
      <c r="Q610" s="610">
        <f t="shared" si="39"/>
        <v>0</v>
      </c>
      <c r="R610" s="609">
        <f t="shared" si="40"/>
        <v>0</v>
      </c>
      <c r="S610" s="610">
        <f t="shared" si="4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42"/>
        <v>0</v>
      </c>
      <c r="M611" s="610">
        <f t="shared" si="34"/>
        <v>0</v>
      </c>
      <c r="N611" s="611">
        <f>+IF(OR($Q611=Parametres!$G$2,$Q611=Parametres!$G$3),I611,C611)</f>
        <v>0</v>
      </c>
      <c r="O611" s="611">
        <f>+IF(OR($Q611=Parametres!$G$2,$Q611=Parametres!$G$3),J611,D611)</f>
        <v>0</v>
      </c>
      <c r="P611" s="611">
        <f>+IF(OR($Q611=Parametres!$G$2,$Q611=Parametres!$G$3),K611,E611)</f>
        <v>0</v>
      </c>
      <c r="Q611" s="610">
        <f t="shared" si="39"/>
        <v>0</v>
      </c>
      <c r="R611" s="609">
        <f t="shared" si="40"/>
        <v>0</v>
      </c>
      <c r="S611" s="610">
        <f t="shared" si="41"/>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42"/>
        <v>0</v>
      </c>
      <c r="M612" s="610">
        <f t="shared" si="34"/>
        <v>0</v>
      </c>
      <c r="N612" s="611">
        <f>+IF(OR($Q612=Parametres!$G$2,$Q612=Parametres!$G$3),I612,C612)</f>
        <v>0</v>
      </c>
      <c r="O612" s="611">
        <f>+IF(OR($Q612=Parametres!$G$2,$Q612=Parametres!$G$3),J612,D612)</f>
        <v>0</v>
      </c>
      <c r="P612" s="611">
        <f>+IF(OR($Q612=Parametres!$G$2,$Q612=Parametres!$G$3),K612,E612)</f>
        <v>0</v>
      </c>
      <c r="Q612" s="610">
        <f t="shared" si="39"/>
        <v>0</v>
      </c>
      <c r="R612" s="609">
        <f t="shared" si="40"/>
        <v>0</v>
      </c>
      <c r="S612" s="610">
        <f t="shared" si="41"/>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42"/>
        <v>0</v>
      </c>
      <c r="M613" s="610">
        <f t="shared" si="34"/>
        <v>0</v>
      </c>
      <c r="N613" s="611">
        <f>+IF(OR($Q613=Parametres!$G$2,$Q613=Parametres!$G$3),I613,C613)</f>
        <v>0</v>
      </c>
      <c r="O613" s="611">
        <f>+IF(OR($Q613=Parametres!$G$2,$Q613=Parametres!$G$3),J613,D613)</f>
        <v>0</v>
      </c>
      <c r="P613" s="611">
        <f>+IF(OR($Q613=Parametres!$G$2,$Q613=Parametres!$G$3),K613,E613)</f>
        <v>0</v>
      </c>
      <c r="Q613" s="610">
        <f t="shared" si="39"/>
        <v>0</v>
      </c>
      <c r="R613" s="609">
        <f t="shared" si="40"/>
        <v>0</v>
      </c>
      <c r="S613" s="610">
        <f t="shared" si="41"/>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42"/>
        <v>0</v>
      </c>
      <c r="M614" s="610">
        <f t="shared" si="34"/>
        <v>0</v>
      </c>
      <c r="N614" s="611">
        <f>+IF(OR($Q614=Parametres!$G$2,$Q614=Parametres!$G$3),I614,C614)</f>
        <v>0</v>
      </c>
      <c r="O614" s="611">
        <f>+IF(OR($Q614=Parametres!$G$2,$Q614=Parametres!$G$3),J614,D614)</f>
        <v>0</v>
      </c>
      <c r="P614" s="611">
        <f>+IF(OR($Q614=Parametres!$G$2,$Q614=Parametres!$G$3),K614,E614)</f>
        <v>0</v>
      </c>
      <c r="Q614" s="610">
        <f t="shared" si="39"/>
        <v>0</v>
      </c>
      <c r="R614" s="609">
        <f t="shared" si="40"/>
        <v>0</v>
      </c>
      <c r="S614" s="610">
        <f t="shared" si="41"/>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42"/>
        <v>0</v>
      </c>
      <c r="M615" s="610">
        <f t="shared" si="34"/>
        <v>0</v>
      </c>
      <c r="N615" s="611">
        <f>+IF(OR($Q615=Parametres!$G$2,$Q615=Parametres!$G$3),I615,C615)</f>
        <v>0</v>
      </c>
      <c r="O615" s="611">
        <f>+IF(OR($Q615=Parametres!$G$2,$Q615=Parametres!$G$3),J615,D615)</f>
        <v>0</v>
      </c>
      <c r="P615" s="611">
        <f>+IF(OR($Q615=Parametres!$G$2,$Q615=Parametres!$G$3),K615,E615)</f>
        <v>0</v>
      </c>
      <c r="Q615" s="610">
        <f t="shared" si="39"/>
        <v>0</v>
      </c>
      <c r="R615" s="609">
        <f t="shared" si="40"/>
        <v>0</v>
      </c>
      <c r="S615" s="610">
        <f t="shared" si="41"/>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42"/>
        <v>0</v>
      </c>
      <c r="M616" s="610">
        <f t="shared" si="34"/>
        <v>0</v>
      </c>
      <c r="N616" s="611">
        <f>+IF(OR($Q616=Parametres!$G$2,$Q616=Parametres!$G$3),I616,C616)</f>
        <v>0</v>
      </c>
      <c r="O616" s="611">
        <f>+IF(OR($Q616=Parametres!$G$2,$Q616=Parametres!$G$3),J616,D616)</f>
        <v>0</v>
      </c>
      <c r="P616" s="611">
        <f>+IF(OR($Q616=Parametres!$G$2,$Q616=Parametres!$G$3),K616,E616)</f>
        <v>0</v>
      </c>
      <c r="Q616" s="610">
        <f t="shared" si="39"/>
        <v>0</v>
      </c>
      <c r="R616" s="609">
        <f t="shared" si="40"/>
        <v>0</v>
      </c>
      <c r="S616" s="610">
        <f t="shared" si="41"/>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42"/>
        <v>0</v>
      </c>
      <c r="M617" s="610">
        <f t="shared" si="34"/>
        <v>0</v>
      </c>
      <c r="N617" s="611">
        <f>+IF(OR($Q617=Parametres!$G$2,$Q617=Parametres!$G$3),I617,C617)</f>
        <v>0</v>
      </c>
      <c r="O617" s="611">
        <f>+IF(OR($Q617=Parametres!$G$2,$Q617=Parametres!$G$3),J617,D617)</f>
        <v>0</v>
      </c>
      <c r="P617" s="611">
        <f>+IF(OR($Q617=Parametres!$G$2,$Q617=Parametres!$G$3),K617,E617)</f>
        <v>0</v>
      </c>
      <c r="Q617" s="610">
        <f t="shared" si="39"/>
        <v>0</v>
      </c>
      <c r="R617" s="609">
        <f t="shared" si="40"/>
        <v>0</v>
      </c>
      <c r="S617" s="610">
        <f t="shared" si="41"/>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42"/>
        <v>0</v>
      </c>
      <c r="M618" s="610">
        <f t="shared" si="34"/>
        <v>0</v>
      </c>
      <c r="N618" s="611">
        <f>+IF(OR($Q618=Parametres!$G$2,$Q618=Parametres!$G$3),I618,C618)</f>
        <v>0</v>
      </c>
      <c r="O618" s="611">
        <f>+IF(OR($Q618=Parametres!$G$2,$Q618=Parametres!$G$3),J618,D618)</f>
        <v>0</v>
      </c>
      <c r="P618" s="611">
        <f>+IF(OR($Q618=Parametres!$G$2,$Q618=Parametres!$G$3),K618,E618)</f>
        <v>0</v>
      </c>
      <c r="Q618" s="610">
        <f t="shared" si="39"/>
        <v>0</v>
      </c>
      <c r="R618" s="609">
        <f t="shared" si="40"/>
        <v>0</v>
      </c>
      <c r="S618" s="610">
        <f t="shared" si="41"/>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42"/>
        <v>0</v>
      </c>
      <c r="M619" s="610">
        <f t="shared" si="34"/>
        <v>0</v>
      </c>
      <c r="N619" s="611">
        <f>+IF(OR($Q619=Parametres!$G$2,$Q619=Parametres!$G$3),I619,C619)</f>
        <v>0</v>
      </c>
      <c r="O619" s="611">
        <f>+IF(OR($Q619=Parametres!$G$2,$Q619=Parametres!$G$3),J619,D619)</f>
        <v>0</v>
      </c>
      <c r="P619" s="611">
        <f>+IF(OR($Q619=Parametres!$G$2,$Q619=Parametres!$G$3),K619,E619)</f>
        <v>0</v>
      </c>
      <c r="Q619" s="610">
        <f t="shared" si="39"/>
        <v>0</v>
      </c>
      <c r="R619" s="609">
        <f t="shared" si="40"/>
        <v>0</v>
      </c>
      <c r="S619" s="610">
        <f t="shared" si="41"/>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42"/>
        <v>0</v>
      </c>
      <c r="M620" s="610">
        <f t="shared" si="34"/>
        <v>0</v>
      </c>
      <c r="N620" s="611">
        <f>+IF(OR($Q620=Parametres!$G$2,$Q620=Parametres!$G$3),I620,C620)</f>
        <v>0</v>
      </c>
      <c r="O620" s="611">
        <f>+IF(OR($Q620=Parametres!$G$2,$Q620=Parametres!$G$3),J620,D620)</f>
        <v>0</v>
      </c>
      <c r="P620" s="611">
        <f>+IF(OR($Q620=Parametres!$G$2,$Q620=Parametres!$G$3),K620,E620)</f>
        <v>0</v>
      </c>
      <c r="Q620" s="610">
        <f t="shared" si="39"/>
        <v>0</v>
      </c>
      <c r="R620" s="609">
        <f t="shared" si="40"/>
        <v>0</v>
      </c>
      <c r="S620" s="610">
        <f t="shared" si="4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42"/>
        <v>0</v>
      </c>
      <c r="M621" s="610">
        <f t="shared" si="34"/>
        <v>0</v>
      </c>
      <c r="N621" s="611">
        <f>+IF(OR($Q621=Parametres!$G$2,$Q621=Parametres!$G$3),I621,C621)</f>
        <v>0</v>
      </c>
      <c r="O621" s="611">
        <f>+IF(OR($Q621=Parametres!$G$2,$Q621=Parametres!$G$3),J621,D621)</f>
        <v>0</v>
      </c>
      <c r="P621" s="611">
        <f>+IF(OR($Q621=Parametres!$G$2,$Q621=Parametres!$G$3),K621,E621)</f>
        <v>0</v>
      </c>
      <c r="Q621" s="610">
        <f t="shared" si="39"/>
        <v>0</v>
      </c>
      <c r="R621" s="609">
        <f t="shared" si="40"/>
        <v>0</v>
      </c>
      <c r="S621" s="610">
        <f t="shared" si="41"/>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42"/>
        <v>0</v>
      </c>
      <c r="M622" s="610">
        <f t="shared" si="34"/>
        <v>0</v>
      </c>
      <c r="N622" s="611">
        <f>+IF(OR($Q622=Parametres!$G$2,$Q622=Parametres!$G$3),I622,C622)</f>
        <v>0</v>
      </c>
      <c r="O622" s="669">
        <f>+IF(OR($Q622=Parametres!$G$2,$Q622=Parametres!$G$3),J622,D622)</f>
        <v>0</v>
      </c>
      <c r="P622" s="611">
        <f>+IF(OR($Q622=Parametres!$G$2,$Q622=Parametres!$G$3),K622,E622)</f>
        <v>0</v>
      </c>
      <c r="Q622" s="610">
        <f t="shared" si="39"/>
        <v>0</v>
      </c>
      <c r="R622" s="609">
        <f t="shared" si="40"/>
        <v>0</v>
      </c>
      <c r="S622" s="610">
        <f t="shared" si="41"/>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42"/>
        <v>0</v>
      </c>
      <c r="M623" s="610">
        <f t="shared" si="34"/>
        <v>0</v>
      </c>
      <c r="N623" s="611">
        <f>+IF(OR($Q623=Parametres!$G$2,$Q623=Parametres!$G$3),I623,C623)</f>
        <v>0</v>
      </c>
      <c r="O623" s="611">
        <f>+IF(OR($Q623=Parametres!$G$2,$Q623=Parametres!$G$3),J623,D623)</f>
        <v>0</v>
      </c>
      <c r="P623" s="611">
        <f>+IF(OR($Q623=Parametres!$G$2,$Q623=Parametres!$G$3),K623,E623)</f>
        <v>0</v>
      </c>
      <c r="Q623" s="610">
        <f t="shared" si="39"/>
        <v>0</v>
      </c>
      <c r="R623" s="609">
        <f t="shared" si="40"/>
        <v>0</v>
      </c>
      <c r="S623" s="610">
        <f t="shared" si="41"/>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42"/>
        <v>0</v>
      </c>
      <c r="M624" s="610">
        <f t="shared" si="34"/>
        <v>0</v>
      </c>
      <c r="N624" s="611">
        <f>+IF(OR($Q624=Parametres!$G$2,$Q624=Parametres!$G$3),I624,C624)</f>
        <v>0</v>
      </c>
      <c r="O624" s="611">
        <f>+IF(OR($Q624=Parametres!$G$2,$Q624=Parametres!$G$3),J624,D624)</f>
        <v>0</v>
      </c>
      <c r="P624" s="611">
        <f>+IF(OR($Q624=Parametres!$G$2,$Q624=Parametres!$G$3),K624,E624)</f>
        <v>0</v>
      </c>
      <c r="Q624" s="610">
        <f t="shared" si="39"/>
        <v>0</v>
      </c>
      <c r="R624" s="609">
        <f t="shared" si="40"/>
        <v>0</v>
      </c>
      <c r="S624" s="610">
        <f t="shared" si="41"/>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42"/>
        <v>0</v>
      </c>
      <c r="M625" s="610">
        <f t="shared" si="34"/>
        <v>0</v>
      </c>
      <c r="N625" s="611">
        <f>+IF(OR($Q625=Parametres!$G$2,$Q625=Parametres!$G$3),I625,C625)</f>
        <v>0</v>
      </c>
      <c r="O625" s="611">
        <f>+IF(OR($Q625=Parametres!$G$2,$Q625=Parametres!$G$3),J625,D625)</f>
        <v>0</v>
      </c>
      <c r="P625" s="611">
        <f>+IF(OR($Q625=Parametres!$G$2,$Q625=Parametres!$G$3),K625,E625)</f>
        <v>0</v>
      </c>
      <c r="Q625" s="610">
        <f t="shared" si="39"/>
        <v>0</v>
      </c>
      <c r="R625" s="609">
        <f t="shared" si="40"/>
        <v>0</v>
      </c>
      <c r="S625" s="610">
        <f t="shared" si="41"/>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42"/>
        <v>0</v>
      </c>
      <c r="M626" s="610">
        <f t="shared" si="34"/>
        <v>0</v>
      </c>
      <c r="N626" s="611">
        <f>+IF(OR($Q626=Parametres!$G$2,$Q626=Parametres!$G$3),I626,C626)</f>
        <v>0</v>
      </c>
      <c r="O626" s="611">
        <f>+IF(OR($Q626=Parametres!$G$2,$Q626=Parametres!$G$3),J626,D626)</f>
        <v>0</v>
      </c>
      <c r="P626" s="611">
        <f>+IF(OR($Q626=Parametres!$G$2,$Q626=Parametres!$G$3),K626,E626)</f>
        <v>0</v>
      </c>
      <c r="Q626" s="610">
        <f t="shared" si="39"/>
        <v>0</v>
      </c>
      <c r="R626" s="609">
        <f t="shared" si="40"/>
        <v>0</v>
      </c>
      <c r="S626" s="610">
        <f t="shared" si="41"/>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42"/>
        <v>0</v>
      </c>
      <c r="M627" s="610">
        <f t="shared" si="34"/>
        <v>0</v>
      </c>
      <c r="N627" s="611">
        <f>+IF(OR($Q627=Parametres!$G$2,$Q627=Parametres!$G$3),I627,C627)</f>
        <v>0</v>
      </c>
      <c r="O627" s="611">
        <f>+IF(OR($Q627=Parametres!$G$2,$Q627=Parametres!$G$3),J627,D627)</f>
        <v>0</v>
      </c>
      <c r="P627" s="611">
        <f>+IF(OR($Q627=Parametres!$G$2,$Q627=Parametres!$G$3),K627,E627)</f>
        <v>0</v>
      </c>
      <c r="Q627" s="610">
        <f t="shared" si="39"/>
        <v>0</v>
      </c>
      <c r="R627" s="609">
        <f t="shared" si="40"/>
        <v>0</v>
      </c>
      <c r="S627" s="610">
        <f t="shared" si="41"/>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42"/>
        <v>0</v>
      </c>
      <c r="M628" s="610">
        <f t="shared" si="34"/>
        <v>0</v>
      </c>
      <c r="N628" s="611">
        <f>+IF(OR($Q628=Parametres!$G$2,$Q628=Parametres!$G$3),I628,C628)</f>
        <v>0</v>
      </c>
      <c r="O628" s="611">
        <f>+IF(OR($Q628=Parametres!$G$2,$Q628=Parametres!$G$3),J628,D628)</f>
        <v>0</v>
      </c>
      <c r="P628" s="611">
        <f>+IF(OR($Q628=Parametres!$G$2,$Q628=Parametres!$G$3),K628,E628)</f>
        <v>0</v>
      </c>
      <c r="Q628" s="610">
        <f t="shared" si="39"/>
        <v>0</v>
      </c>
      <c r="R628" s="609">
        <f t="shared" si="40"/>
        <v>0</v>
      </c>
      <c r="S628" s="610">
        <f t="shared" si="41"/>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42"/>
        <v>0</v>
      </c>
      <c r="M629" s="610">
        <f t="shared" si="34"/>
        <v>0</v>
      </c>
      <c r="N629" s="611">
        <f>+IF(OR($Q629=Parametres!$G$2,$Q629=Parametres!$G$3),I629,C629)</f>
        <v>0</v>
      </c>
      <c r="O629" s="611">
        <f>+IF(OR($Q629=Parametres!$G$2,$Q629=Parametres!$G$3),J629,D629)</f>
        <v>0</v>
      </c>
      <c r="P629" s="611">
        <f>+IF(OR($Q629=Parametres!$G$2,$Q629=Parametres!$G$3),K629,E629)</f>
        <v>0</v>
      </c>
      <c r="Q629" s="610">
        <f t="shared" si="39"/>
        <v>0</v>
      </c>
      <c r="R629" s="609">
        <f t="shared" si="40"/>
        <v>0</v>
      </c>
      <c r="S629" s="610">
        <f t="shared" si="41"/>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42"/>
        <v>0</v>
      </c>
      <c r="M630" s="610">
        <f t="shared" si="34"/>
        <v>0</v>
      </c>
      <c r="N630" s="611">
        <f>+IF(OR($Q630=Parametres!$G$2,$Q630=Parametres!$G$3),I630,C630)</f>
        <v>0</v>
      </c>
      <c r="O630" s="611">
        <f>+IF(OR($Q630=Parametres!$G$2,$Q630=Parametres!$G$3),J630,D630)</f>
        <v>0</v>
      </c>
      <c r="P630" s="611">
        <f>+IF(OR($Q630=Parametres!$G$2,$Q630=Parametres!$G$3),K630,E630)</f>
        <v>0</v>
      </c>
      <c r="Q630" s="610">
        <f t="shared" si="39"/>
        <v>0</v>
      </c>
      <c r="R630" s="609">
        <f t="shared" si="40"/>
        <v>0</v>
      </c>
      <c r="S630" s="610">
        <f t="shared" si="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42"/>
        <v>0</v>
      </c>
      <c r="M631" s="610">
        <f t="shared" si="34"/>
        <v>0</v>
      </c>
      <c r="N631" s="611">
        <f>+IF(OR($Q631=Parametres!$G$2,$Q631=Parametres!$G$3),I631,C631)</f>
        <v>0</v>
      </c>
      <c r="O631" s="611">
        <f>+IF(OR($Q631=Parametres!$G$2,$Q631=Parametres!$G$3),J631,D631)</f>
        <v>0</v>
      </c>
      <c r="P631" s="611">
        <f>+IF(OR($Q631=Parametres!$G$2,$Q631=Parametres!$G$3),K631,E631)</f>
        <v>0</v>
      </c>
      <c r="Q631" s="610">
        <f t="shared" si="39"/>
        <v>0</v>
      </c>
      <c r="R631" s="609">
        <f t="shared" si="40"/>
        <v>0</v>
      </c>
      <c r="S631" s="610">
        <f t="shared" si="41"/>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42"/>
        <v>0</v>
      </c>
      <c r="M632" s="610">
        <f t="shared" si="34"/>
        <v>0</v>
      </c>
      <c r="N632" s="611">
        <f>+IF(OR($Q632=Parametres!$G$2,$Q632=Parametres!$G$3),I632,C632)</f>
        <v>0</v>
      </c>
      <c r="O632" s="611">
        <f>+IF(OR($Q632=Parametres!$G$2,$Q632=Parametres!$G$3),J632,D632)</f>
        <v>0</v>
      </c>
      <c r="P632" s="611">
        <f>+IF(OR($Q632=Parametres!$G$2,$Q632=Parametres!$G$3),K632,E632)</f>
        <v>0</v>
      </c>
      <c r="Q632" s="610">
        <f t="shared" si="39"/>
        <v>0</v>
      </c>
      <c r="R632" s="609">
        <f t="shared" si="40"/>
        <v>0</v>
      </c>
      <c r="S632" s="610">
        <f t="shared" si="41"/>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42"/>
        <v>0</v>
      </c>
      <c r="M633" s="610">
        <f t="shared" si="34"/>
        <v>0</v>
      </c>
      <c r="N633" s="611">
        <f>+IF(OR($Q633=Parametres!$G$2,$Q633=Parametres!$G$3),I633,C633)</f>
        <v>0</v>
      </c>
      <c r="O633" s="611">
        <f>+IF(OR($Q633=Parametres!$G$2,$Q633=Parametres!$G$3),J633,D633)</f>
        <v>0</v>
      </c>
      <c r="P633" s="611">
        <f>+IF(OR($Q633=Parametres!$G$2,$Q633=Parametres!$G$3),K633,E633)</f>
        <v>0</v>
      </c>
      <c r="Q633" s="610">
        <f t="shared" si="39"/>
        <v>0</v>
      </c>
      <c r="R633" s="609">
        <f t="shared" si="40"/>
        <v>0</v>
      </c>
      <c r="S633" s="610">
        <f t="shared" si="41"/>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42"/>
        <v>0</v>
      </c>
      <c r="M634" s="610">
        <f t="shared" si="34"/>
        <v>0</v>
      </c>
      <c r="N634" s="611">
        <f>+IF(OR($Q634=Parametres!$G$2,$Q634=Parametres!$G$3),I634,C634)</f>
        <v>0</v>
      </c>
      <c r="O634" s="611">
        <f>+IF(OR($Q634=Parametres!$G$2,$Q634=Parametres!$G$3),J634,D634)</f>
        <v>0</v>
      </c>
      <c r="P634" s="611">
        <f>+IF(OR($Q634=Parametres!$G$2,$Q634=Parametres!$G$3),K634,E634)</f>
        <v>0</v>
      </c>
      <c r="Q634" s="610">
        <f t="shared" si="39"/>
        <v>0</v>
      </c>
      <c r="R634" s="609">
        <f t="shared" si="40"/>
        <v>0</v>
      </c>
      <c r="S634" s="610">
        <f t="shared" si="41"/>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42"/>
        <v>0</v>
      </c>
      <c r="M635" s="610">
        <f t="shared" si="34"/>
        <v>0</v>
      </c>
      <c r="N635" s="611">
        <f>+IF(OR($Q635=Parametres!$G$2,$Q635=Parametres!$G$3),I635,C635)</f>
        <v>0</v>
      </c>
      <c r="O635" s="611">
        <f>+IF(OR($Q635=Parametres!$G$2,$Q635=Parametres!$G$3),J635,D635)</f>
        <v>0</v>
      </c>
      <c r="P635" s="611">
        <f>+IF(OR($Q635=Parametres!$G$2,$Q635=Parametres!$G$3),K635,E635)</f>
        <v>0</v>
      </c>
      <c r="Q635" s="610">
        <f t="shared" si="39"/>
        <v>0</v>
      </c>
      <c r="R635" s="609">
        <f t="shared" si="40"/>
        <v>0</v>
      </c>
      <c r="S635" s="610">
        <f t="shared" si="41"/>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42"/>
        <v>0</v>
      </c>
      <c r="M636" s="610">
        <f t="shared" si="34"/>
        <v>0</v>
      </c>
      <c r="N636" s="611">
        <f>+IF(OR($Q636=Parametres!$G$2,$Q636=Parametres!$G$3),I636,C636)</f>
        <v>0</v>
      </c>
      <c r="O636" s="611">
        <f>+IF(OR($Q636=Parametres!$G$2,$Q636=Parametres!$G$3),J636,D636)</f>
        <v>0</v>
      </c>
      <c r="P636" s="611">
        <f>+IF(OR($Q636=Parametres!$G$2,$Q636=Parametres!$G$3),K636,E636)</f>
        <v>0</v>
      </c>
      <c r="Q636" s="610">
        <f t="shared" si="39"/>
        <v>0</v>
      </c>
      <c r="R636" s="609">
        <f t="shared" si="40"/>
        <v>0</v>
      </c>
      <c r="S636" s="610">
        <f t="shared" si="41"/>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42"/>
        <v>0</v>
      </c>
      <c r="M637" s="610">
        <f t="shared" si="34"/>
        <v>0</v>
      </c>
      <c r="N637" s="611">
        <f>+IF(OR($Q637=Parametres!$G$2,$Q637=Parametres!$G$3),I637,C637)</f>
        <v>0</v>
      </c>
      <c r="O637" s="611">
        <f>+IF(OR($Q637=Parametres!$G$2,$Q637=Parametres!$G$3),J637,D637)</f>
        <v>0</v>
      </c>
      <c r="P637" s="611">
        <f>+IF(OR($Q637=Parametres!$G$2,$Q637=Parametres!$G$3),K637,E637)</f>
        <v>0</v>
      </c>
      <c r="Q637" s="610">
        <f t="shared" si="39"/>
        <v>0</v>
      </c>
      <c r="R637" s="609">
        <f t="shared" si="40"/>
        <v>0</v>
      </c>
      <c r="S637" s="610">
        <f t="shared" si="41"/>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42"/>
        <v>0</v>
      </c>
      <c r="M638" s="610">
        <f t="shared" si="34"/>
        <v>0</v>
      </c>
      <c r="N638" s="611">
        <f>+IF(OR($Q638=Parametres!$G$2,$Q638=Parametres!$G$3),I638,C638)</f>
        <v>0</v>
      </c>
      <c r="O638" s="611">
        <f>+IF(OR($Q638=Parametres!$G$2,$Q638=Parametres!$G$3),J638,D638)</f>
        <v>0</v>
      </c>
      <c r="P638" s="611">
        <f>+IF(OR($Q638=Parametres!$G$2,$Q638=Parametres!$G$3),K638,E638)</f>
        <v>0</v>
      </c>
      <c r="Q638" s="610">
        <f t="shared" si="39"/>
        <v>0</v>
      </c>
      <c r="R638" s="609">
        <f t="shared" si="40"/>
        <v>0</v>
      </c>
      <c r="S638" s="610">
        <f t="shared" si="41"/>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42"/>
        <v>0</v>
      </c>
      <c r="M639" s="610">
        <f t="shared" si="34"/>
        <v>0</v>
      </c>
      <c r="N639" s="611">
        <f>+IF(OR($Q639=Parametres!$G$2,$Q639=Parametres!$G$3),I639,C639)</f>
        <v>0</v>
      </c>
      <c r="O639" s="611">
        <f>+IF(OR($Q639=Parametres!$G$2,$Q639=Parametres!$G$3),J639,D639)</f>
        <v>0</v>
      </c>
      <c r="P639" s="611">
        <f>+IF(OR($Q639=Parametres!$G$2,$Q639=Parametres!$G$3),K639,E639)</f>
        <v>0</v>
      </c>
      <c r="Q639" s="610">
        <f t="shared" si="39"/>
        <v>0</v>
      </c>
      <c r="R639" s="609">
        <f t="shared" si="40"/>
        <v>0</v>
      </c>
      <c r="S639" s="610">
        <f t="shared" si="41"/>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42"/>
        <v>0</v>
      </c>
      <c r="M640" s="610">
        <f t="shared" si="34"/>
        <v>0</v>
      </c>
      <c r="N640" s="611">
        <f>+IF(OR($Q640=Parametres!$G$2,$Q640=Parametres!$G$3),I640,C640)</f>
        <v>0</v>
      </c>
      <c r="O640" s="611">
        <f>+IF(OR($Q640=Parametres!$G$2,$Q640=Parametres!$G$3),J640,D640)</f>
        <v>0</v>
      </c>
      <c r="P640" s="611">
        <f>+IF(OR($Q640=Parametres!$G$2,$Q640=Parametres!$G$3),K640,E640)</f>
        <v>0</v>
      </c>
      <c r="Q640" s="610">
        <f t="shared" si="39"/>
        <v>0</v>
      </c>
      <c r="R640" s="609">
        <f t="shared" si="40"/>
        <v>0</v>
      </c>
      <c r="S640" s="610">
        <f t="shared" si="4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42"/>
        <v>0</v>
      </c>
      <c r="M641" s="610">
        <f t="shared" si="34"/>
        <v>0</v>
      </c>
      <c r="N641" s="611">
        <f>+IF(OR($Q641=Parametres!$G$2,$Q641=Parametres!$G$3),I641,C641)</f>
        <v>0</v>
      </c>
      <c r="O641" s="611">
        <f>+IF(OR($Q641=Parametres!$G$2,$Q641=Parametres!$G$3),J641,D641)</f>
        <v>0</v>
      </c>
      <c r="P641" s="611">
        <f>+IF(OR($Q641=Parametres!$G$2,$Q641=Parametres!$G$3),K641,E641)</f>
        <v>0</v>
      </c>
      <c r="Q641" s="610">
        <f t="shared" si="39"/>
        <v>0</v>
      </c>
      <c r="R641" s="609">
        <f t="shared" si="40"/>
        <v>0</v>
      </c>
      <c r="S641" s="610">
        <f t="shared" si="41"/>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42"/>
        <v>0</v>
      </c>
      <c r="M642" s="610">
        <f t="shared" si="34"/>
        <v>0</v>
      </c>
      <c r="N642" s="611">
        <f>+IF(OR($Q642=Parametres!$G$2,$Q642=Parametres!$G$3),I642,C642)</f>
        <v>0</v>
      </c>
      <c r="O642" s="611">
        <f>+IF(OR($Q642=Parametres!$G$2,$Q642=Parametres!$G$3),J642,D642)</f>
        <v>0</v>
      </c>
      <c r="P642" s="611">
        <f>+IF(OR($Q642=Parametres!$G$2,$Q642=Parametres!$G$3),K642,E642)</f>
        <v>0</v>
      </c>
      <c r="Q642" s="610">
        <f t="shared" ref="Q642:Q705" si="43">+F642</f>
        <v>0</v>
      </c>
      <c r="R642" s="609">
        <f t="shared" ref="R642:R705" si="44">+G642</f>
        <v>0</v>
      </c>
      <c r="S642" s="610">
        <f t="shared" ref="S642:S705" si="45">+H642</f>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46">TEXT(B643,0)</f>
        <v>0</v>
      </c>
      <c r="M643" s="610">
        <f t="shared" si="34"/>
        <v>0</v>
      </c>
      <c r="N643" s="611">
        <f>+IF(OR($Q643=Parametres!$G$2,$Q643=Parametres!$G$3),I643,C643)</f>
        <v>0</v>
      </c>
      <c r="O643" s="611">
        <f>+IF(OR($Q643=Parametres!$G$2,$Q643=Parametres!$G$3),J643,D643)</f>
        <v>0</v>
      </c>
      <c r="P643" s="611">
        <f>+IF(OR($Q643=Parametres!$G$2,$Q643=Parametres!$G$3),K643,E643)</f>
        <v>0</v>
      </c>
      <c r="Q643" s="610">
        <f t="shared" si="43"/>
        <v>0</v>
      </c>
      <c r="R643" s="609">
        <f t="shared" si="44"/>
        <v>0</v>
      </c>
      <c r="S643" s="610">
        <f t="shared" si="4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46"/>
        <v>0</v>
      </c>
      <c r="M644" s="610">
        <f t="shared" si="34"/>
        <v>0</v>
      </c>
      <c r="N644" s="611">
        <f>+IF(OR($Q644=Parametres!$G$2,$Q644=Parametres!$G$3),I644,C644)</f>
        <v>0</v>
      </c>
      <c r="O644" s="611">
        <f>+IF(OR($Q644=Parametres!$G$2,$Q644=Parametres!$G$3),J644,D644)</f>
        <v>0</v>
      </c>
      <c r="P644" s="611">
        <f>+IF(OR($Q644=Parametres!$G$2,$Q644=Parametres!$G$3),K644,E644)</f>
        <v>0</v>
      </c>
      <c r="Q644" s="610">
        <f t="shared" si="43"/>
        <v>0</v>
      </c>
      <c r="R644" s="609">
        <f t="shared" si="44"/>
        <v>0</v>
      </c>
      <c r="S644" s="610">
        <f t="shared" si="45"/>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46"/>
        <v>0</v>
      </c>
      <c r="M645" s="610">
        <f t="shared" si="34"/>
        <v>0</v>
      </c>
      <c r="N645" s="611">
        <f>+IF(OR($Q645=Parametres!$G$2,$Q645=Parametres!$G$3),I645,C645)</f>
        <v>0</v>
      </c>
      <c r="O645" s="611">
        <f>+IF(OR($Q645=Parametres!$G$2,$Q645=Parametres!$G$3),J645,D645)</f>
        <v>0</v>
      </c>
      <c r="P645" s="611">
        <f>+IF(OR($Q645=Parametres!$G$2,$Q645=Parametres!$G$3),K645,E645)</f>
        <v>0</v>
      </c>
      <c r="Q645" s="610">
        <f t="shared" si="43"/>
        <v>0</v>
      </c>
      <c r="R645" s="609">
        <f t="shared" si="44"/>
        <v>0</v>
      </c>
      <c r="S645" s="610">
        <f t="shared" si="45"/>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46"/>
        <v>0</v>
      </c>
      <c r="M646" s="610">
        <f t="shared" si="34"/>
        <v>0</v>
      </c>
      <c r="N646" s="611">
        <f>+IF(OR($Q646=Parametres!$G$2,$Q646=Parametres!$G$3),I646,C646)</f>
        <v>0</v>
      </c>
      <c r="O646" s="611">
        <f>+IF(OR($Q646=Parametres!$G$2,$Q646=Parametres!$G$3),J646,D646)</f>
        <v>0</v>
      </c>
      <c r="P646" s="611">
        <f>+IF(OR($Q646=Parametres!$G$2,$Q646=Parametres!$G$3),K646,E646)</f>
        <v>0</v>
      </c>
      <c r="Q646" s="610">
        <f t="shared" si="43"/>
        <v>0</v>
      </c>
      <c r="R646" s="609">
        <f t="shared" si="44"/>
        <v>0</v>
      </c>
      <c r="S646" s="610">
        <f t="shared" si="45"/>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46"/>
        <v>0</v>
      </c>
      <c r="M647" s="610">
        <f t="shared" si="34"/>
        <v>0</v>
      </c>
      <c r="N647" s="611">
        <f>+IF(OR($Q647=Parametres!$G$2,$Q647=Parametres!$G$3),I647,C647)</f>
        <v>0</v>
      </c>
      <c r="O647" s="611">
        <f>+IF(OR($Q647=Parametres!$G$2,$Q647=Parametres!$G$3),J647,D647)</f>
        <v>0</v>
      </c>
      <c r="P647" s="611">
        <f>+IF(OR($Q647=Parametres!$G$2,$Q647=Parametres!$G$3),K647,E647)</f>
        <v>0</v>
      </c>
      <c r="Q647" s="610">
        <f t="shared" si="43"/>
        <v>0</v>
      </c>
      <c r="R647" s="609">
        <f t="shared" si="44"/>
        <v>0</v>
      </c>
      <c r="S647" s="610">
        <f t="shared" si="45"/>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46"/>
        <v>0</v>
      </c>
      <c r="M648" s="610">
        <f t="shared" si="34"/>
        <v>0</v>
      </c>
      <c r="N648" s="611">
        <f>+IF(OR($Q648=Parametres!$G$2,$Q648=Parametres!$G$3),I648,C648)</f>
        <v>0</v>
      </c>
      <c r="O648" s="611">
        <f>+IF(OR($Q648=Parametres!$G$2,$Q648=Parametres!$G$3),J648,D648)</f>
        <v>0</v>
      </c>
      <c r="P648" s="611">
        <f>+IF(OR($Q648=Parametres!$G$2,$Q648=Parametres!$G$3),K648,E648)</f>
        <v>0</v>
      </c>
      <c r="Q648" s="610">
        <f t="shared" si="43"/>
        <v>0</v>
      </c>
      <c r="R648" s="609">
        <f t="shared" si="44"/>
        <v>0</v>
      </c>
      <c r="S648" s="610">
        <f t="shared" si="45"/>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46"/>
        <v>0</v>
      </c>
      <c r="M649" s="610">
        <f t="shared" si="34"/>
        <v>0</v>
      </c>
      <c r="N649" s="611">
        <f>+IF(OR($Q649=Parametres!$G$2,$Q649=Parametres!$G$3),I649,C649)</f>
        <v>0</v>
      </c>
      <c r="O649" s="611">
        <f>+IF(OR($Q649=Parametres!$G$2,$Q649=Parametres!$G$3),J649,D649)</f>
        <v>0</v>
      </c>
      <c r="P649" s="611">
        <f>+IF(OR($Q649=Parametres!$G$2,$Q649=Parametres!$G$3),K649,E649)</f>
        <v>0</v>
      </c>
      <c r="Q649" s="610">
        <f t="shared" si="43"/>
        <v>0</v>
      </c>
      <c r="R649" s="609">
        <f t="shared" si="44"/>
        <v>0</v>
      </c>
      <c r="S649" s="610">
        <f t="shared" si="45"/>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46"/>
        <v>0</v>
      </c>
      <c r="M650" s="610">
        <f t="shared" si="34"/>
        <v>0</v>
      </c>
      <c r="N650" s="611">
        <f>+IF(OR($Q650=Parametres!$G$2,$Q650=Parametres!$G$3),I650,C650)</f>
        <v>0</v>
      </c>
      <c r="O650" s="611">
        <f>+IF(OR($Q650=Parametres!$G$2,$Q650=Parametres!$G$3),J650,D650)</f>
        <v>0</v>
      </c>
      <c r="P650" s="611">
        <f>+IF(OR($Q650=Parametres!$G$2,$Q650=Parametres!$G$3),K650,E650)</f>
        <v>0</v>
      </c>
      <c r="Q650" s="610">
        <f t="shared" si="43"/>
        <v>0</v>
      </c>
      <c r="R650" s="609">
        <f t="shared" si="44"/>
        <v>0</v>
      </c>
      <c r="S650" s="610">
        <f t="shared" si="45"/>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46"/>
        <v>0</v>
      </c>
      <c r="M651" s="610">
        <f t="shared" si="34"/>
        <v>0</v>
      </c>
      <c r="N651" s="611">
        <f>+IF(OR($Q651=Parametres!$G$2,$Q651=Parametres!$G$3),I651,C651)</f>
        <v>0</v>
      </c>
      <c r="O651" s="611">
        <f>+IF(OR($Q651=Parametres!$G$2,$Q651=Parametres!$G$3),J651,D651)</f>
        <v>0</v>
      </c>
      <c r="P651" s="611">
        <f>+IF(OR($Q651=Parametres!$G$2,$Q651=Parametres!$G$3),K651,E651)</f>
        <v>0</v>
      </c>
      <c r="Q651" s="610">
        <f t="shared" si="43"/>
        <v>0</v>
      </c>
      <c r="R651" s="609">
        <f t="shared" si="44"/>
        <v>0</v>
      </c>
      <c r="S651" s="610">
        <f t="shared" si="45"/>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46"/>
        <v>0</v>
      </c>
      <c r="M652" s="610">
        <f t="shared" si="34"/>
        <v>0</v>
      </c>
      <c r="N652" s="611">
        <f>+IF(OR($Q652=Parametres!$G$2,$Q652=Parametres!$G$3),I652,C652)</f>
        <v>0</v>
      </c>
      <c r="O652" s="611">
        <f>+IF(OR($Q652=Parametres!$G$2,$Q652=Parametres!$G$3),J652,D652)</f>
        <v>0</v>
      </c>
      <c r="P652" s="611">
        <f>+IF(OR($Q652=Parametres!$G$2,$Q652=Parametres!$G$3),K652,E652)</f>
        <v>0</v>
      </c>
      <c r="Q652" s="610">
        <f t="shared" si="43"/>
        <v>0</v>
      </c>
      <c r="R652" s="609">
        <f t="shared" si="44"/>
        <v>0</v>
      </c>
      <c r="S652" s="610">
        <f t="shared" si="45"/>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46"/>
        <v>0</v>
      </c>
      <c r="M653" s="610">
        <f t="shared" si="34"/>
        <v>0</v>
      </c>
      <c r="N653" s="611">
        <f>+IF(OR($Q653=Parametres!$G$2,$Q653=Parametres!$G$3),I653,C653)</f>
        <v>0</v>
      </c>
      <c r="O653" s="611">
        <f>+IF(OR($Q653=Parametres!$G$2,$Q653=Parametres!$G$3),J653,D653)</f>
        <v>0</v>
      </c>
      <c r="P653" s="611">
        <f>+IF(OR($Q653=Parametres!$G$2,$Q653=Parametres!$G$3),K653,E653)</f>
        <v>0</v>
      </c>
      <c r="Q653" s="610">
        <f t="shared" si="43"/>
        <v>0</v>
      </c>
      <c r="R653" s="609">
        <f t="shared" si="44"/>
        <v>0</v>
      </c>
      <c r="S653" s="610">
        <f t="shared" si="4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46"/>
        <v>0</v>
      </c>
      <c r="M654" s="610">
        <f t="shared" si="34"/>
        <v>0</v>
      </c>
      <c r="N654" s="611">
        <f>+IF(OR($Q654=Parametres!$G$2,$Q654=Parametres!$G$3),I654,C654)</f>
        <v>0</v>
      </c>
      <c r="O654" s="611">
        <f>+IF(OR($Q654=Parametres!$G$2,$Q654=Parametres!$G$3),J654,D654)</f>
        <v>0</v>
      </c>
      <c r="P654" s="611">
        <f>+IF(OR($Q654=Parametres!$G$2,$Q654=Parametres!$G$3),K654,E654)</f>
        <v>0</v>
      </c>
      <c r="Q654" s="610">
        <f t="shared" si="43"/>
        <v>0</v>
      </c>
      <c r="R654" s="609">
        <f t="shared" si="44"/>
        <v>0</v>
      </c>
      <c r="S654" s="610">
        <f t="shared" si="45"/>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46"/>
        <v>0</v>
      </c>
      <c r="M655" s="610">
        <f t="shared" si="34"/>
        <v>0</v>
      </c>
      <c r="N655" s="611">
        <f>+IF(OR($Q655=Parametres!$G$2,$Q655=Parametres!$G$3),I655,C655)</f>
        <v>0</v>
      </c>
      <c r="O655" s="611">
        <f>+IF(OR($Q655=Parametres!$G$2,$Q655=Parametres!$G$3),J655,D655)</f>
        <v>0</v>
      </c>
      <c r="P655" s="611">
        <f>+IF(OR($Q655=Parametres!$G$2,$Q655=Parametres!$G$3),K655,E655)</f>
        <v>0</v>
      </c>
      <c r="Q655" s="610">
        <f t="shared" si="43"/>
        <v>0</v>
      </c>
      <c r="R655" s="609">
        <f t="shared" si="44"/>
        <v>0</v>
      </c>
      <c r="S655" s="610">
        <f t="shared" si="45"/>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46"/>
        <v>0</v>
      </c>
      <c r="M656" s="610">
        <f t="shared" si="34"/>
        <v>0</v>
      </c>
      <c r="N656" s="611">
        <f>+IF(OR($Q656=Parametres!$G$2,$Q656=Parametres!$G$3),I656,C656)</f>
        <v>0</v>
      </c>
      <c r="O656" s="611">
        <f>+IF(OR($Q656=Parametres!$G$2,$Q656=Parametres!$G$3),J656,D656)</f>
        <v>0</v>
      </c>
      <c r="P656" s="611">
        <f>+IF(OR($Q656=Parametres!$G$2,$Q656=Parametres!$G$3),K656,E656)</f>
        <v>0</v>
      </c>
      <c r="Q656" s="610">
        <f t="shared" si="43"/>
        <v>0</v>
      </c>
      <c r="R656" s="609">
        <f t="shared" si="44"/>
        <v>0</v>
      </c>
      <c r="S656" s="610">
        <f t="shared" si="45"/>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46"/>
        <v>0</v>
      </c>
      <c r="M657" s="610">
        <f t="shared" si="34"/>
        <v>0</v>
      </c>
      <c r="N657" s="611">
        <f>+IF(OR($Q657=Parametres!$G$2,$Q657=Parametres!$G$3),I657,C657)</f>
        <v>0</v>
      </c>
      <c r="O657" s="611">
        <f>+IF(OR($Q657=Parametres!$G$2,$Q657=Parametres!$G$3),J657,D657)</f>
        <v>0</v>
      </c>
      <c r="P657" s="611">
        <f>+IF(OR($Q657=Parametres!$G$2,$Q657=Parametres!$G$3),K657,E657)</f>
        <v>0</v>
      </c>
      <c r="Q657" s="610">
        <f t="shared" si="43"/>
        <v>0</v>
      </c>
      <c r="R657" s="609">
        <f t="shared" si="44"/>
        <v>0</v>
      </c>
      <c r="S657" s="610">
        <f t="shared" si="45"/>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46"/>
        <v>0</v>
      </c>
      <c r="M658" s="610">
        <f t="shared" si="34"/>
        <v>0</v>
      </c>
      <c r="N658" s="611">
        <f>+IF(OR($Q658=Parametres!$G$2,$Q658=Parametres!$G$3),I658,C658)</f>
        <v>0</v>
      </c>
      <c r="O658" s="611">
        <f>+IF(OR($Q658=Parametres!$G$2,$Q658=Parametres!$G$3),J658,D658)</f>
        <v>0</v>
      </c>
      <c r="P658" s="611">
        <f>+IF(OR($Q658=Parametres!$G$2,$Q658=Parametres!$G$3),K658,E658)</f>
        <v>0</v>
      </c>
      <c r="Q658" s="610">
        <f t="shared" si="43"/>
        <v>0</v>
      </c>
      <c r="R658" s="609">
        <f t="shared" si="44"/>
        <v>0</v>
      </c>
      <c r="S658" s="610">
        <f t="shared" si="45"/>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46"/>
        <v>0</v>
      </c>
      <c r="M659" s="610">
        <f t="shared" si="34"/>
        <v>0</v>
      </c>
      <c r="N659" s="611">
        <f>+IF(OR($Q659=Parametres!$G$2,$Q659=Parametres!$G$3),I659,C659)</f>
        <v>0</v>
      </c>
      <c r="O659" s="611">
        <f>+IF(OR($Q659=Parametres!$G$2,$Q659=Parametres!$G$3),J659,D659)</f>
        <v>0</v>
      </c>
      <c r="P659" s="611">
        <f>+IF(OR($Q659=Parametres!$G$2,$Q659=Parametres!$G$3),K659,E659)</f>
        <v>0</v>
      </c>
      <c r="Q659" s="610">
        <f t="shared" si="43"/>
        <v>0</v>
      </c>
      <c r="R659" s="609">
        <f t="shared" si="44"/>
        <v>0</v>
      </c>
      <c r="S659" s="610">
        <f t="shared" si="45"/>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46"/>
        <v>0</v>
      </c>
      <c r="M660" s="610">
        <f t="shared" si="34"/>
        <v>0</v>
      </c>
      <c r="N660" s="611">
        <f>+IF(OR($Q660=Parametres!$G$2,$Q660=Parametres!$G$3),I660,C660)</f>
        <v>0</v>
      </c>
      <c r="O660" s="611">
        <f>+IF(OR($Q660=Parametres!$G$2,$Q660=Parametres!$G$3),J660,D660)</f>
        <v>0</v>
      </c>
      <c r="P660" s="611">
        <f>+IF(OR($Q660=Parametres!$G$2,$Q660=Parametres!$G$3),K660,E660)</f>
        <v>0</v>
      </c>
      <c r="Q660" s="610">
        <f t="shared" si="43"/>
        <v>0</v>
      </c>
      <c r="R660" s="609">
        <f t="shared" si="44"/>
        <v>0</v>
      </c>
      <c r="S660" s="610">
        <f t="shared" si="45"/>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46"/>
        <v>0</v>
      </c>
      <c r="M661" s="610">
        <f t="shared" si="34"/>
        <v>0</v>
      </c>
      <c r="N661" s="611">
        <f>+IF(OR($Q661=Parametres!$G$2,$Q661=Parametres!$G$3),I661,C661)</f>
        <v>0</v>
      </c>
      <c r="O661" s="611">
        <f>+IF(OR($Q661=Parametres!$G$2,$Q661=Parametres!$G$3),J661,D661)</f>
        <v>0</v>
      </c>
      <c r="P661" s="611">
        <f>+IF(OR($Q661=Parametres!$G$2,$Q661=Parametres!$G$3),K661,E661)</f>
        <v>0</v>
      </c>
      <c r="Q661" s="610">
        <f t="shared" si="43"/>
        <v>0</v>
      </c>
      <c r="R661" s="609">
        <f t="shared" si="44"/>
        <v>0</v>
      </c>
      <c r="S661" s="610">
        <f t="shared" si="45"/>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46"/>
        <v>0</v>
      </c>
      <c r="M662" s="610">
        <f t="shared" si="34"/>
        <v>0</v>
      </c>
      <c r="N662" s="611">
        <f>+IF(OR($Q662=Parametres!$G$2,$Q662=Parametres!$G$3),I662,C662)</f>
        <v>0</v>
      </c>
      <c r="O662" s="669">
        <f>+IF(OR($Q662=Parametres!$G$2,$Q662=Parametres!$G$3),J662,D662)</f>
        <v>0</v>
      </c>
      <c r="P662" s="611">
        <f>+IF(OR($Q662=Parametres!$G$2,$Q662=Parametres!$G$3),K662,E662)</f>
        <v>0</v>
      </c>
      <c r="Q662" s="610">
        <f t="shared" si="43"/>
        <v>0</v>
      </c>
      <c r="R662" s="609">
        <f t="shared" si="44"/>
        <v>0</v>
      </c>
      <c r="S662" s="610">
        <f t="shared" si="45"/>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46"/>
        <v>0</v>
      </c>
      <c r="M663" s="610">
        <f t="shared" si="34"/>
        <v>0</v>
      </c>
      <c r="N663" s="611">
        <f>+IF(OR($Q663=Parametres!$G$2,$Q663=Parametres!$G$3),I663,C663)</f>
        <v>0</v>
      </c>
      <c r="O663" s="611">
        <f>+IF(OR($Q663=Parametres!$G$2,$Q663=Parametres!$G$3),J663,D663)</f>
        <v>0</v>
      </c>
      <c r="P663" s="611">
        <f>+IF(OR($Q663=Parametres!$G$2,$Q663=Parametres!$G$3),K663,E663)</f>
        <v>0</v>
      </c>
      <c r="Q663" s="610">
        <f t="shared" si="43"/>
        <v>0</v>
      </c>
      <c r="R663" s="609">
        <f t="shared" si="44"/>
        <v>0</v>
      </c>
      <c r="S663" s="610">
        <f t="shared" si="4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46"/>
        <v>0</v>
      </c>
      <c r="M664" s="610">
        <f t="shared" si="34"/>
        <v>0</v>
      </c>
      <c r="N664" s="611">
        <f>+IF(OR($Q664=Parametres!$G$2,$Q664=Parametres!$G$3),I664,C664)</f>
        <v>0</v>
      </c>
      <c r="O664" s="611">
        <f>+IF(OR($Q664=Parametres!$G$2,$Q664=Parametres!$G$3),J664,D664)</f>
        <v>0</v>
      </c>
      <c r="P664" s="611">
        <f>+IF(OR($Q664=Parametres!$G$2,$Q664=Parametres!$G$3),K664,E664)</f>
        <v>0</v>
      </c>
      <c r="Q664" s="610">
        <f t="shared" si="43"/>
        <v>0</v>
      </c>
      <c r="R664" s="609">
        <f t="shared" si="44"/>
        <v>0</v>
      </c>
      <c r="S664" s="610">
        <f t="shared" si="45"/>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46"/>
        <v>0</v>
      </c>
      <c r="M665" s="610">
        <f t="shared" si="34"/>
        <v>0</v>
      </c>
      <c r="N665" s="611">
        <f>+IF(OR($Q665=Parametres!$G$2,$Q665=Parametres!$G$3),I665,C665)</f>
        <v>0</v>
      </c>
      <c r="O665" s="611">
        <f>+IF(OR($Q665=Parametres!$G$2,$Q665=Parametres!$G$3),J665,D665)</f>
        <v>0</v>
      </c>
      <c r="P665" s="611">
        <f>+IF(OR($Q665=Parametres!$G$2,$Q665=Parametres!$G$3),K665,E665)</f>
        <v>0</v>
      </c>
      <c r="Q665" s="610">
        <f t="shared" si="43"/>
        <v>0</v>
      </c>
      <c r="R665" s="609">
        <f t="shared" si="44"/>
        <v>0</v>
      </c>
      <c r="S665" s="610">
        <f t="shared" si="45"/>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46"/>
        <v>0</v>
      </c>
      <c r="M666" s="610">
        <f t="shared" si="34"/>
        <v>0</v>
      </c>
      <c r="N666" s="611">
        <f>+IF(OR($Q666=Parametres!$G$2,$Q666=Parametres!$G$3),I666,C666)</f>
        <v>0</v>
      </c>
      <c r="O666" s="611">
        <f>+IF(OR($Q666=Parametres!$G$2,$Q666=Parametres!$G$3),J666,D666)</f>
        <v>0</v>
      </c>
      <c r="P666" s="611">
        <f>+IF(OR($Q666=Parametres!$G$2,$Q666=Parametres!$G$3),K666,E666)</f>
        <v>0</v>
      </c>
      <c r="Q666" s="610">
        <f t="shared" si="43"/>
        <v>0</v>
      </c>
      <c r="R666" s="609">
        <f t="shared" si="44"/>
        <v>0</v>
      </c>
      <c r="S666" s="610">
        <f t="shared" si="45"/>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46"/>
        <v>0</v>
      </c>
      <c r="M667" s="610">
        <f t="shared" si="34"/>
        <v>0</v>
      </c>
      <c r="N667" s="611">
        <f>+IF(OR($Q667=Parametres!$G$2,$Q667=Parametres!$G$3),I667,C667)</f>
        <v>0</v>
      </c>
      <c r="O667" s="611">
        <f>+IF(OR($Q667=Parametres!$G$2,$Q667=Parametres!$G$3),J667,D667)</f>
        <v>0</v>
      </c>
      <c r="P667" s="611">
        <f>+IF(OR($Q667=Parametres!$G$2,$Q667=Parametres!$G$3),K667,E667)</f>
        <v>0</v>
      </c>
      <c r="Q667" s="610">
        <f t="shared" si="43"/>
        <v>0</v>
      </c>
      <c r="R667" s="609">
        <f t="shared" si="44"/>
        <v>0</v>
      </c>
      <c r="S667" s="610">
        <f t="shared" si="45"/>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46"/>
        <v>0</v>
      </c>
      <c r="M668" s="610">
        <f t="shared" si="34"/>
        <v>0</v>
      </c>
      <c r="N668" s="611">
        <f>+IF(OR($Q668=Parametres!$G$2,$Q668=Parametres!$G$3),I668,C668)</f>
        <v>0</v>
      </c>
      <c r="O668" s="611">
        <f>+IF(OR($Q668=Parametres!$G$2,$Q668=Parametres!$G$3),J668,D668)</f>
        <v>0</v>
      </c>
      <c r="P668" s="611">
        <f>+IF(OR($Q668=Parametres!$G$2,$Q668=Parametres!$G$3),K668,E668)</f>
        <v>0</v>
      </c>
      <c r="Q668" s="610">
        <f t="shared" si="43"/>
        <v>0</v>
      </c>
      <c r="R668" s="609">
        <f t="shared" si="44"/>
        <v>0</v>
      </c>
      <c r="S668" s="610">
        <f t="shared" si="45"/>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46"/>
        <v>0</v>
      </c>
      <c r="M669" s="610">
        <f t="shared" si="34"/>
        <v>0</v>
      </c>
      <c r="N669" s="611">
        <f>+IF(OR($Q669=Parametres!$G$2,$Q669=Parametres!$G$3),I669,C669)</f>
        <v>0</v>
      </c>
      <c r="O669" s="611">
        <f>+IF(OR($Q669=Parametres!$G$2,$Q669=Parametres!$G$3),J669,D669)</f>
        <v>0</v>
      </c>
      <c r="P669" s="611">
        <f>+IF(OR($Q669=Parametres!$G$2,$Q669=Parametres!$G$3),K669,E669)</f>
        <v>0</v>
      </c>
      <c r="Q669" s="610">
        <f t="shared" si="43"/>
        <v>0</v>
      </c>
      <c r="R669" s="609">
        <f t="shared" si="44"/>
        <v>0</v>
      </c>
      <c r="S669" s="610">
        <f t="shared" si="45"/>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46"/>
        <v>0</v>
      </c>
      <c r="M670" s="610">
        <f t="shared" si="34"/>
        <v>0</v>
      </c>
      <c r="N670" s="611">
        <f>+IF(OR($Q670=Parametres!$G$2,$Q670=Parametres!$G$3),I670,C670)</f>
        <v>0</v>
      </c>
      <c r="O670" s="611">
        <f>+IF(OR($Q670=Parametres!$G$2,$Q670=Parametres!$G$3),J670,D670)</f>
        <v>0</v>
      </c>
      <c r="P670" s="611">
        <f>+IF(OR($Q670=Parametres!$G$2,$Q670=Parametres!$G$3),K670,E670)</f>
        <v>0</v>
      </c>
      <c r="Q670" s="610">
        <f t="shared" si="43"/>
        <v>0</v>
      </c>
      <c r="R670" s="609">
        <f t="shared" si="44"/>
        <v>0</v>
      </c>
      <c r="S670" s="610">
        <f t="shared" si="45"/>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46"/>
        <v>0</v>
      </c>
      <c r="M671" s="610">
        <f t="shared" si="34"/>
        <v>0</v>
      </c>
      <c r="N671" s="611">
        <f>+IF(OR($Q671=Parametres!$G$2,$Q671=Parametres!$G$3),I671,C671)</f>
        <v>0</v>
      </c>
      <c r="O671" s="611">
        <f>+IF(OR($Q671=Parametres!$G$2,$Q671=Parametres!$G$3),J671,D671)</f>
        <v>0</v>
      </c>
      <c r="P671" s="611">
        <f>+IF(OR($Q671=Parametres!$G$2,$Q671=Parametres!$G$3),K671,E671)</f>
        <v>0</v>
      </c>
      <c r="Q671" s="610">
        <f t="shared" si="43"/>
        <v>0</v>
      </c>
      <c r="R671" s="609">
        <f t="shared" si="44"/>
        <v>0</v>
      </c>
      <c r="S671" s="610">
        <f t="shared" si="45"/>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46"/>
        <v>0</v>
      </c>
      <c r="M672" s="610">
        <f t="shared" si="34"/>
        <v>0</v>
      </c>
      <c r="N672" s="611">
        <f>+IF(OR($Q672=Parametres!$G$2,$Q672=Parametres!$G$3),I672,C672)</f>
        <v>0</v>
      </c>
      <c r="O672" s="611">
        <f>+IF(OR($Q672=Parametres!$G$2,$Q672=Parametres!$G$3),J672,D672)</f>
        <v>0</v>
      </c>
      <c r="P672" s="611">
        <f>+IF(OR($Q672=Parametres!$G$2,$Q672=Parametres!$G$3),K672,E672)</f>
        <v>0</v>
      </c>
      <c r="Q672" s="610">
        <f t="shared" si="43"/>
        <v>0</v>
      </c>
      <c r="R672" s="609">
        <f t="shared" si="44"/>
        <v>0</v>
      </c>
      <c r="S672" s="610">
        <f t="shared" si="45"/>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46"/>
        <v>0</v>
      </c>
      <c r="M673" s="610">
        <f t="shared" si="34"/>
        <v>0</v>
      </c>
      <c r="N673" s="611">
        <f>+IF(OR($Q673=Parametres!$G$2,$Q673=Parametres!$G$3),I673,C673)</f>
        <v>0</v>
      </c>
      <c r="O673" s="611">
        <f>+IF(OR($Q673=Parametres!$G$2,$Q673=Parametres!$G$3),J673,D673)</f>
        <v>0</v>
      </c>
      <c r="P673" s="611">
        <f>+IF(OR($Q673=Parametres!$G$2,$Q673=Parametres!$G$3),K673,E673)</f>
        <v>0</v>
      </c>
      <c r="Q673" s="610">
        <f t="shared" si="43"/>
        <v>0</v>
      </c>
      <c r="R673" s="609">
        <f t="shared" si="44"/>
        <v>0</v>
      </c>
      <c r="S673" s="610">
        <f t="shared" si="4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46"/>
        <v>0</v>
      </c>
      <c r="M674" s="610">
        <f t="shared" si="34"/>
        <v>0</v>
      </c>
      <c r="N674" s="611">
        <f>+IF(OR($Q674=Parametres!$G$2,$Q674=Parametres!$G$3),I674,C674)</f>
        <v>0</v>
      </c>
      <c r="O674" s="611">
        <f>+IF(OR($Q674=Parametres!$G$2,$Q674=Parametres!$G$3),J674,D674)</f>
        <v>0</v>
      </c>
      <c r="P674" s="611">
        <f>+IF(OR($Q674=Parametres!$G$2,$Q674=Parametres!$G$3),K674,E674)</f>
        <v>0</v>
      </c>
      <c r="Q674" s="610">
        <f t="shared" si="43"/>
        <v>0</v>
      </c>
      <c r="R674" s="609">
        <f t="shared" si="44"/>
        <v>0</v>
      </c>
      <c r="S674" s="610">
        <f t="shared" si="45"/>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46"/>
        <v>0</v>
      </c>
      <c r="M675" s="610">
        <f t="shared" si="34"/>
        <v>0</v>
      </c>
      <c r="N675" s="611">
        <f>+IF(OR($Q675=Parametres!$G$2,$Q675=Parametres!$G$3),I675,C675)</f>
        <v>0</v>
      </c>
      <c r="O675" s="611">
        <f>+IF(OR($Q675=Parametres!$G$2,$Q675=Parametres!$G$3),J675,D675)</f>
        <v>0</v>
      </c>
      <c r="P675" s="611">
        <f>+IF(OR($Q675=Parametres!$G$2,$Q675=Parametres!$G$3),K675,E675)</f>
        <v>0</v>
      </c>
      <c r="Q675" s="610">
        <f t="shared" si="43"/>
        <v>0</v>
      </c>
      <c r="R675" s="609">
        <f t="shared" si="44"/>
        <v>0</v>
      </c>
      <c r="S675" s="610">
        <f t="shared" si="45"/>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46"/>
        <v>0</v>
      </c>
      <c r="M676" s="610">
        <f t="shared" si="34"/>
        <v>0</v>
      </c>
      <c r="N676" s="611">
        <f>+IF(OR($Q676=Parametres!$G$2,$Q676=Parametres!$G$3),I676,C676)</f>
        <v>0</v>
      </c>
      <c r="O676" s="611">
        <f>+IF(OR($Q676=Parametres!$G$2,$Q676=Parametres!$G$3),J676,D676)</f>
        <v>0</v>
      </c>
      <c r="P676" s="611">
        <f>+IF(OR($Q676=Parametres!$G$2,$Q676=Parametres!$G$3),K676,E676)</f>
        <v>0</v>
      </c>
      <c r="Q676" s="610">
        <f t="shared" si="43"/>
        <v>0</v>
      </c>
      <c r="R676" s="609">
        <f t="shared" si="44"/>
        <v>0</v>
      </c>
      <c r="S676" s="610">
        <f t="shared" si="45"/>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46"/>
        <v>0</v>
      </c>
      <c r="M677" s="610">
        <f t="shared" si="34"/>
        <v>0</v>
      </c>
      <c r="N677" s="611">
        <f>+IF(OR($Q677=Parametres!$G$2,$Q677=Parametres!$G$3),I677,C677)</f>
        <v>0</v>
      </c>
      <c r="O677" s="611">
        <f>+IF(OR($Q677=Parametres!$G$2,$Q677=Parametres!$G$3),J677,D677)</f>
        <v>0</v>
      </c>
      <c r="P677" s="611">
        <f>+IF(OR($Q677=Parametres!$G$2,$Q677=Parametres!$G$3),K677,E677)</f>
        <v>0</v>
      </c>
      <c r="Q677" s="610">
        <f t="shared" si="43"/>
        <v>0</v>
      </c>
      <c r="R677" s="609">
        <f t="shared" si="44"/>
        <v>0</v>
      </c>
      <c r="S677" s="610">
        <f t="shared" si="45"/>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46"/>
        <v>0</v>
      </c>
      <c r="M678" s="610">
        <f t="shared" si="34"/>
        <v>0</v>
      </c>
      <c r="N678" s="611">
        <f>+IF(OR($Q678=Parametres!$G$2,$Q678=Parametres!$G$3),I678,C678)</f>
        <v>0</v>
      </c>
      <c r="O678" s="611">
        <f>+IF(OR($Q678=Parametres!$G$2,$Q678=Parametres!$G$3),J678,D678)</f>
        <v>0</v>
      </c>
      <c r="P678" s="611">
        <f>+IF(OR($Q678=Parametres!$G$2,$Q678=Parametres!$G$3),K678,E678)</f>
        <v>0</v>
      </c>
      <c r="Q678" s="610">
        <f t="shared" si="43"/>
        <v>0</v>
      </c>
      <c r="R678" s="609">
        <f t="shared" si="44"/>
        <v>0</v>
      </c>
      <c r="S678" s="610">
        <f t="shared" si="45"/>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46"/>
        <v>0</v>
      </c>
      <c r="M679" s="610">
        <f t="shared" si="34"/>
        <v>0</v>
      </c>
      <c r="N679" s="611">
        <f>+IF(OR($Q679=Parametres!$G$2,$Q679=Parametres!$G$3),I679,C679)</f>
        <v>0</v>
      </c>
      <c r="O679" s="611">
        <f>+IF(OR($Q679=Parametres!$G$2,$Q679=Parametres!$G$3),J679,D679)</f>
        <v>0</v>
      </c>
      <c r="P679" s="611">
        <f>+IF(OR($Q679=Parametres!$G$2,$Q679=Parametres!$G$3),K679,E679)</f>
        <v>0</v>
      </c>
      <c r="Q679" s="610">
        <f t="shared" si="43"/>
        <v>0</v>
      </c>
      <c r="R679" s="609">
        <f t="shared" si="44"/>
        <v>0</v>
      </c>
      <c r="S679" s="610">
        <f t="shared" si="45"/>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46"/>
        <v>0</v>
      </c>
      <c r="M680" s="610">
        <f t="shared" si="34"/>
        <v>0</v>
      </c>
      <c r="N680" s="611">
        <f>+IF(OR($Q680=Parametres!$G$2,$Q680=Parametres!$G$3),I680,C680)</f>
        <v>0</v>
      </c>
      <c r="O680" s="611">
        <f>+IF(OR($Q680=Parametres!$G$2,$Q680=Parametres!$G$3),J680,D680)</f>
        <v>0</v>
      </c>
      <c r="P680" s="611">
        <f>+IF(OR($Q680=Parametres!$G$2,$Q680=Parametres!$G$3),K680,E680)</f>
        <v>0</v>
      </c>
      <c r="Q680" s="610">
        <f t="shared" si="43"/>
        <v>0</v>
      </c>
      <c r="R680" s="609">
        <f t="shared" si="44"/>
        <v>0</v>
      </c>
      <c r="S680" s="610">
        <f t="shared" si="45"/>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46"/>
        <v>0</v>
      </c>
      <c r="M681" s="610">
        <f t="shared" si="34"/>
        <v>0</v>
      </c>
      <c r="N681" s="611">
        <f>+IF(OR($Q681=Parametres!$G$2,$Q681=Parametres!$G$3),I681,C681)</f>
        <v>0</v>
      </c>
      <c r="O681" s="611">
        <f>+IF(OR($Q681=Parametres!$G$2,$Q681=Parametres!$G$3),J681,D681)</f>
        <v>0</v>
      </c>
      <c r="P681" s="611">
        <f>+IF(OR($Q681=Parametres!$G$2,$Q681=Parametres!$G$3),K681,E681)</f>
        <v>0</v>
      </c>
      <c r="Q681" s="610">
        <f t="shared" si="43"/>
        <v>0</v>
      </c>
      <c r="R681" s="609">
        <f t="shared" si="44"/>
        <v>0</v>
      </c>
      <c r="S681" s="610">
        <f t="shared" si="45"/>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46"/>
        <v>0</v>
      </c>
      <c r="M682" s="610">
        <f t="shared" si="34"/>
        <v>0</v>
      </c>
      <c r="N682" s="611">
        <f>+IF(OR($Q682=Parametres!$G$2,$Q682=Parametres!$G$3),I682,C682)</f>
        <v>0</v>
      </c>
      <c r="O682" s="611">
        <f>+IF(OR($Q682=Parametres!$G$2,$Q682=Parametres!$G$3),J682,D682)</f>
        <v>0</v>
      </c>
      <c r="P682" s="611">
        <f>+IF(OR($Q682=Parametres!$G$2,$Q682=Parametres!$G$3),K682,E682)</f>
        <v>0</v>
      </c>
      <c r="Q682" s="610">
        <f t="shared" si="43"/>
        <v>0</v>
      </c>
      <c r="R682" s="609">
        <f t="shared" si="44"/>
        <v>0</v>
      </c>
      <c r="S682" s="610">
        <f t="shared" si="45"/>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46"/>
        <v>0</v>
      </c>
      <c r="M683" s="610">
        <f t="shared" si="34"/>
        <v>0</v>
      </c>
      <c r="N683" s="611">
        <f>+IF(OR($Q683=Parametres!$G$2,$Q683=Parametres!$G$3),I683,C683)</f>
        <v>0</v>
      </c>
      <c r="O683" s="611">
        <f>+IF(OR($Q683=Parametres!$G$2,$Q683=Parametres!$G$3),J683,D683)</f>
        <v>0</v>
      </c>
      <c r="P683" s="611">
        <f>+IF(OR($Q683=Parametres!$G$2,$Q683=Parametres!$G$3),K683,E683)</f>
        <v>0</v>
      </c>
      <c r="Q683" s="610">
        <f t="shared" si="43"/>
        <v>0</v>
      </c>
      <c r="R683" s="609">
        <f t="shared" si="44"/>
        <v>0</v>
      </c>
      <c r="S683" s="610">
        <f t="shared" si="4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46"/>
        <v>0</v>
      </c>
      <c r="M684" s="610">
        <f t="shared" si="34"/>
        <v>0</v>
      </c>
      <c r="N684" s="611">
        <f>+IF(OR($Q684=Parametres!$G$2,$Q684=Parametres!$G$3),I684,C684)</f>
        <v>0</v>
      </c>
      <c r="O684" s="611">
        <f>+IF(OR($Q684=Parametres!$G$2,$Q684=Parametres!$G$3),J684,D684)</f>
        <v>0</v>
      </c>
      <c r="P684" s="611">
        <f>+IF(OR($Q684=Parametres!$G$2,$Q684=Parametres!$G$3),K684,E684)</f>
        <v>0</v>
      </c>
      <c r="Q684" s="610">
        <f t="shared" si="43"/>
        <v>0</v>
      </c>
      <c r="R684" s="609">
        <f t="shared" si="44"/>
        <v>0</v>
      </c>
      <c r="S684" s="610">
        <f t="shared" si="45"/>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46"/>
        <v>0</v>
      </c>
      <c r="M685" s="610">
        <f t="shared" si="34"/>
        <v>0</v>
      </c>
      <c r="N685" s="611">
        <f>+IF(OR($Q685=Parametres!$G$2,$Q685=Parametres!$G$3),I685,C685)</f>
        <v>0</v>
      </c>
      <c r="O685" s="611">
        <f>+IF(OR($Q685=Parametres!$G$2,$Q685=Parametres!$G$3),J685,D685)</f>
        <v>0</v>
      </c>
      <c r="P685" s="611">
        <f>+IF(OR($Q685=Parametres!$G$2,$Q685=Parametres!$G$3),K685,E685)</f>
        <v>0</v>
      </c>
      <c r="Q685" s="610">
        <f t="shared" si="43"/>
        <v>0</v>
      </c>
      <c r="R685" s="609">
        <f t="shared" si="44"/>
        <v>0</v>
      </c>
      <c r="S685" s="610">
        <f t="shared" si="45"/>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46"/>
        <v>0</v>
      </c>
      <c r="M686" s="610">
        <f t="shared" si="34"/>
        <v>0</v>
      </c>
      <c r="N686" s="611">
        <f>+IF(OR($Q686=Parametres!$G$2,$Q686=Parametres!$G$3),I686,C686)</f>
        <v>0</v>
      </c>
      <c r="O686" s="611">
        <f>+IF(OR($Q686=Parametres!$G$2,$Q686=Parametres!$G$3),J686,D686)</f>
        <v>0</v>
      </c>
      <c r="P686" s="611">
        <f>+IF(OR($Q686=Parametres!$G$2,$Q686=Parametres!$G$3),K686,E686)</f>
        <v>0</v>
      </c>
      <c r="Q686" s="610">
        <f t="shared" si="43"/>
        <v>0</v>
      </c>
      <c r="R686" s="609">
        <f t="shared" si="44"/>
        <v>0</v>
      </c>
      <c r="S686" s="610">
        <f t="shared" si="45"/>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46"/>
        <v>0</v>
      </c>
      <c r="M687" s="610">
        <f t="shared" si="34"/>
        <v>0</v>
      </c>
      <c r="N687" s="611">
        <f>+IF(OR($Q687=Parametres!$G$2,$Q687=Parametres!$G$3),I687,C687)</f>
        <v>0</v>
      </c>
      <c r="O687" s="611">
        <f>+IF(OR($Q687=Parametres!$G$2,$Q687=Parametres!$G$3),J687,D687)</f>
        <v>0</v>
      </c>
      <c r="P687" s="611">
        <f>+IF(OR($Q687=Parametres!$G$2,$Q687=Parametres!$G$3),K687,E687)</f>
        <v>0</v>
      </c>
      <c r="Q687" s="610">
        <f t="shared" si="43"/>
        <v>0</v>
      </c>
      <c r="R687" s="609">
        <f t="shared" si="44"/>
        <v>0</v>
      </c>
      <c r="S687" s="610">
        <f t="shared" si="45"/>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46"/>
        <v>0</v>
      </c>
      <c r="M688" s="610">
        <f t="shared" si="34"/>
        <v>0</v>
      </c>
      <c r="N688" s="611">
        <f>+IF(OR($Q688=Parametres!$G$2,$Q688=Parametres!$G$3),I688,C688)</f>
        <v>0</v>
      </c>
      <c r="O688" s="611">
        <f>+IF(OR($Q688=Parametres!$G$2,$Q688=Parametres!$G$3),J688,D688)</f>
        <v>0</v>
      </c>
      <c r="P688" s="611">
        <f>+IF(OR($Q688=Parametres!$G$2,$Q688=Parametres!$G$3),K688,E688)</f>
        <v>0</v>
      </c>
      <c r="Q688" s="610">
        <f t="shared" si="43"/>
        <v>0</v>
      </c>
      <c r="R688" s="609">
        <f t="shared" si="44"/>
        <v>0</v>
      </c>
      <c r="S688" s="610">
        <f t="shared" si="45"/>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46"/>
        <v>0</v>
      </c>
      <c r="M689" s="610">
        <f t="shared" si="34"/>
        <v>0</v>
      </c>
      <c r="N689" s="611">
        <f>+IF(OR($Q689=Parametres!$G$2,$Q689=Parametres!$G$3),I689,C689)</f>
        <v>0</v>
      </c>
      <c r="O689" s="611">
        <f>+IF(OR($Q689=Parametres!$G$2,$Q689=Parametres!$G$3),J689,D689)</f>
        <v>0</v>
      </c>
      <c r="P689" s="611">
        <f>+IF(OR($Q689=Parametres!$G$2,$Q689=Parametres!$G$3),K689,E689)</f>
        <v>0</v>
      </c>
      <c r="Q689" s="610">
        <f t="shared" si="43"/>
        <v>0</v>
      </c>
      <c r="R689" s="609">
        <f t="shared" si="44"/>
        <v>0</v>
      </c>
      <c r="S689" s="610">
        <f t="shared" si="45"/>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46"/>
        <v>0</v>
      </c>
      <c r="M690" s="610">
        <f t="shared" si="34"/>
        <v>0</v>
      </c>
      <c r="N690" s="611">
        <f>+IF(OR($Q690=Parametres!$G$2,$Q690=Parametres!$G$3),I690,C690)</f>
        <v>0</v>
      </c>
      <c r="O690" s="611">
        <f>+IF(OR($Q690=Parametres!$G$2,$Q690=Parametres!$G$3),J690,D690)</f>
        <v>0</v>
      </c>
      <c r="P690" s="611">
        <f>+IF(OR($Q690=Parametres!$G$2,$Q690=Parametres!$G$3),K690,E690)</f>
        <v>0</v>
      </c>
      <c r="Q690" s="610">
        <f t="shared" si="43"/>
        <v>0</v>
      </c>
      <c r="R690" s="609">
        <f t="shared" si="44"/>
        <v>0</v>
      </c>
      <c r="S690" s="610">
        <f t="shared" si="45"/>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46"/>
        <v>0</v>
      </c>
      <c r="M691" s="610">
        <f t="shared" si="34"/>
        <v>0</v>
      </c>
      <c r="N691" s="611">
        <f>+IF(OR($Q691=Parametres!$G$2,$Q691=Parametres!$G$3),I691,C691)</f>
        <v>0</v>
      </c>
      <c r="O691" s="611">
        <f>+IF(OR($Q691=Parametres!$G$2,$Q691=Parametres!$G$3),J691,D691)</f>
        <v>0</v>
      </c>
      <c r="P691" s="611">
        <f>+IF(OR($Q691=Parametres!$G$2,$Q691=Parametres!$G$3),K691,E691)</f>
        <v>0</v>
      </c>
      <c r="Q691" s="610">
        <f t="shared" si="43"/>
        <v>0</v>
      </c>
      <c r="R691" s="609">
        <f t="shared" si="44"/>
        <v>0</v>
      </c>
      <c r="S691" s="610">
        <f t="shared" si="45"/>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46"/>
        <v>0</v>
      </c>
      <c r="M692" s="610">
        <f t="shared" si="34"/>
        <v>0</v>
      </c>
      <c r="N692" s="611">
        <f>+IF(OR($Q692=Parametres!$G$2,$Q692=Parametres!$G$3),I692,C692)</f>
        <v>0</v>
      </c>
      <c r="O692" s="611">
        <f>+IF(OR($Q692=Parametres!$G$2,$Q692=Parametres!$G$3),J692,D692)</f>
        <v>0</v>
      </c>
      <c r="P692" s="611">
        <f>+IF(OR($Q692=Parametres!$G$2,$Q692=Parametres!$G$3),K692,E692)</f>
        <v>0</v>
      </c>
      <c r="Q692" s="610">
        <f t="shared" si="43"/>
        <v>0</v>
      </c>
      <c r="R692" s="609">
        <f t="shared" si="44"/>
        <v>0</v>
      </c>
      <c r="S692" s="610">
        <f t="shared" si="45"/>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46"/>
        <v>0</v>
      </c>
      <c r="M693" s="610">
        <f t="shared" si="34"/>
        <v>0</v>
      </c>
      <c r="N693" s="611">
        <f>+IF(OR($Q693=Parametres!$G$2,$Q693=Parametres!$G$3),I693,C693)</f>
        <v>0</v>
      </c>
      <c r="O693" s="611">
        <f>+IF(OR($Q693=Parametres!$G$2,$Q693=Parametres!$G$3),J693,D693)</f>
        <v>0</v>
      </c>
      <c r="P693" s="611">
        <f>+IF(OR($Q693=Parametres!$G$2,$Q693=Parametres!$G$3),K693,E693)</f>
        <v>0</v>
      </c>
      <c r="Q693" s="610">
        <f t="shared" si="43"/>
        <v>0</v>
      </c>
      <c r="R693" s="609">
        <f t="shared" si="44"/>
        <v>0</v>
      </c>
      <c r="S693" s="610">
        <f t="shared" si="4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46"/>
        <v>0</v>
      </c>
      <c r="M694" s="610">
        <f t="shared" si="34"/>
        <v>0</v>
      </c>
      <c r="N694" s="611">
        <f>+IF(OR($Q694=Parametres!$G$2,$Q694=Parametres!$G$3),I694,C694)</f>
        <v>0</v>
      </c>
      <c r="O694" s="611">
        <f>+IF(OR($Q694=Parametres!$G$2,$Q694=Parametres!$G$3),J694,D694)</f>
        <v>0</v>
      </c>
      <c r="P694" s="611">
        <f>+IF(OR($Q694=Parametres!$G$2,$Q694=Parametres!$G$3),K694,E694)</f>
        <v>0</v>
      </c>
      <c r="Q694" s="610">
        <f t="shared" si="43"/>
        <v>0</v>
      </c>
      <c r="R694" s="609">
        <f t="shared" si="44"/>
        <v>0</v>
      </c>
      <c r="S694" s="610">
        <f t="shared" si="45"/>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46"/>
        <v>0</v>
      </c>
      <c r="M695" s="610">
        <f t="shared" si="34"/>
        <v>0</v>
      </c>
      <c r="N695" s="611">
        <f>+IF(OR($Q695=Parametres!$G$2,$Q695=Parametres!$G$3),I695,C695)</f>
        <v>0</v>
      </c>
      <c r="O695" s="611">
        <f>+IF(OR($Q695=Parametres!$G$2,$Q695=Parametres!$G$3),J695,D695)</f>
        <v>0</v>
      </c>
      <c r="P695" s="611">
        <f>+IF(OR($Q695=Parametres!$G$2,$Q695=Parametres!$G$3),K695,E695)</f>
        <v>0</v>
      </c>
      <c r="Q695" s="610">
        <f t="shared" si="43"/>
        <v>0</v>
      </c>
      <c r="R695" s="609">
        <f t="shared" si="44"/>
        <v>0</v>
      </c>
      <c r="S695" s="610">
        <f t="shared" si="45"/>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46"/>
        <v>0</v>
      </c>
      <c r="M696" s="610">
        <f t="shared" si="34"/>
        <v>0</v>
      </c>
      <c r="N696" s="611">
        <f>+IF(OR($Q696=Parametres!$G$2,$Q696=Parametres!$G$3),I696,C696)</f>
        <v>0</v>
      </c>
      <c r="O696" s="611">
        <f>+IF(OR($Q696=Parametres!$G$2,$Q696=Parametres!$G$3),J696,D696)</f>
        <v>0</v>
      </c>
      <c r="P696" s="611">
        <f>+IF(OR($Q696=Parametres!$G$2,$Q696=Parametres!$G$3),K696,E696)</f>
        <v>0</v>
      </c>
      <c r="Q696" s="610">
        <f t="shared" si="43"/>
        <v>0</v>
      </c>
      <c r="R696" s="609">
        <f t="shared" si="44"/>
        <v>0</v>
      </c>
      <c r="S696" s="610">
        <f t="shared" si="45"/>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46"/>
        <v>0</v>
      </c>
      <c r="M697" s="610">
        <f t="shared" si="34"/>
        <v>0</v>
      </c>
      <c r="N697" s="611">
        <f>+IF(OR($Q697=Parametres!$G$2,$Q697=Parametres!$G$3),I697,C697)</f>
        <v>0</v>
      </c>
      <c r="O697" s="611">
        <f>+IF(OR($Q697=Parametres!$G$2,$Q697=Parametres!$G$3),J697,D697)</f>
        <v>0</v>
      </c>
      <c r="P697" s="611">
        <f>+IF(OR($Q697=Parametres!$G$2,$Q697=Parametres!$G$3),K697,E697)</f>
        <v>0</v>
      </c>
      <c r="Q697" s="610">
        <f t="shared" si="43"/>
        <v>0</v>
      </c>
      <c r="R697" s="609">
        <f t="shared" si="44"/>
        <v>0</v>
      </c>
      <c r="S697" s="610">
        <f t="shared" si="45"/>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46"/>
        <v>0</v>
      </c>
      <c r="M698" s="610">
        <f t="shared" si="34"/>
        <v>0</v>
      </c>
      <c r="N698" s="611">
        <f>+IF(OR($Q698=Parametres!$G$2,$Q698=Parametres!$G$3),I698,C698)</f>
        <v>0</v>
      </c>
      <c r="O698" s="611">
        <f>+IF(OR($Q698=Parametres!$G$2,$Q698=Parametres!$G$3),J698,D698)</f>
        <v>0</v>
      </c>
      <c r="P698" s="611">
        <f>+IF(OR($Q698=Parametres!$G$2,$Q698=Parametres!$G$3),K698,E698)</f>
        <v>0</v>
      </c>
      <c r="Q698" s="610">
        <f t="shared" si="43"/>
        <v>0</v>
      </c>
      <c r="R698" s="609">
        <f t="shared" si="44"/>
        <v>0</v>
      </c>
      <c r="S698" s="610">
        <f t="shared" si="45"/>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46"/>
        <v>0</v>
      </c>
      <c r="M699" s="610">
        <f t="shared" si="34"/>
        <v>0</v>
      </c>
      <c r="N699" s="611">
        <f>+IF(OR($Q699=Parametres!$G$2,$Q699=Parametres!$G$3),I699,C699)</f>
        <v>0</v>
      </c>
      <c r="O699" s="611">
        <f>+IF(OR($Q699=Parametres!$G$2,$Q699=Parametres!$G$3),J699,D699)</f>
        <v>0</v>
      </c>
      <c r="P699" s="611">
        <f>+IF(OR($Q699=Parametres!$G$2,$Q699=Parametres!$G$3),K699,E699)</f>
        <v>0</v>
      </c>
      <c r="Q699" s="610">
        <f t="shared" si="43"/>
        <v>0</v>
      </c>
      <c r="R699" s="609">
        <f t="shared" si="44"/>
        <v>0</v>
      </c>
      <c r="S699" s="610">
        <f t="shared" si="45"/>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46"/>
        <v>0</v>
      </c>
      <c r="M700" s="610">
        <f t="shared" si="34"/>
        <v>0</v>
      </c>
      <c r="N700" s="611">
        <f>+IF(OR($Q700=Parametres!$G$2,$Q700=Parametres!$G$3),I700,C700)</f>
        <v>0</v>
      </c>
      <c r="O700" s="611">
        <f>+IF(OR($Q700=Parametres!$G$2,$Q700=Parametres!$G$3),J700,D700)</f>
        <v>0</v>
      </c>
      <c r="P700" s="611">
        <f>+IF(OR($Q700=Parametres!$G$2,$Q700=Parametres!$G$3),K700,E700)</f>
        <v>0</v>
      </c>
      <c r="Q700" s="610">
        <f t="shared" si="43"/>
        <v>0</v>
      </c>
      <c r="R700" s="609">
        <f t="shared" si="44"/>
        <v>0</v>
      </c>
      <c r="S700" s="610">
        <f t="shared" si="45"/>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46"/>
        <v>0</v>
      </c>
      <c r="M701" s="610">
        <f t="shared" si="34"/>
        <v>0</v>
      </c>
      <c r="N701" s="611">
        <f>+IF(OR($Q701=Parametres!$G$2,$Q701=Parametres!$G$3),I701,C701)</f>
        <v>0</v>
      </c>
      <c r="O701" s="611">
        <f>+IF(OR($Q701=Parametres!$G$2,$Q701=Parametres!$G$3),J701,D701)</f>
        <v>0</v>
      </c>
      <c r="P701" s="611">
        <f>+IF(OR($Q701=Parametres!$G$2,$Q701=Parametres!$G$3),K701,E701)</f>
        <v>0</v>
      </c>
      <c r="Q701" s="610">
        <f t="shared" si="43"/>
        <v>0</v>
      </c>
      <c r="R701" s="609">
        <f t="shared" si="44"/>
        <v>0</v>
      </c>
      <c r="S701" s="610">
        <f t="shared" si="45"/>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46"/>
        <v>0</v>
      </c>
      <c r="M702" s="610">
        <f t="shared" si="34"/>
        <v>0</v>
      </c>
      <c r="N702" s="611">
        <f>+IF(OR($Q702=Parametres!$G$2,$Q702=Parametres!$G$3),I702,C702)</f>
        <v>0</v>
      </c>
      <c r="O702" s="611">
        <f>+IF(OR($Q702=Parametres!$G$2,$Q702=Parametres!$G$3),J702,D702)</f>
        <v>0</v>
      </c>
      <c r="P702" s="611">
        <f>+IF(OR($Q702=Parametres!$G$2,$Q702=Parametres!$G$3),K702,E702)</f>
        <v>0</v>
      </c>
      <c r="Q702" s="610">
        <f t="shared" si="43"/>
        <v>0</v>
      </c>
      <c r="R702" s="609">
        <f t="shared" si="44"/>
        <v>0</v>
      </c>
      <c r="S702" s="610">
        <f t="shared" si="45"/>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46"/>
        <v>0</v>
      </c>
      <c r="M703" s="610">
        <f t="shared" si="34"/>
        <v>0</v>
      </c>
      <c r="N703" s="611">
        <f>+IF(OR($Q703=Parametres!$G$2,$Q703=Parametres!$G$3),I703,C703)</f>
        <v>0</v>
      </c>
      <c r="O703" s="611">
        <f>+IF(OR($Q703=Parametres!$G$2,$Q703=Parametres!$G$3),J703,D703)</f>
        <v>0</v>
      </c>
      <c r="P703" s="611">
        <f>+IF(OR($Q703=Parametres!$G$2,$Q703=Parametres!$G$3),K703,E703)</f>
        <v>0</v>
      </c>
      <c r="Q703" s="610">
        <f t="shared" si="43"/>
        <v>0</v>
      </c>
      <c r="R703" s="609">
        <f t="shared" si="44"/>
        <v>0</v>
      </c>
      <c r="S703" s="610">
        <f t="shared" si="4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46"/>
        <v>0</v>
      </c>
      <c r="M704" s="610">
        <f t="shared" si="34"/>
        <v>0</v>
      </c>
      <c r="N704" s="611">
        <f>+IF(OR($Q704=Parametres!$G$2,$Q704=Parametres!$G$3),I704,C704)</f>
        <v>0</v>
      </c>
      <c r="O704" s="611">
        <f>+IF(OR($Q704=Parametres!$G$2,$Q704=Parametres!$G$3),J704,D704)</f>
        <v>0</v>
      </c>
      <c r="P704" s="611">
        <f>+IF(OR($Q704=Parametres!$G$2,$Q704=Parametres!$G$3),K704,E704)</f>
        <v>0</v>
      </c>
      <c r="Q704" s="610">
        <f t="shared" si="43"/>
        <v>0</v>
      </c>
      <c r="R704" s="609">
        <f t="shared" si="44"/>
        <v>0</v>
      </c>
      <c r="S704" s="610">
        <f t="shared" si="45"/>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46"/>
        <v>0</v>
      </c>
      <c r="M705" s="610">
        <f t="shared" si="34"/>
        <v>0</v>
      </c>
      <c r="N705" s="611">
        <f>+IF(OR($Q705=Parametres!$G$2,$Q705=Parametres!$G$3),I705,C705)</f>
        <v>0</v>
      </c>
      <c r="O705" s="611">
        <f>+IF(OR($Q705=Parametres!$G$2,$Q705=Parametres!$G$3),J705,D705)</f>
        <v>0</v>
      </c>
      <c r="P705" s="611">
        <f>+IF(OR($Q705=Parametres!$G$2,$Q705=Parametres!$G$3),K705,E705)</f>
        <v>0</v>
      </c>
      <c r="Q705" s="610">
        <f t="shared" si="43"/>
        <v>0</v>
      </c>
      <c r="R705" s="609">
        <f t="shared" si="44"/>
        <v>0</v>
      </c>
      <c r="S705" s="610">
        <f t="shared" si="45"/>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46"/>
        <v>0</v>
      </c>
      <c r="M706" s="610">
        <f t="shared" si="34"/>
        <v>0</v>
      </c>
      <c r="N706" s="611">
        <f>+IF(OR($Q706=Parametres!$G$2,$Q706=Parametres!$G$3),I706,C706)</f>
        <v>0</v>
      </c>
      <c r="O706" s="611">
        <f>+IF(OR($Q706=Parametres!$G$2,$Q706=Parametres!$G$3),J706,D706)</f>
        <v>0</v>
      </c>
      <c r="P706" s="611">
        <f>+IF(OR($Q706=Parametres!$G$2,$Q706=Parametres!$G$3),K706,E706)</f>
        <v>0</v>
      </c>
      <c r="Q706" s="610">
        <f t="shared" ref="Q706:Q769" si="47">+F706</f>
        <v>0</v>
      </c>
      <c r="R706" s="609">
        <f t="shared" ref="R706:R769" si="48">+G706</f>
        <v>0</v>
      </c>
      <c r="S706" s="610">
        <f t="shared" ref="S706:S769" si="49">+H706</f>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50">TEXT(B707,0)</f>
        <v>0</v>
      </c>
      <c r="M707" s="610">
        <f t="shared" si="34"/>
        <v>0</v>
      </c>
      <c r="N707" s="611">
        <f>+IF(OR($Q707=Parametres!$G$2,$Q707=Parametres!$G$3),I707,C707)</f>
        <v>0</v>
      </c>
      <c r="O707" s="611">
        <f>+IF(OR($Q707=Parametres!$G$2,$Q707=Parametres!$G$3),J707,D707)</f>
        <v>0</v>
      </c>
      <c r="P707" s="611">
        <f>+IF(OR($Q707=Parametres!$G$2,$Q707=Parametres!$G$3),K707,E707)</f>
        <v>0</v>
      </c>
      <c r="Q707" s="610">
        <f t="shared" si="47"/>
        <v>0</v>
      </c>
      <c r="R707" s="609">
        <f t="shared" si="48"/>
        <v>0</v>
      </c>
      <c r="S707" s="610">
        <f t="shared" si="49"/>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50"/>
        <v>0</v>
      </c>
      <c r="M708" s="610">
        <f t="shared" si="34"/>
        <v>0</v>
      </c>
      <c r="N708" s="611">
        <f>+IF(OR($Q708=Parametres!$G$2,$Q708=Parametres!$G$3),I708,C708)</f>
        <v>0</v>
      </c>
      <c r="O708" s="611">
        <f>+IF(OR($Q708=Parametres!$G$2,$Q708=Parametres!$G$3),J708,D708)</f>
        <v>0</v>
      </c>
      <c r="P708" s="611">
        <f>+IF(OR($Q708=Parametres!$G$2,$Q708=Parametres!$G$3),K708,E708)</f>
        <v>0</v>
      </c>
      <c r="Q708" s="610">
        <f t="shared" si="47"/>
        <v>0</v>
      </c>
      <c r="R708" s="609">
        <f t="shared" si="48"/>
        <v>0</v>
      </c>
      <c r="S708" s="610">
        <f t="shared" si="49"/>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50"/>
        <v>0</v>
      </c>
      <c r="M709" s="610">
        <f t="shared" si="34"/>
        <v>0</v>
      </c>
      <c r="N709" s="611">
        <f>+IF(OR($Q709=Parametres!$G$2,$Q709=Parametres!$G$3),I709,C709)</f>
        <v>0</v>
      </c>
      <c r="O709" s="611">
        <f>+IF(OR($Q709=Parametres!$G$2,$Q709=Parametres!$G$3),J709,D709)</f>
        <v>0</v>
      </c>
      <c r="P709" s="611">
        <f>+IF(OR($Q709=Parametres!$G$2,$Q709=Parametres!$G$3),K709,E709)</f>
        <v>0</v>
      </c>
      <c r="Q709" s="610">
        <f t="shared" si="47"/>
        <v>0</v>
      </c>
      <c r="R709" s="609">
        <f t="shared" si="48"/>
        <v>0</v>
      </c>
      <c r="S709" s="610">
        <f t="shared" si="49"/>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50"/>
        <v>0</v>
      </c>
      <c r="M710" s="610">
        <f t="shared" si="34"/>
        <v>0</v>
      </c>
      <c r="N710" s="611">
        <f>+IF(OR($Q710=Parametres!$G$2,$Q710=Parametres!$G$3),I710,C710)</f>
        <v>0</v>
      </c>
      <c r="O710" s="611">
        <f>+IF(OR($Q710=Parametres!$G$2,$Q710=Parametres!$G$3),J710,D710)</f>
        <v>0</v>
      </c>
      <c r="P710" s="611">
        <f>+IF(OR($Q710=Parametres!$G$2,$Q710=Parametres!$G$3),K710,E710)</f>
        <v>0</v>
      </c>
      <c r="Q710" s="610">
        <f t="shared" si="47"/>
        <v>0</v>
      </c>
      <c r="R710" s="609">
        <f t="shared" si="48"/>
        <v>0</v>
      </c>
      <c r="S710" s="610">
        <f t="shared" si="49"/>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50"/>
        <v>0</v>
      </c>
      <c r="M711" s="610">
        <f t="shared" si="34"/>
        <v>0</v>
      </c>
      <c r="N711" s="611">
        <f>+IF(OR($Q711=Parametres!$G$2,$Q711=Parametres!$G$3),I711,C711)</f>
        <v>0</v>
      </c>
      <c r="O711" s="611">
        <f>+IF(OR($Q711=Parametres!$G$2,$Q711=Parametres!$G$3),J711,D711)</f>
        <v>0</v>
      </c>
      <c r="P711" s="611">
        <f>+IF(OR($Q711=Parametres!$G$2,$Q711=Parametres!$G$3),K711,E711)</f>
        <v>0</v>
      </c>
      <c r="Q711" s="610">
        <f t="shared" si="47"/>
        <v>0</v>
      </c>
      <c r="R711" s="609">
        <f t="shared" si="48"/>
        <v>0</v>
      </c>
      <c r="S711" s="610">
        <f t="shared" si="49"/>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50"/>
        <v>0</v>
      </c>
      <c r="M712" s="610">
        <f t="shared" si="34"/>
        <v>0</v>
      </c>
      <c r="N712" s="611">
        <f>+IF(OR($Q712=Parametres!$G$2,$Q712=Parametres!$G$3),I712,C712)</f>
        <v>0</v>
      </c>
      <c r="O712" s="611">
        <f>+IF(OR($Q712=Parametres!$G$2,$Q712=Parametres!$G$3),J712,D712)</f>
        <v>0</v>
      </c>
      <c r="P712" s="611">
        <f>+IF(OR($Q712=Parametres!$G$2,$Q712=Parametres!$G$3),K712,E712)</f>
        <v>0</v>
      </c>
      <c r="Q712" s="610">
        <f t="shared" si="47"/>
        <v>0</v>
      </c>
      <c r="R712" s="609">
        <f t="shared" si="48"/>
        <v>0</v>
      </c>
      <c r="S712" s="610">
        <f t="shared" si="49"/>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50"/>
        <v>0</v>
      </c>
      <c r="M713" s="610">
        <f t="shared" si="34"/>
        <v>0</v>
      </c>
      <c r="N713" s="611">
        <f>+IF(OR($Q713=Parametres!$G$2,$Q713=Parametres!$G$3),I713,C713)</f>
        <v>0</v>
      </c>
      <c r="O713" s="611">
        <f>+IF(OR($Q713=Parametres!$G$2,$Q713=Parametres!$G$3),J713,D713)</f>
        <v>0</v>
      </c>
      <c r="P713" s="611">
        <f>+IF(OR($Q713=Parametres!$G$2,$Q713=Parametres!$G$3),K713,E713)</f>
        <v>0</v>
      </c>
      <c r="Q713" s="610">
        <f t="shared" si="47"/>
        <v>0</v>
      </c>
      <c r="R713" s="609">
        <f t="shared" si="48"/>
        <v>0</v>
      </c>
      <c r="S713" s="610">
        <f t="shared" si="49"/>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50"/>
        <v>0</v>
      </c>
      <c r="M714" s="610">
        <f t="shared" si="34"/>
        <v>0</v>
      </c>
      <c r="N714" s="611">
        <f>+IF(OR($Q714=Parametres!$G$2,$Q714=Parametres!$G$3),I714,C714)</f>
        <v>0</v>
      </c>
      <c r="O714" s="611">
        <f>+IF(OR($Q714=Parametres!$G$2,$Q714=Parametres!$G$3),J714,D714)</f>
        <v>0</v>
      </c>
      <c r="P714" s="611">
        <f>+IF(OR($Q714=Parametres!$G$2,$Q714=Parametres!$G$3),K714,E714)</f>
        <v>0</v>
      </c>
      <c r="Q714" s="610">
        <f t="shared" si="47"/>
        <v>0</v>
      </c>
      <c r="R714" s="609">
        <f t="shared" si="48"/>
        <v>0</v>
      </c>
      <c r="S714" s="610">
        <f t="shared" si="49"/>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50"/>
        <v>0</v>
      </c>
      <c r="M715" s="610">
        <f t="shared" si="34"/>
        <v>0</v>
      </c>
      <c r="N715" s="611">
        <f>+IF(OR($Q715=Parametres!$G$2,$Q715=Parametres!$G$3),I715,C715)</f>
        <v>0</v>
      </c>
      <c r="O715" s="611">
        <f>+IF(OR($Q715=Parametres!$G$2,$Q715=Parametres!$G$3),J715,D715)</f>
        <v>0</v>
      </c>
      <c r="P715" s="611">
        <f>+IF(OR($Q715=Parametres!$G$2,$Q715=Parametres!$G$3),K715,E715)</f>
        <v>0</v>
      </c>
      <c r="Q715" s="610">
        <f t="shared" si="47"/>
        <v>0</v>
      </c>
      <c r="R715" s="609">
        <f t="shared" si="48"/>
        <v>0</v>
      </c>
      <c r="S715" s="610">
        <f t="shared" si="49"/>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50"/>
        <v>0</v>
      </c>
      <c r="M716" s="610">
        <f t="shared" si="34"/>
        <v>0</v>
      </c>
      <c r="N716" s="611">
        <f>+IF(OR($Q716=Parametres!$G$2,$Q716=Parametres!$G$3),I716,C716)</f>
        <v>0</v>
      </c>
      <c r="O716" s="611">
        <f>+IF(OR($Q716=Parametres!$G$2,$Q716=Parametres!$G$3),J716,D716)</f>
        <v>0</v>
      </c>
      <c r="P716" s="611">
        <f>+IF(OR($Q716=Parametres!$G$2,$Q716=Parametres!$G$3),K716,E716)</f>
        <v>0</v>
      </c>
      <c r="Q716" s="610">
        <f t="shared" si="47"/>
        <v>0</v>
      </c>
      <c r="R716" s="609">
        <f t="shared" si="48"/>
        <v>0</v>
      </c>
      <c r="S716" s="610">
        <f t="shared" si="4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50"/>
        <v>0</v>
      </c>
      <c r="M717" s="610">
        <f t="shared" si="34"/>
        <v>0</v>
      </c>
      <c r="N717" s="611">
        <f>+IF(OR($Q717=Parametres!$G$2,$Q717=Parametres!$G$3),I717,C717)</f>
        <v>0</v>
      </c>
      <c r="O717" s="611">
        <f>+IF(OR($Q717=Parametres!$G$2,$Q717=Parametres!$G$3),J717,D717)</f>
        <v>0</v>
      </c>
      <c r="P717" s="611">
        <f>+IF(OR($Q717=Parametres!$G$2,$Q717=Parametres!$G$3),K717,E717)</f>
        <v>0</v>
      </c>
      <c r="Q717" s="610">
        <f t="shared" si="47"/>
        <v>0</v>
      </c>
      <c r="R717" s="609">
        <f t="shared" si="48"/>
        <v>0</v>
      </c>
      <c r="S717" s="610">
        <f t="shared" si="49"/>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50"/>
        <v>0</v>
      </c>
      <c r="M718" s="610">
        <f t="shared" si="34"/>
        <v>0</v>
      </c>
      <c r="N718" s="611">
        <f>+IF(OR($Q718=Parametres!$G$2,$Q718=Parametres!$G$3),I718,C718)</f>
        <v>0</v>
      </c>
      <c r="O718" s="611">
        <f>+IF(OR($Q718=Parametres!$G$2,$Q718=Parametres!$G$3),J718,D718)</f>
        <v>0</v>
      </c>
      <c r="P718" s="611">
        <f>+IF(OR($Q718=Parametres!$G$2,$Q718=Parametres!$G$3),K718,E718)</f>
        <v>0</v>
      </c>
      <c r="Q718" s="610">
        <f t="shared" si="47"/>
        <v>0</v>
      </c>
      <c r="R718" s="609">
        <f t="shared" si="48"/>
        <v>0</v>
      </c>
      <c r="S718" s="610">
        <f t="shared" si="49"/>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50"/>
        <v>0</v>
      </c>
      <c r="M719" s="610">
        <f t="shared" si="34"/>
        <v>0</v>
      </c>
      <c r="N719" s="611">
        <f>+IF(OR($Q719=Parametres!$G$2,$Q719=Parametres!$G$3),I719,C719)</f>
        <v>0</v>
      </c>
      <c r="O719" s="611">
        <f>+IF(OR($Q719=Parametres!$G$2,$Q719=Parametres!$G$3),J719,D719)</f>
        <v>0</v>
      </c>
      <c r="P719" s="611">
        <f>+IF(OR($Q719=Parametres!$G$2,$Q719=Parametres!$G$3),K719,E719)</f>
        <v>0</v>
      </c>
      <c r="Q719" s="610">
        <f t="shared" si="47"/>
        <v>0</v>
      </c>
      <c r="R719" s="609">
        <f t="shared" si="48"/>
        <v>0</v>
      </c>
      <c r="S719" s="610">
        <f t="shared" si="49"/>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50"/>
        <v>0</v>
      </c>
      <c r="M720" s="610">
        <f t="shared" si="34"/>
        <v>0</v>
      </c>
      <c r="N720" s="611">
        <f>+IF(OR($Q720=Parametres!$G$2,$Q720=Parametres!$G$3),I720,C720)</f>
        <v>0</v>
      </c>
      <c r="O720" s="611">
        <f>+IF(OR($Q720=Parametres!$G$2,$Q720=Parametres!$G$3),J720,D720)</f>
        <v>0</v>
      </c>
      <c r="P720" s="611">
        <f>+IF(OR($Q720=Parametres!$G$2,$Q720=Parametres!$G$3),K720,E720)</f>
        <v>0</v>
      </c>
      <c r="Q720" s="610">
        <f t="shared" si="47"/>
        <v>0</v>
      </c>
      <c r="R720" s="609">
        <f t="shared" si="48"/>
        <v>0</v>
      </c>
      <c r="S720" s="610">
        <f t="shared" si="49"/>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50"/>
        <v>0</v>
      </c>
      <c r="M721" s="610">
        <f t="shared" si="34"/>
        <v>0</v>
      </c>
      <c r="N721" s="611">
        <f>+IF(OR($Q721=Parametres!$G$2,$Q721=Parametres!$G$3),I721,C721)</f>
        <v>0</v>
      </c>
      <c r="O721" s="611">
        <f>+IF(OR($Q721=Parametres!$G$2,$Q721=Parametres!$G$3),J721,D721)</f>
        <v>0</v>
      </c>
      <c r="P721" s="611">
        <f>+IF(OR($Q721=Parametres!$G$2,$Q721=Parametres!$G$3),K721,E721)</f>
        <v>0</v>
      </c>
      <c r="Q721" s="610">
        <f t="shared" si="47"/>
        <v>0</v>
      </c>
      <c r="R721" s="609">
        <f t="shared" si="48"/>
        <v>0</v>
      </c>
      <c r="S721" s="610">
        <f t="shared" si="49"/>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50"/>
        <v>0</v>
      </c>
      <c r="M722" s="610">
        <f t="shared" si="34"/>
        <v>0</v>
      </c>
      <c r="N722" s="611">
        <f>+IF(OR($Q722=Parametres!$G$2,$Q722=Parametres!$G$3),I722,C722)</f>
        <v>0</v>
      </c>
      <c r="O722" s="611">
        <f>+IF(OR($Q722=Parametres!$G$2,$Q722=Parametres!$G$3),J722,D722)</f>
        <v>0</v>
      </c>
      <c r="P722" s="611">
        <f>+IF(OR($Q722=Parametres!$G$2,$Q722=Parametres!$G$3),K722,E722)</f>
        <v>0</v>
      </c>
      <c r="Q722" s="610">
        <f t="shared" si="47"/>
        <v>0</v>
      </c>
      <c r="R722" s="609">
        <f t="shared" si="48"/>
        <v>0</v>
      </c>
      <c r="S722" s="610">
        <f t="shared" si="49"/>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50"/>
        <v>0</v>
      </c>
      <c r="M723" s="610">
        <f t="shared" si="34"/>
        <v>0</v>
      </c>
      <c r="N723" s="611">
        <f>+IF(OR($Q723=Parametres!$G$2,$Q723=Parametres!$G$3),I723,C723)</f>
        <v>0</v>
      </c>
      <c r="O723" s="611">
        <f>+IF(OR($Q723=Parametres!$G$2,$Q723=Parametres!$G$3),J723,D723)</f>
        <v>0</v>
      </c>
      <c r="P723" s="611">
        <f>+IF(OR($Q723=Parametres!$G$2,$Q723=Parametres!$G$3),K723,E723)</f>
        <v>0</v>
      </c>
      <c r="Q723" s="610">
        <f t="shared" si="47"/>
        <v>0</v>
      </c>
      <c r="R723" s="609">
        <f t="shared" si="48"/>
        <v>0</v>
      </c>
      <c r="S723" s="610">
        <f t="shared" si="49"/>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50"/>
        <v>0</v>
      </c>
      <c r="M724" s="610">
        <f t="shared" si="34"/>
        <v>0</v>
      </c>
      <c r="N724" s="611">
        <f>+IF(OR($Q724=Parametres!$G$2,$Q724=Parametres!$G$3),I724,C724)</f>
        <v>0</v>
      </c>
      <c r="O724" s="611">
        <f>+IF(OR($Q724=Parametres!$G$2,$Q724=Parametres!$G$3),J724,D724)</f>
        <v>0</v>
      </c>
      <c r="P724" s="611">
        <f>+IF(OR($Q724=Parametres!$G$2,$Q724=Parametres!$G$3),K724,E724)</f>
        <v>0</v>
      </c>
      <c r="Q724" s="610">
        <f t="shared" si="47"/>
        <v>0</v>
      </c>
      <c r="R724" s="609">
        <f t="shared" si="48"/>
        <v>0</v>
      </c>
      <c r="S724" s="610">
        <f t="shared" si="49"/>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50"/>
        <v>0</v>
      </c>
      <c r="M725" s="610">
        <f t="shared" si="34"/>
        <v>0</v>
      </c>
      <c r="N725" s="611">
        <f>+IF(OR($Q725=Parametres!$G$2,$Q725=Parametres!$G$3),I725,C725)</f>
        <v>0</v>
      </c>
      <c r="O725" s="611">
        <f>+IF(OR($Q725=Parametres!$G$2,$Q725=Parametres!$G$3),J725,D725)</f>
        <v>0</v>
      </c>
      <c r="P725" s="611">
        <f>+IF(OR($Q725=Parametres!$G$2,$Q725=Parametres!$G$3),K725,E725)</f>
        <v>0</v>
      </c>
      <c r="Q725" s="610">
        <f t="shared" si="47"/>
        <v>0</v>
      </c>
      <c r="R725" s="609">
        <f t="shared" si="48"/>
        <v>0</v>
      </c>
      <c r="S725" s="610">
        <f t="shared" si="49"/>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50"/>
        <v>0</v>
      </c>
      <c r="M726" s="610">
        <f t="shared" si="34"/>
        <v>0</v>
      </c>
      <c r="N726" s="611">
        <f>+IF(OR($Q726=Parametres!$G$2,$Q726=Parametres!$G$3),I726,C726)</f>
        <v>0</v>
      </c>
      <c r="O726" s="611">
        <f>+IF(OR($Q726=Parametres!$G$2,$Q726=Parametres!$G$3),J726,D726)</f>
        <v>0</v>
      </c>
      <c r="P726" s="611">
        <f>+IF(OR($Q726=Parametres!$G$2,$Q726=Parametres!$G$3),K726,E726)</f>
        <v>0</v>
      </c>
      <c r="Q726" s="610">
        <f t="shared" si="47"/>
        <v>0</v>
      </c>
      <c r="R726" s="609">
        <f t="shared" si="48"/>
        <v>0</v>
      </c>
      <c r="S726" s="610">
        <f t="shared" si="4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50"/>
        <v>0</v>
      </c>
      <c r="M727" s="610">
        <f t="shared" si="34"/>
        <v>0</v>
      </c>
      <c r="N727" s="611">
        <f>+IF(OR($Q727=Parametres!$G$2,$Q727=Parametres!$G$3),I727,C727)</f>
        <v>0</v>
      </c>
      <c r="O727" s="611">
        <f>+IF(OR($Q727=Parametres!$G$2,$Q727=Parametres!$G$3),J727,D727)</f>
        <v>0</v>
      </c>
      <c r="P727" s="611">
        <f>+IF(OR($Q727=Parametres!$G$2,$Q727=Parametres!$G$3),K727,E727)</f>
        <v>0</v>
      </c>
      <c r="Q727" s="610">
        <f t="shared" si="47"/>
        <v>0</v>
      </c>
      <c r="R727" s="609">
        <f t="shared" si="48"/>
        <v>0</v>
      </c>
      <c r="S727" s="610">
        <f t="shared" si="49"/>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50"/>
        <v>0</v>
      </c>
      <c r="M728" s="610">
        <f t="shared" si="34"/>
        <v>0</v>
      </c>
      <c r="N728" s="611">
        <f>+IF(OR($Q728=Parametres!$G$2,$Q728=Parametres!$G$3),I728,C728)</f>
        <v>0</v>
      </c>
      <c r="O728" s="611">
        <f>+IF(OR($Q728=Parametres!$G$2,$Q728=Parametres!$G$3),J728,D728)</f>
        <v>0</v>
      </c>
      <c r="P728" s="611">
        <f>+IF(OR($Q728=Parametres!$G$2,$Q728=Parametres!$G$3),K728,E728)</f>
        <v>0</v>
      </c>
      <c r="Q728" s="610">
        <f t="shared" si="47"/>
        <v>0</v>
      </c>
      <c r="R728" s="609">
        <f t="shared" si="48"/>
        <v>0</v>
      </c>
      <c r="S728" s="610">
        <f t="shared" si="49"/>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50"/>
        <v>0</v>
      </c>
      <c r="M729" s="610">
        <f t="shared" si="34"/>
        <v>0</v>
      </c>
      <c r="N729" s="611">
        <f>+IF(OR($Q729=Parametres!$G$2,$Q729=Parametres!$G$3),I729,C729)</f>
        <v>0</v>
      </c>
      <c r="O729" s="611">
        <f>+IF(OR($Q729=Parametres!$G$2,$Q729=Parametres!$G$3),J729,D729)</f>
        <v>0</v>
      </c>
      <c r="P729" s="611">
        <f>+IF(OR($Q729=Parametres!$G$2,$Q729=Parametres!$G$3),K729,E729)</f>
        <v>0</v>
      </c>
      <c r="Q729" s="610">
        <f t="shared" si="47"/>
        <v>0</v>
      </c>
      <c r="R729" s="609">
        <f t="shared" si="48"/>
        <v>0</v>
      </c>
      <c r="S729" s="610">
        <f t="shared" si="49"/>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50"/>
        <v>0</v>
      </c>
      <c r="M730" s="610">
        <f t="shared" si="34"/>
        <v>0</v>
      </c>
      <c r="N730" s="611">
        <f>+IF(OR($Q730=Parametres!$G$2,$Q730=Parametres!$G$3),I730,C730)</f>
        <v>0</v>
      </c>
      <c r="O730" s="611">
        <f>+IF(OR($Q730=Parametres!$G$2,$Q730=Parametres!$G$3),J730,D730)</f>
        <v>0</v>
      </c>
      <c r="P730" s="611">
        <f>+IF(OR($Q730=Parametres!$G$2,$Q730=Parametres!$G$3),K730,E730)</f>
        <v>0</v>
      </c>
      <c r="Q730" s="610">
        <f t="shared" si="47"/>
        <v>0</v>
      </c>
      <c r="R730" s="609">
        <f t="shared" si="48"/>
        <v>0</v>
      </c>
      <c r="S730" s="610">
        <f t="shared" si="49"/>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50"/>
        <v>0</v>
      </c>
      <c r="M731" s="610">
        <f t="shared" si="34"/>
        <v>0</v>
      </c>
      <c r="N731" s="611">
        <f>+IF(OR($Q731=Parametres!$G$2,$Q731=Parametres!$G$3),I731,C731)</f>
        <v>0</v>
      </c>
      <c r="O731" s="611">
        <f>+IF(OR($Q731=Parametres!$G$2,$Q731=Parametres!$G$3),J731,D731)</f>
        <v>0</v>
      </c>
      <c r="P731" s="611">
        <f>+IF(OR($Q731=Parametres!$G$2,$Q731=Parametres!$G$3),K731,E731)</f>
        <v>0</v>
      </c>
      <c r="Q731" s="610">
        <f t="shared" si="47"/>
        <v>0</v>
      </c>
      <c r="R731" s="609">
        <f t="shared" si="48"/>
        <v>0</v>
      </c>
      <c r="S731" s="610">
        <f t="shared" si="49"/>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50"/>
        <v>0</v>
      </c>
      <c r="M732" s="610">
        <f t="shared" si="34"/>
        <v>0</v>
      </c>
      <c r="N732" s="611">
        <f>+IF(OR($Q732=Parametres!$G$2,$Q732=Parametres!$G$3),I732,C732)</f>
        <v>0</v>
      </c>
      <c r="O732" s="611">
        <f>+IF(OR($Q732=Parametres!$G$2,$Q732=Parametres!$G$3),J732,D732)</f>
        <v>0</v>
      </c>
      <c r="P732" s="611">
        <f>+IF(OR($Q732=Parametres!$G$2,$Q732=Parametres!$G$3),K732,E732)</f>
        <v>0</v>
      </c>
      <c r="Q732" s="610">
        <f t="shared" si="47"/>
        <v>0</v>
      </c>
      <c r="R732" s="609">
        <f t="shared" si="48"/>
        <v>0</v>
      </c>
      <c r="S732" s="610">
        <f t="shared" si="49"/>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50"/>
        <v>0</v>
      </c>
      <c r="M733" s="610">
        <f t="shared" si="34"/>
        <v>0</v>
      </c>
      <c r="N733" s="611">
        <f>+IF(OR($Q733=Parametres!$G$2,$Q733=Parametres!$G$3),I733,C733)</f>
        <v>0</v>
      </c>
      <c r="O733" s="611">
        <f>+IF(OR($Q733=Parametres!$G$2,$Q733=Parametres!$G$3),J733,D733)</f>
        <v>0</v>
      </c>
      <c r="P733" s="611">
        <f>+IF(OR($Q733=Parametres!$G$2,$Q733=Parametres!$G$3),K733,E733)</f>
        <v>0</v>
      </c>
      <c r="Q733" s="610">
        <f t="shared" si="47"/>
        <v>0</v>
      </c>
      <c r="R733" s="609">
        <f t="shared" si="48"/>
        <v>0</v>
      </c>
      <c r="S733" s="610">
        <f t="shared" si="49"/>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50"/>
        <v>0</v>
      </c>
      <c r="M734" s="610">
        <f t="shared" si="34"/>
        <v>0</v>
      </c>
      <c r="N734" s="611">
        <f>+IF(OR($Q734=Parametres!$G$2,$Q734=Parametres!$G$3),I734,C734)</f>
        <v>0</v>
      </c>
      <c r="O734" s="611">
        <f>+IF(OR($Q734=Parametres!$G$2,$Q734=Parametres!$G$3),J734,D734)</f>
        <v>0</v>
      </c>
      <c r="P734" s="611">
        <f>+IF(OR($Q734=Parametres!$G$2,$Q734=Parametres!$G$3),K734,E734)</f>
        <v>0</v>
      </c>
      <c r="Q734" s="610">
        <f t="shared" si="47"/>
        <v>0</v>
      </c>
      <c r="R734" s="609">
        <f t="shared" si="48"/>
        <v>0</v>
      </c>
      <c r="S734" s="610">
        <f t="shared" si="49"/>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50"/>
        <v>0</v>
      </c>
      <c r="M735" s="610">
        <f t="shared" si="34"/>
        <v>0</v>
      </c>
      <c r="N735" s="611">
        <f>+IF(OR($Q735=Parametres!$G$2,$Q735=Parametres!$G$3),I735,C735)</f>
        <v>0</v>
      </c>
      <c r="O735" s="611">
        <f>+IF(OR($Q735=Parametres!$G$2,$Q735=Parametres!$G$3),J735,D735)</f>
        <v>0</v>
      </c>
      <c r="P735" s="611">
        <f>+IF(OR($Q735=Parametres!$G$2,$Q735=Parametres!$G$3),K735,E735)</f>
        <v>0</v>
      </c>
      <c r="Q735" s="610">
        <f t="shared" si="47"/>
        <v>0</v>
      </c>
      <c r="R735" s="609">
        <f t="shared" si="48"/>
        <v>0</v>
      </c>
      <c r="S735" s="610">
        <f t="shared" si="49"/>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50"/>
        <v>0</v>
      </c>
      <c r="M736" s="610">
        <f t="shared" si="34"/>
        <v>0</v>
      </c>
      <c r="N736" s="611">
        <f>+IF(OR($Q736=Parametres!$G$2,$Q736=Parametres!$G$3),I736,C736)</f>
        <v>0</v>
      </c>
      <c r="O736" s="611">
        <f>+IF(OR($Q736=Parametres!$G$2,$Q736=Parametres!$G$3),J736,D736)</f>
        <v>0</v>
      </c>
      <c r="P736" s="611">
        <f>+IF(OR($Q736=Parametres!$G$2,$Q736=Parametres!$G$3),K736,E736)</f>
        <v>0</v>
      </c>
      <c r="Q736" s="610">
        <f t="shared" si="47"/>
        <v>0</v>
      </c>
      <c r="R736" s="609">
        <f t="shared" si="48"/>
        <v>0</v>
      </c>
      <c r="S736" s="610">
        <f t="shared" si="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50"/>
        <v>0</v>
      </c>
      <c r="M737" s="610">
        <f t="shared" si="34"/>
        <v>0</v>
      </c>
      <c r="N737" s="611">
        <f>+IF(OR($Q737=Parametres!$G$2,$Q737=Parametres!$G$3),I737,C737)</f>
        <v>0</v>
      </c>
      <c r="O737" s="611">
        <f>+IF(OR($Q737=Parametres!$G$2,$Q737=Parametres!$G$3),J737,D737)</f>
        <v>0</v>
      </c>
      <c r="P737" s="611">
        <f>+IF(OR($Q737=Parametres!$G$2,$Q737=Parametres!$G$3),K737,E737)</f>
        <v>0</v>
      </c>
      <c r="Q737" s="610">
        <f t="shared" si="47"/>
        <v>0</v>
      </c>
      <c r="R737" s="609">
        <f t="shared" si="48"/>
        <v>0</v>
      </c>
      <c r="S737" s="610">
        <f t="shared" si="49"/>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50"/>
        <v>0</v>
      </c>
      <c r="M738" s="610">
        <f t="shared" si="34"/>
        <v>0</v>
      </c>
      <c r="N738" s="611">
        <f>+IF(OR($Q738=Parametres!$G$2,$Q738=Parametres!$G$3),I738,C738)</f>
        <v>0</v>
      </c>
      <c r="O738" s="611">
        <f>+IF(OR($Q738=Parametres!$G$2,$Q738=Parametres!$G$3),J738,D738)</f>
        <v>0</v>
      </c>
      <c r="P738" s="611">
        <f>+IF(OR($Q738=Parametres!$G$2,$Q738=Parametres!$G$3),K738,E738)</f>
        <v>0</v>
      </c>
      <c r="Q738" s="610">
        <f t="shared" si="47"/>
        <v>0</v>
      </c>
      <c r="R738" s="609">
        <f t="shared" si="48"/>
        <v>0</v>
      </c>
      <c r="S738" s="610">
        <f t="shared" si="49"/>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50"/>
        <v>0</v>
      </c>
      <c r="M739" s="610">
        <f t="shared" si="34"/>
        <v>0</v>
      </c>
      <c r="N739" s="611">
        <f>+IF(OR($Q739=Parametres!$G$2,$Q739=Parametres!$G$3),I739,C739)</f>
        <v>0</v>
      </c>
      <c r="O739" s="611">
        <f>+IF(OR($Q739=Parametres!$G$2,$Q739=Parametres!$G$3),J739,D739)</f>
        <v>0</v>
      </c>
      <c r="P739" s="611">
        <f>+IF(OR($Q739=Parametres!$G$2,$Q739=Parametres!$G$3),K739,E739)</f>
        <v>0</v>
      </c>
      <c r="Q739" s="610">
        <f t="shared" si="47"/>
        <v>0</v>
      </c>
      <c r="R739" s="609">
        <f t="shared" si="48"/>
        <v>0</v>
      </c>
      <c r="S739" s="610">
        <f t="shared" si="49"/>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50"/>
        <v>0</v>
      </c>
      <c r="M740" s="610">
        <f t="shared" si="34"/>
        <v>0</v>
      </c>
      <c r="N740" s="611">
        <f>+IF(OR($Q740=Parametres!$G$2,$Q740=Parametres!$G$3),I740,C740)</f>
        <v>0</v>
      </c>
      <c r="O740" s="611">
        <f>+IF(OR($Q740=Parametres!$G$2,$Q740=Parametres!$G$3),J740,D740)</f>
        <v>0</v>
      </c>
      <c r="P740" s="611">
        <f>+IF(OR($Q740=Parametres!$G$2,$Q740=Parametres!$G$3),K740,E740)</f>
        <v>0</v>
      </c>
      <c r="Q740" s="610">
        <f t="shared" si="47"/>
        <v>0</v>
      </c>
      <c r="R740" s="609">
        <f t="shared" si="48"/>
        <v>0</v>
      </c>
      <c r="S740" s="610">
        <f t="shared" si="49"/>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50"/>
        <v>0</v>
      </c>
      <c r="M741" s="610">
        <f t="shared" si="34"/>
        <v>0</v>
      </c>
      <c r="N741" s="611">
        <f>+IF(OR($Q741=Parametres!$G$2,$Q741=Parametres!$G$3),I741,C741)</f>
        <v>0</v>
      </c>
      <c r="O741" s="611">
        <f>+IF(OR($Q741=Parametres!$G$2,$Q741=Parametres!$G$3),J741,D741)</f>
        <v>0</v>
      </c>
      <c r="P741" s="611">
        <f>+IF(OR($Q741=Parametres!$G$2,$Q741=Parametres!$G$3),K741,E741)</f>
        <v>0</v>
      </c>
      <c r="Q741" s="610">
        <f t="shared" si="47"/>
        <v>0</v>
      </c>
      <c r="R741" s="609">
        <f t="shared" si="48"/>
        <v>0</v>
      </c>
      <c r="S741" s="610">
        <f t="shared" si="49"/>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50"/>
        <v>0</v>
      </c>
      <c r="M742" s="610">
        <f t="shared" si="34"/>
        <v>0</v>
      </c>
      <c r="N742" s="611">
        <f>+IF(OR($Q742=Parametres!$G$2,$Q742=Parametres!$G$3),I742,C742)</f>
        <v>0</v>
      </c>
      <c r="O742" s="611">
        <f>+IF(OR($Q742=Parametres!$G$2,$Q742=Parametres!$G$3),J742,D742)</f>
        <v>0</v>
      </c>
      <c r="P742" s="611">
        <f>+IF(OR($Q742=Parametres!$G$2,$Q742=Parametres!$G$3),K742,E742)</f>
        <v>0</v>
      </c>
      <c r="Q742" s="610">
        <f t="shared" si="47"/>
        <v>0</v>
      </c>
      <c r="R742" s="609">
        <f t="shared" si="48"/>
        <v>0</v>
      </c>
      <c r="S742" s="610">
        <f t="shared" si="49"/>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50"/>
        <v>0</v>
      </c>
      <c r="M743" s="610">
        <f t="shared" si="34"/>
        <v>0</v>
      </c>
      <c r="N743" s="611">
        <f>+IF(OR($Q743=Parametres!$G$2,$Q743=Parametres!$G$3),I743,C743)</f>
        <v>0</v>
      </c>
      <c r="O743" s="611">
        <f>+IF(OR($Q743=Parametres!$G$2,$Q743=Parametres!$G$3),J743,D743)</f>
        <v>0</v>
      </c>
      <c r="P743" s="611">
        <f>+IF(OR($Q743=Parametres!$G$2,$Q743=Parametres!$G$3),K743,E743)</f>
        <v>0</v>
      </c>
      <c r="Q743" s="610">
        <f t="shared" si="47"/>
        <v>0</v>
      </c>
      <c r="R743" s="609">
        <f t="shared" si="48"/>
        <v>0</v>
      </c>
      <c r="S743" s="610">
        <f t="shared" si="49"/>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50"/>
        <v>0</v>
      </c>
      <c r="M744" s="610">
        <f t="shared" si="34"/>
        <v>0</v>
      </c>
      <c r="N744" s="611">
        <f>+IF(OR($Q744=Parametres!$G$2,$Q744=Parametres!$G$3),I744,C744)</f>
        <v>0</v>
      </c>
      <c r="O744" s="611">
        <f>+IF(OR($Q744=Parametres!$G$2,$Q744=Parametres!$G$3),J744,D744)</f>
        <v>0</v>
      </c>
      <c r="P744" s="611">
        <f>+IF(OR($Q744=Parametres!$G$2,$Q744=Parametres!$G$3),K744,E744)</f>
        <v>0</v>
      </c>
      <c r="Q744" s="610">
        <f t="shared" si="47"/>
        <v>0</v>
      </c>
      <c r="R744" s="609">
        <f t="shared" si="48"/>
        <v>0</v>
      </c>
      <c r="S744" s="610">
        <f t="shared" si="49"/>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50"/>
        <v>0</v>
      </c>
      <c r="M745" s="610">
        <f t="shared" si="34"/>
        <v>0</v>
      </c>
      <c r="N745" s="611">
        <f>+IF(OR($Q745=Parametres!$G$2,$Q745=Parametres!$G$3),I745,C745)</f>
        <v>0</v>
      </c>
      <c r="O745" s="611">
        <f>+IF(OR($Q745=Parametres!$G$2,$Q745=Parametres!$G$3),J745,D745)</f>
        <v>0</v>
      </c>
      <c r="P745" s="611">
        <f>+IF(OR($Q745=Parametres!$G$2,$Q745=Parametres!$G$3),K745,E745)</f>
        <v>0</v>
      </c>
      <c r="Q745" s="610">
        <f t="shared" si="47"/>
        <v>0</v>
      </c>
      <c r="R745" s="609">
        <f t="shared" si="48"/>
        <v>0</v>
      </c>
      <c r="S745" s="610">
        <f t="shared" si="49"/>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50"/>
        <v>0</v>
      </c>
      <c r="M746" s="610">
        <f t="shared" si="34"/>
        <v>0</v>
      </c>
      <c r="N746" s="611">
        <f>+IF(OR($Q746=Parametres!$G$2,$Q746=Parametres!$G$3),I746,C746)</f>
        <v>0</v>
      </c>
      <c r="O746" s="611">
        <f>+IF(OR($Q746=Parametres!$G$2,$Q746=Parametres!$G$3),J746,D746)</f>
        <v>0</v>
      </c>
      <c r="P746" s="611">
        <f>+IF(OR($Q746=Parametres!$G$2,$Q746=Parametres!$G$3),K746,E746)</f>
        <v>0</v>
      </c>
      <c r="Q746" s="610">
        <f t="shared" si="47"/>
        <v>0</v>
      </c>
      <c r="R746" s="609">
        <f t="shared" si="48"/>
        <v>0</v>
      </c>
      <c r="S746" s="610">
        <f t="shared" si="4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50"/>
        <v>0</v>
      </c>
      <c r="M747" s="610">
        <f t="shared" si="34"/>
        <v>0</v>
      </c>
      <c r="N747" s="611">
        <f>+IF(OR($Q747=Parametres!$G$2,$Q747=Parametres!$G$3),I747,C747)</f>
        <v>0</v>
      </c>
      <c r="O747" s="611">
        <f>+IF(OR($Q747=Parametres!$G$2,$Q747=Parametres!$G$3),J747,D747)</f>
        <v>0</v>
      </c>
      <c r="P747" s="611">
        <f>+IF(OR($Q747=Parametres!$G$2,$Q747=Parametres!$G$3),K747,E747)</f>
        <v>0</v>
      </c>
      <c r="Q747" s="610">
        <f t="shared" si="47"/>
        <v>0</v>
      </c>
      <c r="R747" s="609">
        <f t="shared" si="48"/>
        <v>0</v>
      </c>
      <c r="S747" s="610">
        <f t="shared" si="49"/>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50"/>
        <v>0</v>
      </c>
      <c r="M748" s="610">
        <f t="shared" si="34"/>
        <v>0</v>
      </c>
      <c r="N748" s="611">
        <f>+IF(OR($Q748=Parametres!$G$2,$Q748=Parametres!$G$3),I748,C748)</f>
        <v>0</v>
      </c>
      <c r="O748" s="611">
        <f>+IF(OR($Q748=Parametres!$G$2,$Q748=Parametres!$G$3),J748,D748)</f>
        <v>0</v>
      </c>
      <c r="P748" s="611">
        <f>+IF(OR($Q748=Parametres!$G$2,$Q748=Parametres!$G$3),K748,E748)</f>
        <v>0</v>
      </c>
      <c r="Q748" s="610">
        <f t="shared" si="47"/>
        <v>0</v>
      </c>
      <c r="R748" s="609">
        <f t="shared" si="48"/>
        <v>0</v>
      </c>
      <c r="S748" s="610">
        <f t="shared" si="49"/>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50"/>
        <v>0</v>
      </c>
      <c r="M749" s="610">
        <f t="shared" si="34"/>
        <v>0</v>
      </c>
      <c r="N749" s="611">
        <f>+IF(OR($Q749=Parametres!$G$2,$Q749=Parametres!$G$3),I749,C749)</f>
        <v>0</v>
      </c>
      <c r="O749" s="611">
        <f>+IF(OR($Q749=Parametres!$G$2,$Q749=Parametres!$G$3),J749,D749)</f>
        <v>0</v>
      </c>
      <c r="P749" s="611">
        <f>+IF(OR($Q749=Parametres!$G$2,$Q749=Parametres!$G$3),K749,E749)</f>
        <v>0</v>
      </c>
      <c r="Q749" s="610">
        <f t="shared" si="47"/>
        <v>0</v>
      </c>
      <c r="R749" s="609">
        <f t="shared" si="48"/>
        <v>0</v>
      </c>
      <c r="S749" s="610">
        <f t="shared" si="49"/>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50"/>
        <v>0</v>
      </c>
      <c r="M750" s="610">
        <f t="shared" si="34"/>
        <v>0</v>
      </c>
      <c r="N750" s="611">
        <f>+IF(OR($Q750=Parametres!$G$2,$Q750=Parametres!$G$3),I750,C750)</f>
        <v>0</v>
      </c>
      <c r="O750" s="611">
        <f>+IF(OR($Q750=Parametres!$G$2,$Q750=Parametres!$G$3),J750,D750)</f>
        <v>0</v>
      </c>
      <c r="P750" s="611">
        <f>+IF(OR($Q750=Parametres!$G$2,$Q750=Parametres!$G$3),K750,E750)</f>
        <v>0</v>
      </c>
      <c r="Q750" s="610">
        <f t="shared" si="47"/>
        <v>0</v>
      </c>
      <c r="R750" s="609">
        <f t="shared" si="48"/>
        <v>0</v>
      </c>
      <c r="S750" s="610">
        <f t="shared" si="49"/>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50"/>
        <v>0</v>
      </c>
      <c r="M751" s="610">
        <f t="shared" si="34"/>
        <v>0</v>
      </c>
      <c r="N751" s="611">
        <f>+IF(OR($Q751=Parametres!$G$2,$Q751=Parametres!$G$3),I751,C751)</f>
        <v>0</v>
      </c>
      <c r="O751" s="611">
        <f>+IF(OR($Q751=Parametres!$G$2,$Q751=Parametres!$G$3),J751,D751)</f>
        <v>0</v>
      </c>
      <c r="P751" s="611">
        <f>+IF(OR($Q751=Parametres!$G$2,$Q751=Parametres!$G$3),K751,E751)</f>
        <v>0</v>
      </c>
      <c r="Q751" s="610">
        <f t="shared" si="47"/>
        <v>0</v>
      </c>
      <c r="R751" s="609">
        <f t="shared" si="48"/>
        <v>0</v>
      </c>
      <c r="S751" s="610">
        <f t="shared" si="49"/>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50"/>
        <v>0</v>
      </c>
      <c r="M752" s="610">
        <f t="shared" si="34"/>
        <v>0</v>
      </c>
      <c r="N752" s="611">
        <f>+IF(OR($Q752=Parametres!$G$2,$Q752=Parametres!$G$3),I752,C752)</f>
        <v>0</v>
      </c>
      <c r="O752" s="611">
        <f>+IF(OR($Q752=Parametres!$G$2,$Q752=Parametres!$G$3),J752,D752)</f>
        <v>0</v>
      </c>
      <c r="P752" s="611">
        <f>+IF(OR($Q752=Parametres!$G$2,$Q752=Parametres!$G$3),K752,E752)</f>
        <v>0</v>
      </c>
      <c r="Q752" s="610">
        <f t="shared" si="47"/>
        <v>0</v>
      </c>
      <c r="R752" s="609">
        <f t="shared" si="48"/>
        <v>0</v>
      </c>
      <c r="S752" s="610">
        <f t="shared" si="49"/>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50"/>
        <v>0</v>
      </c>
      <c r="M753" s="610">
        <f t="shared" si="34"/>
        <v>0</v>
      </c>
      <c r="N753" s="611">
        <f>+IF(OR($Q753=Parametres!$G$2,$Q753=Parametres!$G$3),I753,C753)</f>
        <v>0</v>
      </c>
      <c r="O753" s="611">
        <f>+IF(OR($Q753=Parametres!$G$2,$Q753=Parametres!$G$3),J753,D753)</f>
        <v>0</v>
      </c>
      <c r="P753" s="611">
        <f>+IF(OR($Q753=Parametres!$G$2,$Q753=Parametres!$G$3),K753,E753)</f>
        <v>0</v>
      </c>
      <c r="Q753" s="610">
        <f t="shared" si="47"/>
        <v>0</v>
      </c>
      <c r="R753" s="609">
        <f t="shared" si="48"/>
        <v>0</v>
      </c>
      <c r="S753" s="610">
        <f t="shared" si="49"/>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50"/>
        <v>0</v>
      </c>
      <c r="M754" s="610">
        <f t="shared" si="34"/>
        <v>0</v>
      </c>
      <c r="N754" s="611">
        <f>+IF(OR($Q754=Parametres!$G$2,$Q754=Parametres!$G$3),I754,C754)</f>
        <v>0</v>
      </c>
      <c r="O754" s="611">
        <f>+IF(OR($Q754=Parametres!$G$2,$Q754=Parametres!$G$3),J754,D754)</f>
        <v>0</v>
      </c>
      <c r="P754" s="611">
        <f>+IF(OR($Q754=Parametres!$G$2,$Q754=Parametres!$G$3),K754,E754)</f>
        <v>0</v>
      </c>
      <c r="Q754" s="610">
        <f t="shared" si="47"/>
        <v>0</v>
      </c>
      <c r="R754" s="609">
        <f t="shared" si="48"/>
        <v>0</v>
      </c>
      <c r="S754" s="610">
        <f t="shared" si="49"/>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50"/>
        <v>0</v>
      </c>
      <c r="M755" s="610">
        <f t="shared" si="34"/>
        <v>0</v>
      </c>
      <c r="N755" s="611">
        <f>+IF(OR($Q755=Parametres!$G$2,$Q755=Parametres!$G$3),I755,C755)</f>
        <v>0</v>
      </c>
      <c r="O755" s="611">
        <f>+IF(OR($Q755=Parametres!$G$2,$Q755=Parametres!$G$3),J755,D755)</f>
        <v>0</v>
      </c>
      <c r="P755" s="611">
        <f>+IF(OR($Q755=Parametres!$G$2,$Q755=Parametres!$G$3),K755,E755)</f>
        <v>0</v>
      </c>
      <c r="Q755" s="610">
        <f t="shared" si="47"/>
        <v>0</v>
      </c>
      <c r="R755" s="609">
        <f t="shared" si="48"/>
        <v>0</v>
      </c>
      <c r="S755" s="610">
        <f t="shared" si="49"/>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50"/>
        <v>0</v>
      </c>
      <c r="M756" s="610">
        <f t="shared" si="34"/>
        <v>0</v>
      </c>
      <c r="N756" s="611">
        <f>+IF(OR($Q756=Parametres!$G$2,$Q756=Parametres!$G$3),I756,C756)</f>
        <v>0</v>
      </c>
      <c r="O756" s="611">
        <f>+IF(OR($Q756=Parametres!$G$2,$Q756=Parametres!$G$3),J756,D756)</f>
        <v>0</v>
      </c>
      <c r="P756" s="611">
        <f>+IF(OR($Q756=Parametres!$G$2,$Q756=Parametres!$G$3),K756,E756)</f>
        <v>0</v>
      </c>
      <c r="Q756" s="610">
        <f t="shared" si="47"/>
        <v>0</v>
      </c>
      <c r="R756" s="609">
        <f t="shared" si="48"/>
        <v>0</v>
      </c>
      <c r="S756" s="610">
        <f t="shared" si="4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50"/>
        <v>0</v>
      </c>
      <c r="M757" s="610">
        <f t="shared" si="34"/>
        <v>0</v>
      </c>
      <c r="N757" s="611">
        <f>+IF(OR($Q757=Parametres!$G$2,$Q757=Parametres!$G$3),I757,C757)</f>
        <v>0</v>
      </c>
      <c r="O757" s="611">
        <f>+IF(OR($Q757=Parametres!$G$2,$Q757=Parametres!$G$3),J757,D757)</f>
        <v>0</v>
      </c>
      <c r="P757" s="611">
        <f>+IF(OR($Q757=Parametres!$G$2,$Q757=Parametres!$G$3),K757,E757)</f>
        <v>0</v>
      </c>
      <c r="Q757" s="610">
        <f t="shared" si="47"/>
        <v>0</v>
      </c>
      <c r="R757" s="609">
        <f t="shared" si="48"/>
        <v>0</v>
      </c>
      <c r="S757" s="610">
        <f t="shared" si="49"/>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50"/>
        <v>0</v>
      </c>
      <c r="M758" s="610">
        <f t="shared" si="34"/>
        <v>0</v>
      </c>
      <c r="N758" s="611">
        <f>+IF(OR($Q758=Parametres!$G$2,$Q758=Parametres!$G$3),I758,C758)</f>
        <v>0</v>
      </c>
      <c r="O758" s="611">
        <f>+IF(OR($Q758=Parametres!$G$2,$Q758=Parametres!$G$3),J758,D758)</f>
        <v>0</v>
      </c>
      <c r="P758" s="611">
        <f>+IF(OR($Q758=Parametres!$G$2,$Q758=Parametres!$G$3),K758,E758)</f>
        <v>0</v>
      </c>
      <c r="Q758" s="610">
        <f t="shared" si="47"/>
        <v>0</v>
      </c>
      <c r="R758" s="609">
        <f t="shared" si="48"/>
        <v>0</v>
      </c>
      <c r="S758" s="610">
        <f t="shared" si="49"/>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50"/>
        <v>0</v>
      </c>
      <c r="M759" s="610">
        <f t="shared" si="34"/>
        <v>0</v>
      </c>
      <c r="N759" s="611">
        <f>+IF(OR($Q759=Parametres!$G$2,$Q759=Parametres!$G$3),I759,C759)</f>
        <v>0</v>
      </c>
      <c r="O759" s="611">
        <f>+IF(OR($Q759=Parametres!$G$2,$Q759=Parametres!$G$3),J759,D759)</f>
        <v>0</v>
      </c>
      <c r="P759" s="611">
        <f>+IF(OR($Q759=Parametres!$G$2,$Q759=Parametres!$G$3),K759,E759)</f>
        <v>0</v>
      </c>
      <c r="Q759" s="610">
        <f t="shared" si="47"/>
        <v>0</v>
      </c>
      <c r="R759" s="609">
        <f t="shared" si="48"/>
        <v>0</v>
      </c>
      <c r="S759" s="610">
        <f t="shared" si="49"/>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50"/>
        <v>0</v>
      </c>
      <c r="M760" s="610">
        <f t="shared" si="34"/>
        <v>0</v>
      </c>
      <c r="N760" s="611">
        <f>+IF(OR($Q760=Parametres!$G$2,$Q760=Parametres!$G$3),I760,C760)</f>
        <v>0</v>
      </c>
      <c r="O760" s="611">
        <f>+IF(OR($Q760=Parametres!$G$2,$Q760=Parametres!$G$3),J760,D760)</f>
        <v>0</v>
      </c>
      <c r="P760" s="611">
        <f>+IF(OR($Q760=Parametres!$G$2,$Q760=Parametres!$G$3),K760,E760)</f>
        <v>0</v>
      </c>
      <c r="Q760" s="610">
        <f t="shared" si="47"/>
        <v>0</v>
      </c>
      <c r="R760" s="609">
        <f t="shared" si="48"/>
        <v>0</v>
      </c>
      <c r="S760" s="610">
        <f t="shared" si="49"/>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50"/>
        <v>0</v>
      </c>
      <c r="M761" s="610">
        <f t="shared" si="34"/>
        <v>0</v>
      </c>
      <c r="N761" s="611">
        <f>+IF(OR($Q761=Parametres!$G$2,$Q761=Parametres!$G$3),I761,C761)</f>
        <v>0</v>
      </c>
      <c r="O761" s="611">
        <f>+IF(OR($Q761=Parametres!$G$2,$Q761=Parametres!$G$3),J761,D761)</f>
        <v>0</v>
      </c>
      <c r="P761" s="611">
        <f>+IF(OR($Q761=Parametres!$G$2,$Q761=Parametres!$G$3),K761,E761)</f>
        <v>0</v>
      </c>
      <c r="Q761" s="610">
        <f t="shared" si="47"/>
        <v>0</v>
      </c>
      <c r="R761" s="609">
        <f t="shared" si="48"/>
        <v>0</v>
      </c>
      <c r="S761" s="610">
        <f t="shared" si="49"/>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50"/>
        <v>0</v>
      </c>
      <c r="M762" s="610">
        <f t="shared" si="34"/>
        <v>0</v>
      </c>
      <c r="N762" s="611">
        <f>+IF(OR($Q762=Parametres!$G$2,$Q762=Parametres!$G$3),I762,C762)</f>
        <v>0</v>
      </c>
      <c r="O762" s="611">
        <f>+IF(OR($Q762=Parametres!$G$2,$Q762=Parametres!$G$3),J762,D762)</f>
        <v>0</v>
      </c>
      <c r="P762" s="611">
        <f>+IF(OR($Q762=Parametres!$G$2,$Q762=Parametres!$G$3),K762,E762)</f>
        <v>0</v>
      </c>
      <c r="Q762" s="610">
        <f t="shared" si="47"/>
        <v>0</v>
      </c>
      <c r="R762" s="609">
        <f t="shared" si="48"/>
        <v>0</v>
      </c>
      <c r="S762" s="610">
        <f t="shared" si="49"/>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50"/>
        <v>0</v>
      </c>
      <c r="M763" s="610">
        <f t="shared" si="34"/>
        <v>0</v>
      </c>
      <c r="N763" s="611">
        <f>+IF(OR($Q763=Parametres!$G$2,$Q763=Parametres!$G$3),I763,C763)</f>
        <v>0</v>
      </c>
      <c r="O763" s="611">
        <f>+IF(OR($Q763=Parametres!$G$2,$Q763=Parametres!$G$3),J763,D763)</f>
        <v>0</v>
      </c>
      <c r="P763" s="611">
        <f>+IF(OR($Q763=Parametres!$G$2,$Q763=Parametres!$G$3),K763,E763)</f>
        <v>0</v>
      </c>
      <c r="Q763" s="610">
        <f t="shared" si="47"/>
        <v>0</v>
      </c>
      <c r="R763" s="609">
        <f t="shared" si="48"/>
        <v>0</v>
      </c>
      <c r="S763" s="610">
        <f t="shared" si="49"/>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50"/>
        <v>0</v>
      </c>
      <c r="M764" s="610">
        <f t="shared" si="34"/>
        <v>0</v>
      </c>
      <c r="N764" s="611">
        <f>+IF(OR($Q764=Parametres!$G$2,$Q764=Parametres!$G$3),I764,C764)</f>
        <v>0</v>
      </c>
      <c r="O764" s="611">
        <f>+IF(OR($Q764=Parametres!$G$2,$Q764=Parametres!$G$3),J764,D764)</f>
        <v>0</v>
      </c>
      <c r="P764" s="611">
        <f>+IF(OR($Q764=Parametres!$G$2,$Q764=Parametres!$G$3),K764,E764)</f>
        <v>0</v>
      </c>
      <c r="Q764" s="610">
        <f t="shared" si="47"/>
        <v>0</v>
      </c>
      <c r="R764" s="609">
        <f t="shared" si="48"/>
        <v>0</v>
      </c>
      <c r="S764" s="610">
        <f t="shared" si="49"/>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50"/>
        <v>0</v>
      </c>
      <c r="M765" s="610">
        <f t="shared" si="34"/>
        <v>0</v>
      </c>
      <c r="N765" s="611">
        <f>+IF(OR($Q765=Parametres!$G$2,$Q765=Parametres!$G$3),I765,C765)</f>
        <v>0</v>
      </c>
      <c r="O765" s="611">
        <f>+IF(OR($Q765=Parametres!$G$2,$Q765=Parametres!$G$3),J765,D765)</f>
        <v>0</v>
      </c>
      <c r="P765" s="611">
        <f>+IF(OR($Q765=Parametres!$G$2,$Q765=Parametres!$G$3),K765,E765)</f>
        <v>0</v>
      </c>
      <c r="Q765" s="610">
        <f t="shared" si="47"/>
        <v>0</v>
      </c>
      <c r="R765" s="609">
        <f t="shared" si="48"/>
        <v>0</v>
      </c>
      <c r="S765" s="610">
        <f t="shared" si="49"/>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50"/>
        <v>0</v>
      </c>
      <c r="M766" s="610">
        <f t="shared" si="34"/>
        <v>0</v>
      </c>
      <c r="N766" s="611">
        <f>+IF(OR($Q766=Parametres!$G$2,$Q766=Parametres!$G$3),I766,C766)</f>
        <v>0</v>
      </c>
      <c r="O766" s="611">
        <f>+IF(OR($Q766=Parametres!$G$2,$Q766=Parametres!$G$3),J766,D766)</f>
        <v>0</v>
      </c>
      <c r="P766" s="611">
        <f>+IF(OR($Q766=Parametres!$G$2,$Q766=Parametres!$G$3),K766,E766)</f>
        <v>0</v>
      </c>
      <c r="Q766" s="610">
        <f t="shared" si="47"/>
        <v>0</v>
      </c>
      <c r="R766" s="609">
        <f t="shared" si="48"/>
        <v>0</v>
      </c>
      <c r="S766" s="610">
        <f t="shared" si="4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50"/>
        <v>0</v>
      </c>
      <c r="M767" s="610">
        <f t="shared" ref="M767:M1021" si="51">+A767</f>
        <v>0</v>
      </c>
      <c r="N767" s="611">
        <f>+IF(OR($Q767=Parametres!$G$2,$Q767=Parametres!$G$3),I767,C767)</f>
        <v>0</v>
      </c>
      <c r="O767" s="611">
        <f>+IF(OR($Q767=Parametres!$G$2,$Q767=Parametres!$G$3),J767,D767)</f>
        <v>0</v>
      </c>
      <c r="P767" s="611">
        <f>+IF(OR($Q767=Parametres!$G$2,$Q767=Parametres!$G$3),K767,E767)</f>
        <v>0</v>
      </c>
      <c r="Q767" s="610">
        <f t="shared" si="47"/>
        <v>0</v>
      </c>
      <c r="R767" s="609">
        <f t="shared" si="48"/>
        <v>0</v>
      </c>
      <c r="S767" s="610">
        <f t="shared" si="49"/>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50"/>
        <v>0</v>
      </c>
      <c r="M768" s="610">
        <f t="shared" si="51"/>
        <v>0</v>
      </c>
      <c r="N768" s="611">
        <f>+IF(OR($Q768=Parametres!$G$2,$Q768=Parametres!$G$3),I768,C768)</f>
        <v>0</v>
      </c>
      <c r="O768" s="611">
        <f>+IF(OR($Q768=Parametres!$G$2,$Q768=Parametres!$G$3),J768,D768)</f>
        <v>0</v>
      </c>
      <c r="P768" s="611">
        <f>+IF(OR($Q768=Parametres!$G$2,$Q768=Parametres!$G$3),K768,E768)</f>
        <v>0</v>
      </c>
      <c r="Q768" s="610">
        <f t="shared" si="47"/>
        <v>0</v>
      </c>
      <c r="R768" s="609">
        <f t="shared" si="48"/>
        <v>0</v>
      </c>
      <c r="S768" s="610">
        <f t="shared" si="49"/>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50"/>
        <v>0</v>
      </c>
      <c r="M769" s="610">
        <f t="shared" si="51"/>
        <v>0</v>
      </c>
      <c r="N769" s="611">
        <f>+IF(OR($Q769=Parametres!$G$2,$Q769=Parametres!$G$3),I769,C769)</f>
        <v>0</v>
      </c>
      <c r="O769" s="611">
        <f>+IF(OR($Q769=Parametres!$G$2,$Q769=Parametres!$G$3),J769,D769)</f>
        <v>0</v>
      </c>
      <c r="P769" s="611">
        <f>+IF(OR($Q769=Parametres!$G$2,$Q769=Parametres!$G$3),K769,E769)</f>
        <v>0</v>
      </c>
      <c r="Q769" s="610">
        <f t="shared" si="47"/>
        <v>0</v>
      </c>
      <c r="R769" s="609">
        <f t="shared" si="48"/>
        <v>0</v>
      </c>
      <c r="S769" s="610">
        <f t="shared" si="49"/>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50"/>
        <v>0</v>
      </c>
      <c r="M770" s="610">
        <f t="shared" si="51"/>
        <v>0</v>
      </c>
      <c r="N770" s="611">
        <f>+IF(OR($Q770=Parametres!$G$2,$Q770=Parametres!$G$3),I770,C770)</f>
        <v>0</v>
      </c>
      <c r="O770" s="611">
        <f>+IF(OR($Q770=Parametres!$G$2,$Q770=Parametres!$G$3),J770,D770)</f>
        <v>0</v>
      </c>
      <c r="P770" s="611">
        <f>+IF(OR($Q770=Parametres!$G$2,$Q770=Parametres!$G$3),K770,E770)</f>
        <v>0</v>
      </c>
      <c r="Q770" s="610">
        <f t="shared" ref="Q770:Q833" si="52">+F770</f>
        <v>0</v>
      </c>
      <c r="R770" s="609">
        <f t="shared" ref="R770:R833" si="53">+G770</f>
        <v>0</v>
      </c>
      <c r="S770" s="610">
        <f t="shared" ref="S770:S833" si="54">+H770</f>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55">TEXT(B771,0)</f>
        <v>0</v>
      </c>
      <c r="M771" s="610">
        <f t="shared" si="51"/>
        <v>0</v>
      </c>
      <c r="N771" s="611">
        <f>+IF(OR($Q771=Parametres!$G$2,$Q771=Parametres!$G$3),I771,C771)</f>
        <v>0</v>
      </c>
      <c r="O771" s="611">
        <f>+IF(OR($Q771=Parametres!$G$2,$Q771=Parametres!$G$3),J771,D771)</f>
        <v>0</v>
      </c>
      <c r="P771" s="611">
        <f>+IF(OR($Q771=Parametres!$G$2,$Q771=Parametres!$G$3),K771,E771)</f>
        <v>0</v>
      </c>
      <c r="Q771" s="610">
        <f t="shared" si="52"/>
        <v>0</v>
      </c>
      <c r="R771" s="609">
        <f t="shared" si="53"/>
        <v>0</v>
      </c>
      <c r="S771" s="610">
        <f t="shared" si="54"/>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55"/>
        <v>0</v>
      </c>
      <c r="M772" s="610">
        <f t="shared" si="51"/>
        <v>0</v>
      </c>
      <c r="N772" s="611">
        <f>+IF(OR($Q772=Parametres!$G$2,$Q772=Parametres!$G$3),I772,C772)</f>
        <v>0</v>
      </c>
      <c r="O772" s="611">
        <f>+IF(OR($Q772=Parametres!$G$2,$Q772=Parametres!$G$3),J772,D772)</f>
        <v>0</v>
      </c>
      <c r="P772" s="611">
        <f>+IF(OR($Q772=Parametres!$G$2,$Q772=Parametres!$G$3),K772,E772)</f>
        <v>0</v>
      </c>
      <c r="Q772" s="610">
        <f t="shared" si="52"/>
        <v>0</v>
      </c>
      <c r="R772" s="609">
        <f t="shared" si="53"/>
        <v>0</v>
      </c>
      <c r="S772" s="610">
        <f t="shared" si="54"/>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55"/>
        <v>0</v>
      </c>
      <c r="M773" s="610">
        <f t="shared" si="51"/>
        <v>0</v>
      </c>
      <c r="N773" s="611">
        <f>+IF(OR($Q773=Parametres!$G$2,$Q773=Parametres!$G$3),I773,C773)</f>
        <v>0</v>
      </c>
      <c r="O773" s="611">
        <f>+IF(OR($Q773=Parametres!$G$2,$Q773=Parametres!$G$3),J773,D773)</f>
        <v>0</v>
      </c>
      <c r="P773" s="611">
        <f>+IF(OR($Q773=Parametres!$G$2,$Q773=Parametres!$G$3),K773,E773)</f>
        <v>0</v>
      </c>
      <c r="Q773" s="610">
        <f t="shared" si="52"/>
        <v>0</v>
      </c>
      <c r="R773" s="609">
        <f t="shared" si="53"/>
        <v>0</v>
      </c>
      <c r="S773" s="610">
        <f t="shared" si="54"/>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55"/>
        <v>0</v>
      </c>
      <c r="M774" s="610">
        <f t="shared" si="51"/>
        <v>0</v>
      </c>
      <c r="N774" s="611">
        <f>+IF(OR($Q774=Parametres!$G$2,$Q774=Parametres!$G$3),I774,C774)</f>
        <v>0</v>
      </c>
      <c r="O774" s="611">
        <f>+IF(OR($Q774=Parametres!$G$2,$Q774=Parametres!$G$3),J774,D774)</f>
        <v>0</v>
      </c>
      <c r="P774" s="611">
        <f>+IF(OR($Q774=Parametres!$G$2,$Q774=Parametres!$G$3),K774,E774)</f>
        <v>0</v>
      </c>
      <c r="Q774" s="610">
        <f t="shared" si="52"/>
        <v>0</v>
      </c>
      <c r="R774" s="609">
        <f t="shared" si="53"/>
        <v>0</v>
      </c>
      <c r="S774" s="610">
        <f t="shared" si="54"/>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55"/>
        <v>0</v>
      </c>
      <c r="M775" s="610">
        <f t="shared" si="51"/>
        <v>0</v>
      </c>
      <c r="N775" s="611">
        <f>+IF(OR($Q775=Parametres!$G$2,$Q775=Parametres!$G$3),I775,C775)</f>
        <v>0</v>
      </c>
      <c r="O775" s="611">
        <f>+IF(OR($Q775=Parametres!$G$2,$Q775=Parametres!$G$3),J775,D775)</f>
        <v>0</v>
      </c>
      <c r="P775" s="611">
        <f>+IF(OR($Q775=Parametres!$G$2,$Q775=Parametres!$G$3),K775,E775)</f>
        <v>0</v>
      </c>
      <c r="Q775" s="610">
        <f t="shared" si="52"/>
        <v>0</v>
      </c>
      <c r="R775" s="609">
        <f t="shared" si="53"/>
        <v>0</v>
      </c>
      <c r="S775" s="610">
        <f t="shared" si="54"/>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55"/>
        <v>0</v>
      </c>
      <c r="M776" s="610">
        <f t="shared" si="51"/>
        <v>0</v>
      </c>
      <c r="N776" s="611">
        <f>+IF(OR($Q776=Parametres!$G$2,$Q776=Parametres!$G$3),I776,C776)</f>
        <v>0</v>
      </c>
      <c r="O776" s="611">
        <f>+IF(OR($Q776=Parametres!$G$2,$Q776=Parametres!$G$3),J776,D776)</f>
        <v>0</v>
      </c>
      <c r="P776" s="611">
        <f>+IF(OR($Q776=Parametres!$G$2,$Q776=Parametres!$G$3),K776,E776)</f>
        <v>0</v>
      </c>
      <c r="Q776" s="610">
        <f t="shared" si="52"/>
        <v>0</v>
      </c>
      <c r="R776" s="609">
        <f t="shared" si="53"/>
        <v>0</v>
      </c>
      <c r="S776" s="610">
        <f t="shared" si="54"/>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55"/>
        <v>0</v>
      </c>
      <c r="M777" s="610">
        <f t="shared" si="51"/>
        <v>0</v>
      </c>
      <c r="N777" s="611">
        <f>+IF(OR($Q777=Parametres!$G$2,$Q777=Parametres!$G$3),I777,C777)</f>
        <v>0</v>
      </c>
      <c r="O777" s="611">
        <f>+IF(OR($Q777=Parametres!$G$2,$Q777=Parametres!$G$3),J777,D777)</f>
        <v>0</v>
      </c>
      <c r="P777" s="611">
        <f>+IF(OR($Q777=Parametres!$G$2,$Q777=Parametres!$G$3),K777,E777)</f>
        <v>0</v>
      </c>
      <c r="Q777" s="610">
        <f t="shared" si="52"/>
        <v>0</v>
      </c>
      <c r="R777" s="609">
        <f t="shared" si="53"/>
        <v>0</v>
      </c>
      <c r="S777" s="610">
        <f t="shared" si="54"/>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55"/>
        <v>0</v>
      </c>
      <c r="M778" s="610">
        <f t="shared" si="51"/>
        <v>0</v>
      </c>
      <c r="N778" s="611">
        <f>+IF(OR($Q778=Parametres!$G$2,$Q778=Parametres!$G$3),I778,C778)</f>
        <v>0</v>
      </c>
      <c r="O778" s="611">
        <f>+IF(OR($Q778=Parametres!$G$2,$Q778=Parametres!$G$3),J778,D778)</f>
        <v>0</v>
      </c>
      <c r="P778" s="611">
        <f>+IF(OR($Q778=Parametres!$G$2,$Q778=Parametres!$G$3),K778,E778)</f>
        <v>0</v>
      </c>
      <c r="Q778" s="610">
        <f t="shared" si="52"/>
        <v>0</v>
      </c>
      <c r="R778" s="609">
        <f t="shared" si="53"/>
        <v>0</v>
      </c>
      <c r="S778" s="610">
        <f t="shared" si="54"/>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55"/>
        <v>0</v>
      </c>
      <c r="M779" s="610">
        <f t="shared" si="51"/>
        <v>0</v>
      </c>
      <c r="N779" s="611">
        <f>+IF(OR($Q779=Parametres!$G$2,$Q779=Parametres!$G$3),I779,C779)</f>
        <v>0</v>
      </c>
      <c r="O779" s="611">
        <f>+IF(OR($Q779=Parametres!$G$2,$Q779=Parametres!$G$3),J779,D779)</f>
        <v>0</v>
      </c>
      <c r="P779" s="611">
        <f>+IF(OR($Q779=Parametres!$G$2,$Q779=Parametres!$G$3),K779,E779)</f>
        <v>0</v>
      </c>
      <c r="Q779" s="610">
        <f t="shared" si="52"/>
        <v>0</v>
      </c>
      <c r="R779" s="609">
        <f t="shared" si="53"/>
        <v>0</v>
      </c>
      <c r="S779" s="610">
        <f t="shared" si="5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55"/>
        <v>0</v>
      </c>
      <c r="M780" s="610">
        <f t="shared" si="51"/>
        <v>0</v>
      </c>
      <c r="N780" s="611">
        <f>+IF(OR($Q780=Parametres!$G$2,$Q780=Parametres!$G$3),I780,C780)</f>
        <v>0</v>
      </c>
      <c r="O780" s="611">
        <f>+IF(OR($Q780=Parametres!$G$2,$Q780=Parametres!$G$3),J780,D780)</f>
        <v>0</v>
      </c>
      <c r="P780" s="611">
        <f>+IF(OR($Q780=Parametres!$G$2,$Q780=Parametres!$G$3),K780,E780)</f>
        <v>0</v>
      </c>
      <c r="Q780" s="610">
        <f t="shared" si="52"/>
        <v>0</v>
      </c>
      <c r="R780" s="609">
        <f t="shared" si="53"/>
        <v>0</v>
      </c>
      <c r="S780" s="610">
        <f t="shared" si="54"/>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55"/>
        <v>0</v>
      </c>
      <c r="M781" s="610">
        <f t="shared" si="51"/>
        <v>0</v>
      </c>
      <c r="N781" s="611">
        <f>+IF(OR($Q781=Parametres!$G$2,$Q781=Parametres!$G$3),I781,C781)</f>
        <v>0</v>
      </c>
      <c r="O781" s="611">
        <f>+IF(OR($Q781=Parametres!$G$2,$Q781=Parametres!$G$3),J781,D781)</f>
        <v>0</v>
      </c>
      <c r="P781" s="611">
        <f>+IF(OR($Q781=Parametres!$G$2,$Q781=Parametres!$G$3),K781,E781)</f>
        <v>0</v>
      </c>
      <c r="Q781" s="610">
        <f t="shared" si="52"/>
        <v>0</v>
      </c>
      <c r="R781" s="609">
        <f t="shared" si="53"/>
        <v>0</v>
      </c>
      <c r="S781" s="610">
        <f t="shared" si="54"/>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55"/>
        <v>0</v>
      </c>
      <c r="M782" s="610">
        <f t="shared" si="51"/>
        <v>0</v>
      </c>
      <c r="N782" s="611">
        <f>+IF(OR($Q782=Parametres!$G$2,$Q782=Parametres!$G$3),I782,C782)</f>
        <v>0</v>
      </c>
      <c r="O782" s="611">
        <f>+IF(OR($Q782=Parametres!$G$2,$Q782=Parametres!$G$3),J782,D782)</f>
        <v>0</v>
      </c>
      <c r="P782" s="611">
        <f>+IF(OR($Q782=Parametres!$G$2,$Q782=Parametres!$G$3),K782,E782)</f>
        <v>0</v>
      </c>
      <c r="Q782" s="610">
        <f t="shared" si="52"/>
        <v>0</v>
      </c>
      <c r="R782" s="609">
        <f t="shared" si="53"/>
        <v>0</v>
      </c>
      <c r="S782" s="610">
        <f t="shared" si="54"/>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55"/>
        <v>0</v>
      </c>
      <c r="M783" s="610">
        <f t="shared" si="51"/>
        <v>0</v>
      </c>
      <c r="N783" s="611">
        <f>+IF(OR($Q783=Parametres!$G$2,$Q783=Parametres!$G$3),I783,C783)</f>
        <v>0</v>
      </c>
      <c r="O783" s="611">
        <f>+IF(OR($Q783=Parametres!$G$2,$Q783=Parametres!$G$3),J783,D783)</f>
        <v>0</v>
      </c>
      <c r="P783" s="611">
        <f>+IF(OR($Q783=Parametres!$G$2,$Q783=Parametres!$G$3),K783,E783)</f>
        <v>0</v>
      </c>
      <c r="Q783" s="610">
        <f t="shared" si="52"/>
        <v>0</v>
      </c>
      <c r="R783" s="609">
        <f t="shared" si="53"/>
        <v>0</v>
      </c>
      <c r="S783" s="610">
        <f t="shared" si="54"/>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55"/>
        <v>0</v>
      </c>
      <c r="M784" s="610">
        <f t="shared" si="51"/>
        <v>0</v>
      </c>
      <c r="N784" s="611">
        <f>+IF(OR($Q784=Parametres!$G$2,$Q784=Parametres!$G$3),I784,C784)</f>
        <v>0</v>
      </c>
      <c r="O784" s="611">
        <f>+IF(OR($Q784=Parametres!$G$2,$Q784=Parametres!$G$3),J784,D784)</f>
        <v>0</v>
      </c>
      <c r="P784" s="611">
        <f>+IF(OR($Q784=Parametres!$G$2,$Q784=Parametres!$G$3),K784,E784)</f>
        <v>0</v>
      </c>
      <c r="Q784" s="610">
        <f t="shared" si="52"/>
        <v>0</v>
      </c>
      <c r="R784" s="609">
        <f t="shared" si="53"/>
        <v>0</v>
      </c>
      <c r="S784" s="610">
        <f t="shared" si="54"/>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55"/>
        <v>0</v>
      </c>
      <c r="M785" s="610">
        <f t="shared" si="51"/>
        <v>0</v>
      </c>
      <c r="N785" s="611">
        <f>+IF(OR($Q785=Parametres!$G$2,$Q785=Parametres!$G$3),I785,C785)</f>
        <v>0</v>
      </c>
      <c r="O785" s="611">
        <f>+IF(OR($Q785=Parametres!$G$2,$Q785=Parametres!$G$3),J785,D785)</f>
        <v>0</v>
      </c>
      <c r="P785" s="611">
        <f>+IF(OR($Q785=Parametres!$G$2,$Q785=Parametres!$G$3),K785,E785)</f>
        <v>0</v>
      </c>
      <c r="Q785" s="610">
        <f t="shared" si="52"/>
        <v>0</v>
      </c>
      <c r="R785" s="609">
        <f t="shared" si="53"/>
        <v>0</v>
      </c>
      <c r="S785" s="610">
        <f t="shared" si="54"/>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55"/>
        <v>0</v>
      </c>
      <c r="M786" s="610">
        <f t="shared" si="51"/>
        <v>0</v>
      </c>
      <c r="N786" s="611">
        <f>+IF(OR($Q786=Parametres!$G$2,$Q786=Parametres!$G$3),I786,C786)</f>
        <v>0</v>
      </c>
      <c r="O786" s="611">
        <f>+IF(OR($Q786=Parametres!$G$2,$Q786=Parametres!$G$3),J786,D786)</f>
        <v>0</v>
      </c>
      <c r="P786" s="611">
        <f>+IF(OR($Q786=Parametres!$G$2,$Q786=Parametres!$G$3),K786,E786)</f>
        <v>0</v>
      </c>
      <c r="Q786" s="610">
        <f t="shared" si="52"/>
        <v>0</v>
      </c>
      <c r="R786" s="609">
        <f t="shared" si="53"/>
        <v>0</v>
      </c>
      <c r="S786" s="610">
        <f t="shared" si="54"/>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55"/>
        <v>0</v>
      </c>
      <c r="M787" s="610">
        <f t="shared" si="51"/>
        <v>0</v>
      </c>
      <c r="N787" s="611">
        <f>+IF(OR($Q787=Parametres!$G$2,$Q787=Parametres!$G$3),I787,C787)</f>
        <v>0</v>
      </c>
      <c r="O787" s="611">
        <f>+IF(OR($Q787=Parametres!$G$2,$Q787=Parametres!$G$3),J787,D787)</f>
        <v>0</v>
      </c>
      <c r="P787" s="611">
        <f>+IF(OR($Q787=Parametres!$G$2,$Q787=Parametres!$G$3),K787,E787)</f>
        <v>0</v>
      </c>
      <c r="Q787" s="610">
        <f t="shared" si="52"/>
        <v>0</v>
      </c>
      <c r="R787" s="609">
        <f t="shared" si="53"/>
        <v>0</v>
      </c>
      <c r="S787" s="610">
        <f t="shared" si="54"/>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55"/>
        <v>0</v>
      </c>
      <c r="M788" s="610">
        <f t="shared" si="51"/>
        <v>0</v>
      </c>
      <c r="N788" s="611">
        <f>+IF(OR($Q788=Parametres!$G$2,$Q788=Parametres!$G$3),I788,C788)</f>
        <v>0</v>
      </c>
      <c r="O788" s="611">
        <f>+IF(OR($Q788=Parametres!$G$2,$Q788=Parametres!$G$3),J788,D788)</f>
        <v>0</v>
      </c>
      <c r="P788" s="611">
        <f>+IF(OR($Q788=Parametres!$G$2,$Q788=Parametres!$G$3),K788,E788)</f>
        <v>0</v>
      </c>
      <c r="Q788" s="610">
        <f t="shared" si="52"/>
        <v>0</v>
      </c>
      <c r="R788" s="609">
        <f t="shared" si="53"/>
        <v>0</v>
      </c>
      <c r="S788" s="610">
        <f t="shared" si="54"/>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55"/>
        <v>0</v>
      </c>
      <c r="M789" s="610">
        <f t="shared" si="51"/>
        <v>0</v>
      </c>
      <c r="N789" s="611">
        <f>+IF(OR($Q789=Parametres!$G$2,$Q789=Parametres!$G$3),I789,C789)</f>
        <v>0</v>
      </c>
      <c r="O789" s="611">
        <f>+IF(OR($Q789=Parametres!$G$2,$Q789=Parametres!$G$3),J789,D789)</f>
        <v>0</v>
      </c>
      <c r="P789" s="611">
        <f>+IF(OR($Q789=Parametres!$G$2,$Q789=Parametres!$G$3),K789,E789)</f>
        <v>0</v>
      </c>
      <c r="Q789" s="610">
        <f t="shared" si="52"/>
        <v>0</v>
      </c>
      <c r="R789" s="609">
        <f t="shared" si="53"/>
        <v>0</v>
      </c>
      <c r="S789" s="610">
        <f t="shared" si="5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55"/>
        <v>0</v>
      </c>
      <c r="M790" s="610">
        <f t="shared" si="51"/>
        <v>0</v>
      </c>
      <c r="N790" s="611">
        <f>+IF(OR($Q790=Parametres!$G$2,$Q790=Parametres!$G$3),I790,C790)</f>
        <v>0</v>
      </c>
      <c r="O790" s="611">
        <f>+IF(OR($Q790=Parametres!$G$2,$Q790=Parametres!$G$3),J790,D790)</f>
        <v>0</v>
      </c>
      <c r="P790" s="611">
        <f>+IF(OR($Q790=Parametres!$G$2,$Q790=Parametres!$G$3),K790,E790)</f>
        <v>0</v>
      </c>
      <c r="Q790" s="610">
        <f t="shared" si="52"/>
        <v>0</v>
      </c>
      <c r="R790" s="609">
        <f t="shared" si="53"/>
        <v>0</v>
      </c>
      <c r="S790" s="610">
        <f t="shared" si="54"/>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55"/>
        <v>0</v>
      </c>
      <c r="M791" s="610">
        <f t="shared" si="51"/>
        <v>0</v>
      </c>
      <c r="N791" s="611">
        <f>+IF(OR($Q791=Parametres!$G$2,$Q791=Parametres!$G$3),I791,C791)</f>
        <v>0</v>
      </c>
      <c r="O791" s="611">
        <f>+IF(OR($Q791=Parametres!$G$2,$Q791=Parametres!$G$3),J791,D791)</f>
        <v>0</v>
      </c>
      <c r="P791" s="611">
        <f>+IF(OR($Q791=Parametres!$G$2,$Q791=Parametres!$G$3),K791,E791)</f>
        <v>0</v>
      </c>
      <c r="Q791" s="610">
        <f t="shared" si="52"/>
        <v>0</v>
      </c>
      <c r="R791" s="609">
        <f t="shared" si="53"/>
        <v>0</v>
      </c>
      <c r="S791" s="610">
        <f t="shared" si="54"/>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55"/>
        <v>0</v>
      </c>
      <c r="M792" s="610">
        <f t="shared" si="51"/>
        <v>0</v>
      </c>
      <c r="N792" s="611">
        <f>+IF(OR($Q792=Parametres!$G$2,$Q792=Parametres!$G$3),I792,C792)</f>
        <v>0</v>
      </c>
      <c r="O792" s="611">
        <f>+IF(OR($Q792=Parametres!$G$2,$Q792=Parametres!$G$3),J792,D792)</f>
        <v>0</v>
      </c>
      <c r="P792" s="611">
        <f>+IF(OR($Q792=Parametres!$G$2,$Q792=Parametres!$G$3),K792,E792)</f>
        <v>0</v>
      </c>
      <c r="Q792" s="610">
        <f t="shared" si="52"/>
        <v>0</v>
      </c>
      <c r="R792" s="609">
        <f t="shared" si="53"/>
        <v>0</v>
      </c>
      <c r="S792" s="610">
        <f t="shared" si="54"/>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55"/>
        <v>0</v>
      </c>
      <c r="M793" s="610">
        <f t="shared" si="51"/>
        <v>0</v>
      </c>
      <c r="N793" s="611">
        <f>+IF(OR($Q793=Parametres!$G$2,$Q793=Parametres!$G$3),I793,C793)</f>
        <v>0</v>
      </c>
      <c r="O793" s="611">
        <f>+IF(OR($Q793=Parametres!$G$2,$Q793=Parametres!$G$3),J793,D793)</f>
        <v>0</v>
      </c>
      <c r="P793" s="611">
        <f>+IF(OR($Q793=Parametres!$G$2,$Q793=Parametres!$G$3),K793,E793)</f>
        <v>0</v>
      </c>
      <c r="Q793" s="610">
        <f t="shared" si="52"/>
        <v>0</v>
      </c>
      <c r="R793" s="609">
        <f t="shared" si="53"/>
        <v>0</v>
      </c>
      <c r="S793" s="610">
        <f t="shared" si="54"/>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55"/>
        <v>0</v>
      </c>
      <c r="M794" s="610">
        <f t="shared" si="51"/>
        <v>0</v>
      </c>
      <c r="N794" s="611">
        <f>+IF(OR($Q794=Parametres!$G$2,$Q794=Parametres!$G$3),I794,C794)</f>
        <v>0</v>
      </c>
      <c r="O794" s="611">
        <f>+IF(OR($Q794=Parametres!$G$2,$Q794=Parametres!$G$3),J794,D794)</f>
        <v>0</v>
      </c>
      <c r="P794" s="611">
        <f>+IF(OR($Q794=Parametres!$G$2,$Q794=Parametres!$G$3),K794,E794)</f>
        <v>0</v>
      </c>
      <c r="Q794" s="610">
        <f t="shared" si="52"/>
        <v>0</v>
      </c>
      <c r="R794" s="609">
        <f t="shared" si="53"/>
        <v>0</v>
      </c>
      <c r="S794" s="610">
        <f t="shared" si="54"/>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55"/>
        <v>0</v>
      </c>
      <c r="M795" s="610">
        <f t="shared" si="51"/>
        <v>0</v>
      </c>
      <c r="N795" s="611">
        <f>+IF(OR($Q795=Parametres!$G$2,$Q795=Parametres!$G$3),I795,C795)</f>
        <v>0</v>
      </c>
      <c r="O795" s="611">
        <f>+IF(OR($Q795=Parametres!$G$2,$Q795=Parametres!$G$3),J795,D795)</f>
        <v>0</v>
      </c>
      <c r="P795" s="611">
        <f>+IF(OR($Q795=Parametres!$G$2,$Q795=Parametres!$G$3),K795,E795)</f>
        <v>0</v>
      </c>
      <c r="Q795" s="610">
        <f t="shared" si="52"/>
        <v>0</v>
      </c>
      <c r="R795" s="609">
        <f t="shared" si="53"/>
        <v>0</v>
      </c>
      <c r="S795" s="610">
        <f t="shared" si="54"/>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55"/>
        <v>0</v>
      </c>
      <c r="M796" s="610">
        <f t="shared" si="51"/>
        <v>0</v>
      </c>
      <c r="N796" s="611">
        <f>+IF(OR($Q796=Parametres!$G$2,$Q796=Parametres!$G$3),I796,C796)</f>
        <v>0</v>
      </c>
      <c r="O796" s="611">
        <f>+IF(OR($Q796=Parametres!$G$2,$Q796=Parametres!$G$3),J796,D796)</f>
        <v>0</v>
      </c>
      <c r="P796" s="611">
        <f>+IF(OR($Q796=Parametres!$G$2,$Q796=Parametres!$G$3),K796,E796)</f>
        <v>0</v>
      </c>
      <c r="Q796" s="610">
        <f t="shared" si="52"/>
        <v>0</v>
      </c>
      <c r="R796" s="609">
        <f t="shared" si="53"/>
        <v>0</v>
      </c>
      <c r="S796" s="610">
        <f t="shared" si="54"/>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55"/>
        <v>0</v>
      </c>
      <c r="M797" s="610">
        <f t="shared" si="51"/>
        <v>0</v>
      </c>
      <c r="N797" s="611">
        <f>+IF(OR($Q797=Parametres!$G$2,$Q797=Parametres!$G$3),I797,C797)</f>
        <v>0</v>
      </c>
      <c r="O797" s="611">
        <f>+IF(OR($Q797=Parametres!$G$2,$Q797=Parametres!$G$3),J797,D797)</f>
        <v>0</v>
      </c>
      <c r="P797" s="611">
        <f>+IF(OR($Q797=Parametres!$G$2,$Q797=Parametres!$G$3),K797,E797)</f>
        <v>0</v>
      </c>
      <c r="Q797" s="610">
        <f t="shared" si="52"/>
        <v>0</v>
      </c>
      <c r="R797" s="609">
        <f t="shared" si="53"/>
        <v>0</v>
      </c>
      <c r="S797" s="610">
        <f t="shared" si="54"/>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55"/>
        <v>0</v>
      </c>
      <c r="M798" s="610">
        <f t="shared" si="51"/>
        <v>0</v>
      </c>
      <c r="N798" s="611">
        <f>+IF(OR($Q798=Parametres!$G$2,$Q798=Parametres!$G$3),I798,C798)</f>
        <v>0</v>
      </c>
      <c r="O798" s="611">
        <f>+IF(OR($Q798=Parametres!$G$2,$Q798=Parametres!$G$3),J798,D798)</f>
        <v>0</v>
      </c>
      <c r="P798" s="611">
        <f>+IF(OR($Q798=Parametres!$G$2,$Q798=Parametres!$G$3),K798,E798)</f>
        <v>0</v>
      </c>
      <c r="Q798" s="610">
        <f t="shared" si="52"/>
        <v>0</v>
      </c>
      <c r="R798" s="609">
        <f t="shared" si="53"/>
        <v>0</v>
      </c>
      <c r="S798" s="610">
        <f t="shared" si="54"/>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55"/>
        <v>0</v>
      </c>
      <c r="M799" s="610">
        <f t="shared" si="51"/>
        <v>0</v>
      </c>
      <c r="N799" s="611">
        <f>+IF(OR($Q799=Parametres!$G$2,$Q799=Parametres!$G$3),I799,C799)</f>
        <v>0</v>
      </c>
      <c r="O799" s="611">
        <f>+IF(OR($Q799=Parametres!$G$2,$Q799=Parametres!$G$3),J799,D799)</f>
        <v>0</v>
      </c>
      <c r="P799" s="611">
        <f>+IF(OR($Q799=Parametres!$G$2,$Q799=Parametres!$G$3),K799,E799)</f>
        <v>0</v>
      </c>
      <c r="Q799" s="610">
        <f t="shared" si="52"/>
        <v>0</v>
      </c>
      <c r="R799" s="609">
        <f t="shared" si="53"/>
        <v>0</v>
      </c>
      <c r="S799" s="610">
        <f t="shared" si="5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55"/>
        <v>0</v>
      </c>
      <c r="M800" s="610">
        <f t="shared" si="51"/>
        <v>0</v>
      </c>
      <c r="N800" s="611">
        <f>+IF(OR($Q800=Parametres!$G$2,$Q800=Parametres!$G$3),I800,C800)</f>
        <v>0</v>
      </c>
      <c r="O800" s="611">
        <f>+IF(OR($Q800=Parametres!$G$2,$Q800=Parametres!$G$3),J800,D800)</f>
        <v>0</v>
      </c>
      <c r="P800" s="611">
        <f>+IF(OR($Q800=Parametres!$G$2,$Q800=Parametres!$G$3),K800,E800)</f>
        <v>0</v>
      </c>
      <c r="Q800" s="610">
        <f t="shared" si="52"/>
        <v>0</v>
      </c>
      <c r="R800" s="609">
        <f t="shared" si="53"/>
        <v>0</v>
      </c>
      <c r="S800" s="610">
        <f t="shared" si="54"/>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55"/>
        <v>0</v>
      </c>
      <c r="M801" s="610">
        <f t="shared" si="51"/>
        <v>0</v>
      </c>
      <c r="N801" s="611">
        <f>+IF(OR($Q801=Parametres!$G$2,$Q801=Parametres!$G$3),I801,C801)</f>
        <v>0</v>
      </c>
      <c r="O801" s="611">
        <f>+IF(OR($Q801=Parametres!$G$2,$Q801=Parametres!$G$3),J801,D801)</f>
        <v>0</v>
      </c>
      <c r="P801" s="611">
        <f>+IF(OR($Q801=Parametres!$G$2,$Q801=Parametres!$G$3),K801,E801)</f>
        <v>0</v>
      </c>
      <c r="Q801" s="610">
        <f t="shared" si="52"/>
        <v>0</v>
      </c>
      <c r="R801" s="609">
        <f t="shared" si="53"/>
        <v>0</v>
      </c>
      <c r="S801" s="610">
        <f t="shared" si="54"/>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55"/>
        <v>0</v>
      </c>
      <c r="M802" s="610">
        <f t="shared" si="51"/>
        <v>0</v>
      </c>
      <c r="N802" s="611">
        <f>+IF(OR($Q802=Parametres!$G$2,$Q802=Parametres!$G$3),I802,C802)</f>
        <v>0</v>
      </c>
      <c r="O802" s="611">
        <f>+IF(OR($Q802=Parametres!$G$2,$Q802=Parametres!$G$3),J802,D802)</f>
        <v>0</v>
      </c>
      <c r="P802" s="611">
        <f>+IF(OR($Q802=Parametres!$G$2,$Q802=Parametres!$G$3),K802,E802)</f>
        <v>0</v>
      </c>
      <c r="Q802" s="610">
        <f t="shared" si="52"/>
        <v>0</v>
      </c>
      <c r="R802" s="609">
        <f t="shared" si="53"/>
        <v>0</v>
      </c>
      <c r="S802" s="610">
        <f t="shared" si="54"/>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55"/>
        <v>0</v>
      </c>
      <c r="M803" s="610">
        <f t="shared" si="51"/>
        <v>0</v>
      </c>
      <c r="N803" s="611">
        <f>+IF(OR($Q803=Parametres!$G$2,$Q803=Parametres!$G$3),I803,C803)</f>
        <v>0</v>
      </c>
      <c r="O803" s="611">
        <f>+IF(OR($Q803=Parametres!$G$2,$Q803=Parametres!$G$3),J803,D803)</f>
        <v>0</v>
      </c>
      <c r="P803" s="611">
        <f>+IF(OR($Q803=Parametres!$G$2,$Q803=Parametres!$G$3),K803,E803)</f>
        <v>0</v>
      </c>
      <c r="Q803" s="610">
        <f t="shared" si="52"/>
        <v>0</v>
      </c>
      <c r="R803" s="609">
        <f t="shared" si="53"/>
        <v>0</v>
      </c>
      <c r="S803" s="610">
        <f t="shared" si="54"/>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55"/>
        <v>0</v>
      </c>
      <c r="M804" s="610">
        <f t="shared" si="51"/>
        <v>0</v>
      </c>
      <c r="N804" s="611">
        <f>+IF(OR($Q804=Parametres!$G$2,$Q804=Parametres!$G$3),I804,C804)</f>
        <v>0</v>
      </c>
      <c r="O804" s="611">
        <f>+IF(OR($Q804=Parametres!$G$2,$Q804=Parametres!$G$3),J804,D804)</f>
        <v>0</v>
      </c>
      <c r="P804" s="611">
        <f>+IF(OR($Q804=Parametres!$G$2,$Q804=Parametres!$G$3),K804,E804)</f>
        <v>0</v>
      </c>
      <c r="Q804" s="610">
        <f t="shared" si="52"/>
        <v>0</v>
      </c>
      <c r="R804" s="609">
        <f t="shared" si="53"/>
        <v>0</v>
      </c>
      <c r="S804" s="610">
        <f t="shared" si="54"/>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55"/>
        <v>0</v>
      </c>
      <c r="M805" s="610">
        <f t="shared" si="51"/>
        <v>0</v>
      </c>
      <c r="N805" s="611">
        <f>+IF(OR($Q805=Parametres!$G$2,$Q805=Parametres!$G$3),I805,C805)</f>
        <v>0</v>
      </c>
      <c r="O805" s="611">
        <f>+IF(OR($Q805=Parametres!$G$2,$Q805=Parametres!$G$3),J805,D805)</f>
        <v>0</v>
      </c>
      <c r="P805" s="611">
        <f>+IF(OR($Q805=Parametres!$G$2,$Q805=Parametres!$G$3),K805,E805)</f>
        <v>0</v>
      </c>
      <c r="Q805" s="610">
        <f t="shared" si="52"/>
        <v>0</v>
      </c>
      <c r="R805" s="609">
        <f t="shared" si="53"/>
        <v>0</v>
      </c>
      <c r="S805" s="610">
        <f t="shared" si="54"/>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55"/>
        <v>0</v>
      </c>
      <c r="M806" s="610">
        <f t="shared" si="51"/>
        <v>0</v>
      </c>
      <c r="N806" s="611">
        <f>+IF(OR($Q806=Parametres!$G$2,$Q806=Parametres!$G$3),I806,C806)</f>
        <v>0</v>
      </c>
      <c r="O806" s="611">
        <f>+IF(OR($Q806=Parametres!$G$2,$Q806=Parametres!$G$3),J806,D806)</f>
        <v>0</v>
      </c>
      <c r="P806" s="611">
        <f>+IF(OR($Q806=Parametres!$G$2,$Q806=Parametres!$G$3),K806,E806)</f>
        <v>0</v>
      </c>
      <c r="Q806" s="610">
        <f t="shared" si="52"/>
        <v>0</v>
      </c>
      <c r="R806" s="609">
        <f t="shared" si="53"/>
        <v>0</v>
      </c>
      <c r="S806" s="610">
        <f t="shared" si="54"/>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55"/>
        <v>0</v>
      </c>
      <c r="M807" s="610">
        <f t="shared" si="51"/>
        <v>0</v>
      </c>
      <c r="N807" s="611">
        <f>+IF(OR($Q807=Parametres!$G$2,$Q807=Parametres!$G$3),I807,C807)</f>
        <v>0</v>
      </c>
      <c r="O807" s="611">
        <f>+IF(OR($Q807=Parametres!$G$2,$Q807=Parametres!$G$3),J807,D807)</f>
        <v>0</v>
      </c>
      <c r="P807" s="611">
        <f>+IF(OR($Q807=Parametres!$G$2,$Q807=Parametres!$G$3),K807,E807)</f>
        <v>0</v>
      </c>
      <c r="Q807" s="610">
        <f t="shared" si="52"/>
        <v>0</v>
      </c>
      <c r="R807" s="609">
        <f t="shared" si="53"/>
        <v>0</v>
      </c>
      <c r="S807" s="610">
        <f t="shared" si="54"/>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55"/>
        <v>0</v>
      </c>
      <c r="M808" s="610">
        <f t="shared" si="51"/>
        <v>0</v>
      </c>
      <c r="N808" s="611">
        <f>+IF(OR($Q808=Parametres!$G$2,$Q808=Parametres!$G$3),I808,C808)</f>
        <v>0</v>
      </c>
      <c r="O808" s="611">
        <f>+IF(OR($Q808=Parametres!$G$2,$Q808=Parametres!$G$3),J808,D808)</f>
        <v>0</v>
      </c>
      <c r="P808" s="611">
        <f>+IF(OR($Q808=Parametres!$G$2,$Q808=Parametres!$G$3),K808,E808)</f>
        <v>0</v>
      </c>
      <c r="Q808" s="610">
        <f t="shared" si="52"/>
        <v>0</v>
      </c>
      <c r="R808" s="609">
        <f t="shared" si="53"/>
        <v>0</v>
      </c>
      <c r="S808" s="610">
        <f t="shared" si="54"/>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55"/>
        <v>0</v>
      </c>
      <c r="M809" s="610">
        <f t="shared" si="51"/>
        <v>0</v>
      </c>
      <c r="N809" s="611">
        <f>+IF(OR($Q809=Parametres!$G$2,$Q809=Parametres!$G$3),I809,C809)</f>
        <v>0</v>
      </c>
      <c r="O809" s="611">
        <f>+IF(OR($Q809=Parametres!$G$2,$Q809=Parametres!$G$3),J809,D809)</f>
        <v>0</v>
      </c>
      <c r="P809" s="611">
        <f>+IF(OR($Q809=Parametres!$G$2,$Q809=Parametres!$G$3),K809,E809)</f>
        <v>0</v>
      </c>
      <c r="Q809" s="610">
        <f t="shared" si="52"/>
        <v>0</v>
      </c>
      <c r="R809" s="609">
        <f t="shared" si="53"/>
        <v>0</v>
      </c>
      <c r="S809" s="610">
        <f t="shared" si="5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55"/>
        <v>0</v>
      </c>
      <c r="M810" s="610">
        <f t="shared" si="51"/>
        <v>0</v>
      </c>
      <c r="N810" s="611">
        <f>+IF(OR($Q810=Parametres!$G$2,$Q810=Parametres!$G$3),I810,C810)</f>
        <v>0</v>
      </c>
      <c r="O810" s="611">
        <f>+IF(OR($Q810=Parametres!$G$2,$Q810=Parametres!$G$3),J810,D810)</f>
        <v>0</v>
      </c>
      <c r="P810" s="611">
        <f>+IF(OR($Q810=Parametres!$G$2,$Q810=Parametres!$G$3),K810,E810)</f>
        <v>0</v>
      </c>
      <c r="Q810" s="610">
        <f t="shared" si="52"/>
        <v>0</v>
      </c>
      <c r="R810" s="609">
        <f t="shared" si="53"/>
        <v>0</v>
      </c>
      <c r="S810" s="610">
        <f t="shared" si="54"/>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55"/>
        <v>0</v>
      </c>
      <c r="M811" s="610">
        <f t="shared" si="51"/>
        <v>0</v>
      </c>
      <c r="N811" s="611">
        <f>+IF(OR($Q811=Parametres!$G$2,$Q811=Parametres!$G$3),I811,C811)</f>
        <v>0</v>
      </c>
      <c r="O811" s="611">
        <f>+IF(OR($Q811=Parametres!$G$2,$Q811=Parametres!$G$3),J811,D811)</f>
        <v>0</v>
      </c>
      <c r="P811" s="611">
        <f>+IF(OR($Q811=Parametres!$G$2,$Q811=Parametres!$G$3),K811,E811)</f>
        <v>0</v>
      </c>
      <c r="Q811" s="610">
        <f t="shared" si="52"/>
        <v>0</v>
      </c>
      <c r="R811" s="609">
        <f t="shared" si="53"/>
        <v>0</v>
      </c>
      <c r="S811" s="610">
        <f t="shared" si="54"/>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55"/>
        <v>0</v>
      </c>
      <c r="M812" s="610">
        <f t="shared" si="51"/>
        <v>0</v>
      </c>
      <c r="N812" s="611">
        <f>+IF(OR($Q812=Parametres!$G$2,$Q812=Parametres!$G$3),I812,C812)</f>
        <v>0</v>
      </c>
      <c r="O812" s="611">
        <f>+IF(OR($Q812=Parametres!$G$2,$Q812=Parametres!$G$3),J812,D812)</f>
        <v>0</v>
      </c>
      <c r="P812" s="611">
        <f>+IF(OR($Q812=Parametres!$G$2,$Q812=Parametres!$G$3),K812,E812)</f>
        <v>0</v>
      </c>
      <c r="Q812" s="610">
        <f t="shared" si="52"/>
        <v>0</v>
      </c>
      <c r="R812" s="609">
        <f t="shared" si="53"/>
        <v>0</v>
      </c>
      <c r="S812" s="610">
        <f t="shared" si="54"/>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55"/>
        <v>0</v>
      </c>
      <c r="M813" s="610">
        <f t="shared" si="51"/>
        <v>0</v>
      </c>
      <c r="N813" s="611">
        <f>+IF(OR($Q813=Parametres!$G$2,$Q813=Parametres!$G$3),I813,C813)</f>
        <v>0</v>
      </c>
      <c r="O813" s="611">
        <f>+IF(OR($Q813=Parametres!$G$2,$Q813=Parametres!$G$3),J813,D813)</f>
        <v>0</v>
      </c>
      <c r="P813" s="611">
        <f>+IF(OR($Q813=Parametres!$G$2,$Q813=Parametres!$G$3),K813,E813)</f>
        <v>0</v>
      </c>
      <c r="Q813" s="610">
        <f t="shared" si="52"/>
        <v>0</v>
      </c>
      <c r="R813" s="609">
        <f t="shared" si="53"/>
        <v>0</v>
      </c>
      <c r="S813" s="610">
        <f t="shared" si="54"/>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55"/>
        <v>0</v>
      </c>
      <c r="M814" s="610">
        <f t="shared" si="51"/>
        <v>0</v>
      </c>
      <c r="N814" s="611">
        <f>+IF(OR($Q814=Parametres!$G$2,$Q814=Parametres!$G$3),I814,C814)</f>
        <v>0</v>
      </c>
      <c r="O814" s="611">
        <f>+IF(OR($Q814=Parametres!$G$2,$Q814=Parametres!$G$3),J814,D814)</f>
        <v>0</v>
      </c>
      <c r="P814" s="611">
        <f>+IF(OR($Q814=Parametres!$G$2,$Q814=Parametres!$G$3),K814,E814)</f>
        <v>0</v>
      </c>
      <c r="Q814" s="610">
        <f t="shared" si="52"/>
        <v>0</v>
      </c>
      <c r="R814" s="609">
        <f t="shared" si="53"/>
        <v>0</v>
      </c>
      <c r="S814" s="610">
        <f t="shared" si="54"/>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55"/>
        <v>0</v>
      </c>
      <c r="M815" s="610">
        <f t="shared" si="51"/>
        <v>0</v>
      </c>
      <c r="N815" s="611">
        <f>+IF(OR($Q815=Parametres!$G$2,$Q815=Parametres!$G$3),I815,C815)</f>
        <v>0</v>
      </c>
      <c r="O815" s="611">
        <f>+IF(OR($Q815=Parametres!$G$2,$Q815=Parametres!$G$3),J815,D815)</f>
        <v>0</v>
      </c>
      <c r="P815" s="611">
        <f>+IF(OR($Q815=Parametres!$G$2,$Q815=Parametres!$G$3),K815,E815)</f>
        <v>0</v>
      </c>
      <c r="Q815" s="610">
        <f t="shared" si="52"/>
        <v>0</v>
      </c>
      <c r="R815" s="609">
        <f t="shared" si="53"/>
        <v>0</v>
      </c>
      <c r="S815" s="610">
        <f t="shared" si="54"/>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55"/>
        <v>0</v>
      </c>
      <c r="M816" s="610">
        <f t="shared" si="51"/>
        <v>0</v>
      </c>
      <c r="N816" s="611">
        <f>+IF(OR($Q816=Parametres!$G$2,$Q816=Parametres!$G$3),I816,C816)</f>
        <v>0</v>
      </c>
      <c r="O816" s="611">
        <f>+IF(OR($Q816=Parametres!$G$2,$Q816=Parametres!$G$3),J816,D816)</f>
        <v>0</v>
      </c>
      <c r="P816" s="611">
        <f>+IF(OR($Q816=Parametres!$G$2,$Q816=Parametres!$G$3),K816,E816)</f>
        <v>0</v>
      </c>
      <c r="Q816" s="610">
        <f t="shared" si="52"/>
        <v>0</v>
      </c>
      <c r="R816" s="609">
        <f t="shared" si="53"/>
        <v>0</v>
      </c>
      <c r="S816" s="610">
        <f t="shared" si="54"/>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55"/>
        <v>0</v>
      </c>
      <c r="M817" s="610">
        <f t="shared" si="51"/>
        <v>0</v>
      </c>
      <c r="N817" s="611">
        <f>+IF(OR($Q817=Parametres!$G$2,$Q817=Parametres!$G$3),I817,C817)</f>
        <v>0</v>
      </c>
      <c r="O817" s="611">
        <f>+IF(OR($Q817=Parametres!$G$2,$Q817=Parametres!$G$3),J817,D817)</f>
        <v>0</v>
      </c>
      <c r="P817" s="611">
        <f>+IF(OR($Q817=Parametres!$G$2,$Q817=Parametres!$G$3),K817,E817)</f>
        <v>0</v>
      </c>
      <c r="Q817" s="610">
        <f t="shared" si="52"/>
        <v>0</v>
      </c>
      <c r="R817" s="609">
        <f t="shared" si="53"/>
        <v>0</v>
      </c>
      <c r="S817" s="610">
        <f t="shared" si="54"/>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55"/>
        <v>0</v>
      </c>
      <c r="M818" s="610">
        <f t="shared" si="51"/>
        <v>0</v>
      </c>
      <c r="N818" s="611">
        <f>+IF(OR($Q818=Parametres!$G$2,$Q818=Parametres!$G$3),I818,C818)</f>
        <v>0</v>
      </c>
      <c r="O818" s="611">
        <f>+IF(OR($Q818=Parametres!$G$2,$Q818=Parametres!$G$3),J818,D818)</f>
        <v>0</v>
      </c>
      <c r="P818" s="611">
        <f>+IF(OR($Q818=Parametres!$G$2,$Q818=Parametres!$G$3),K818,E818)</f>
        <v>0</v>
      </c>
      <c r="Q818" s="610">
        <f t="shared" si="52"/>
        <v>0</v>
      </c>
      <c r="R818" s="609">
        <f t="shared" si="53"/>
        <v>0</v>
      </c>
      <c r="S818" s="610">
        <f t="shared" si="54"/>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55"/>
        <v>0</v>
      </c>
      <c r="M819" s="610">
        <f t="shared" si="51"/>
        <v>0</v>
      </c>
      <c r="N819" s="611">
        <f>+IF(OR($Q819=Parametres!$G$2,$Q819=Parametres!$G$3),I819,C819)</f>
        <v>0</v>
      </c>
      <c r="O819" s="611">
        <f>+IF(OR($Q819=Parametres!$G$2,$Q819=Parametres!$G$3),J819,D819)</f>
        <v>0</v>
      </c>
      <c r="P819" s="611">
        <f>+IF(OR($Q819=Parametres!$G$2,$Q819=Parametres!$G$3),K819,E819)</f>
        <v>0</v>
      </c>
      <c r="Q819" s="610">
        <f t="shared" si="52"/>
        <v>0</v>
      </c>
      <c r="R819" s="609">
        <f t="shared" si="53"/>
        <v>0</v>
      </c>
      <c r="S819" s="610">
        <f t="shared" si="5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55"/>
        <v>0</v>
      </c>
      <c r="M820" s="610">
        <f t="shared" si="51"/>
        <v>0</v>
      </c>
      <c r="N820" s="611">
        <f>+IF(OR($Q820=Parametres!$G$2,$Q820=Parametres!$G$3),I820,C820)</f>
        <v>0</v>
      </c>
      <c r="O820" s="611">
        <f>+IF(OR($Q820=Parametres!$G$2,$Q820=Parametres!$G$3),J820,D820)</f>
        <v>0</v>
      </c>
      <c r="P820" s="611">
        <f>+IF(OR($Q820=Parametres!$G$2,$Q820=Parametres!$G$3),K820,E820)</f>
        <v>0</v>
      </c>
      <c r="Q820" s="610">
        <f t="shared" si="52"/>
        <v>0</v>
      </c>
      <c r="R820" s="609">
        <f t="shared" si="53"/>
        <v>0</v>
      </c>
      <c r="S820" s="610">
        <f t="shared" si="54"/>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55"/>
        <v>0</v>
      </c>
      <c r="M821" s="610">
        <f t="shared" si="51"/>
        <v>0</v>
      </c>
      <c r="N821" s="611">
        <f>+IF(OR($Q821=Parametres!$G$2,$Q821=Parametres!$G$3),I821,C821)</f>
        <v>0</v>
      </c>
      <c r="O821" s="611">
        <f>+IF(OR($Q821=Parametres!$G$2,$Q821=Parametres!$G$3),J821,D821)</f>
        <v>0</v>
      </c>
      <c r="P821" s="611">
        <f>+IF(OR($Q821=Parametres!$G$2,$Q821=Parametres!$G$3),K821,E821)</f>
        <v>0</v>
      </c>
      <c r="Q821" s="610">
        <f t="shared" si="52"/>
        <v>0</v>
      </c>
      <c r="R821" s="609">
        <f t="shared" si="53"/>
        <v>0</v>
      </c>
      <c r="S821" s="610">
        <f t="shared" si="54"/>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55"/>
        <v>0</v>
      </c>
      <c r="M822" s="610">
        <f t="shared" si="51"/>
        <v>0</v>
      </c>
      <c r="N822" s="611">
        <f>+IF(OR($Q822=Parametres!$G$2,$Q822=Parametres!$G$3),I822,C822)</f>
        <v>0</v>
      </c>
      <c r="O822" s="611">
        <f>+IF(OR($Q822=Parametres!$G$2,$Q822=Parametres!$G$3),J822,D822)</f>
        <v>0</v>
      </c>
      <c r="P822" s="611">
        <f>+IF(OR($Q822=Parametres!$G$2,$Q822=Parametres!$G$3),K822,E822)</f>
        <v>0</v>
      </c>
      <c r="Q822" s="610">
        <f t="shared" si="52"/>
        <v>0</v>
      </c>
      <c r="R822" s="609">
        <f t="shared" si="53"/>
        <v>0</v>
      </c>
      <c r="S822" s="610">
        <f t="shared" si="54"/>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55"/>
        <v>0</v>
      </c>
      <c r="M823" s="610">
        <f t="shared" si="51"/>
        <v>0</v>
      </c>
      <c r="N823" s="611">
        <f>+IF(OR($Q823=Parametres!$G$2,$Q823=Parametres!$G$3),I823,C823)</f>
        <v>0</v>
      </c>
      <c r="O823" s="611">
        <f>+IF(OR($Q823=Parametres!$G$2,$Q823=Parametres!$G$3),J823,D823)</f>
        <v>0</v>
      </c>
      <c r="P823" s="611">
        <f>+IF(OR($Q823=Parametres!$G$2,$Q823=Parametres!$G$3),K823,E823)</f>
        <v>0</v>
      </c>
      <c r="Q823" s="610">
        <f t="shared" si="52"/>
        <v>0</v>
      </c>
      <c r="R823" s="609">
        <f t="shared" si="53"/>
        <v>0</v>
      </c>
      <c r="S823" s="610">
        <f t="shared" si="54"/>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55"/>
        <v>0</v>
      </c>
      <c r="M824" s="610">
        <f t="shared" si="51"/>
        <v>0</v>
      </c>
      <c r="N824" s="611">
        <f>+IF(OR($Q824=Parametres!$G$2,$Q824=Parametres!$G$3),I824,C824)</f>
        <v>0</v>
      </c>
      <c r="O824" s="611">
        <f>+IF(OR($Q824=Parametres!$G$2,$Q824=Parametres!$G$3),J824,D824)</f>
        <v>0</v>
      </c>
      <c r="P824" s="611">
        <f>+IF(OR($Q824=Parametres!$G$2,$Q824=Parametres!$G$3),K824,E824)</f>
        <v>0</v>
      </c>
      <c r="Q824" s="610">
        <f t="shared" si="52"/>
        <v>0</v>
      </c>
      <c r="R824" s="609">
        <f t="shared" si="53"/>
        <v>0</v>
      </c>
      <c r="S824" s="610">
        <f t="shared" si="54"/>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55"/>
        <v>0</v>
      </c>
      <c r="M825" s="610">
        <f t="shared" si="51"/>
        <v>0</v>
      </c>
      <c r="N825" s="611">
        <f>+IF(OR($Q825=Parametres!$G$2,$Q825=Parametres!$G$3),I825,C825)</f>
        <v>0</v>
      </c>
      <c r="O825" s="611">
        <f>+IF(OR($Q825=Parametres!$G$2,$Q825=Parametres!$G$3),J825,D825)</f>
        <v>0</v>
      </c>
      <c r="P825" s="611">
        <f>+IF(OR($Q825=Parametres!$G$2,$Q825=Parametres!$G$3),K825,E825)</f>
        <v>0</v>
      </c>
      <c r="Q825" s="610">
        <f t="shared" si="52"/>
        <v>0</v>
      </c>
      <c r="R825" s="609">
        <f t="shared" si="53"/>
        <v>0</v>
      </c>
      <c r="S825" s="610">
        <f t="shared" si="54"/>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55"/>
        <v>0</v>
      </c>
      <c r="M826" s="610">
        <f t="shared" si="51"/>
        <v>0</v>
      </c>
      <c r="N826" s="611">
        <f>+IF(OR($Q826=Parametres!$G$2,$Q826=Parametres!$G$3),I826,C826)</f>
        <v>0</v>
      </c>
      <c r="O826" s="611">
        <f>+IF(OR($Q826=Parametres!$G$2,$Q826=Parametres!$G$3),J826,D826)</f>
        <v>0</v>
      </c>
      <c r="P826" s="611">
        <f>+IF(OR($Q826=Parametres!$G$2,$Q826=Parametres!$G$3),K826,E826)</f>
        <v>0</v>
      </c>
      <c r="Q826" s="610">
        <f t="shared" si="52"/>
        <v>0</v>
      </c>
      <c r="R826" s="609">
        <f t="shared" si="53"/>
        <v>0</v>
      </c>
      <c r="S826" s="610">
        <f t="shared" si="54"/>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55"/>
        <v>0</v>
      </c>
      <c r="M827" s="610">
        <f t="shared" si="51"/>
        <v>0</v>
      </c>
      <c r="N827" s="611">
        <f>+IF(OR($Q827=Parametres!$G$2,$Q827=Parametres!$G$3),I827,C827)</f>
        <v>0</v>
      </c>
      <c r="O827" s="611">
        <f>+IF(OR($Q827=Parametres!$G$2,$Q827=Parametres!$G$3),J827,D827)</f>
        <v>0</v>
      </c>
      <c r="P827" s="611">
        <f>+IF(OR($Q827=Parametres!$G$2,$Q827=Parametres!$G$3),K827,E827)</f>
        <v>0</v>
      </c>
      <c r="Q827" s="610">
        <f t="shared" si="52"/>
        <v>0</v>
      </c>
      <c r="R827" s="609">
        <f t="shared" si="53"/>
        <v>0</v>
      </c>
      <c r="S827" s="610">
        <f t="shared" si="54"/>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55"/>
        <v>0</v>
      </c>
      <c r="M828" s="610">
        <f t="shared" si="51"/>
        <v>0</v>
      </c>
      <c r="N828" s="611">
        <f>+IF(OR($Q828=Parametres!$G$2,$Q828=Parametres!$G$3),I828,C828)</f>
        <v>0</v>
      </c>
      <c r="O828" s="611">
        <f>+IF(OR($Q828=Parametres!$G$2,$Q828=Parametres!$G$3),J828,D828)</f>
        <v>0</v>
      </c>
      <c r="P828" s="611">
        <f>+IF(OR($Q828=Parametres!$G$2,$Q828=Parametres!$G$3),K828,E828)</f>
        <v>0</v>
      </c>
      <c r="Q828" s="610">
        <f t="shared" si="52"/>
        <v>0</v>
      </c>
      <c r="R828" s="609">
        <f t="shared" si="53"/>
        <v>0</v>
      </c>
      <c r="S828" s="610">
        <f t="shared" si="54"/>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55"/>
        <v>0</v>
      </c>
      <c r="M829" s="610">
        <f t="shared" si="51"/>
        <v>0</v>
      </c>
      <c r="N829" s="611">
        <f>+IF(OR($Q829=Parametres!$G$2,$Q829=Parametres!$G$3),I829,C829)</f>
        <v>0</v>
      </c>
      <c r="O829" s="611">
        <f>+IF(OR($Q829=Parametres!$G$2,$Q829=Parametres!$G$3),J829,D829)</f>
        <v>0</v>
      </c>
      <c r="P829" s="611">
        <f>+IF(OR($Q829=Parametres!$G$2,$Q829=Parametres!$G$3),K829,E829)</f>
        <v>0</v>
      </c>
      <c r="Q829" s="610">
        <f t="shared" si="52"/>
        <v>0</v>
      </c>
      <c r="R829" s="609">
        <f t="shared" si="53"/>
        <v>0</v>
      </c>
      <c r="S829" s="610">
        <f t="shared" si="5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55"/>
        <v>0</v>
      </c>
      <c r="M830" s="610">
        <f t="shared" si="51"/>
        <v>0</v>
      </c>
      <c r="N830" s="611">
        <f>+IF(OR($Q830=Parametres!$G$2,$Q830=Parametres!$G$3),I830,C830)</f>
        <v>0</v>
      </c>
      <c r="O830" s="611">
        <f>+IF(OR($Q830=Parametres!$G$2,$Q830=Parametres!$G$3),J830,D830)</f>
        <v>0</v>
      </c>
      <c r="P830" s="611">
        <f>+IF(OR($Q830=Parametres!$G$2,$Q830=Parametres!$G$3),K830,E830)</f>
        <v>0</v>
      </c>
      <c r="Q830" s="610">
        <f t="shared" si="52"/>
        <v>0</v>
      </c>
      <c r="R830" s="609">
        <f t="shared" si="53"/>
        <v>0</v>
      </c>
      <c r="S830" s="610">
        <f t="shared" si="54"/>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55"/>
        <v>0</v>
      </c>
      <c r="M831" s="610">
        <f t="shared" si="51"/>
        <v>0</v>
      </c>
      <c r="N831" s="611">
        <f>+IF(OR($Q831=Parametres!$G$2,$Q831=Parametres!$G$3),I831,C831)</f>
        <v>0</v>
      </c>
      <c r="O831" s="611">
        <f>+IF(OR($Q831=Parametres!$G$2,$Q831=Parametres!$G$3),J831,D831)</f>
        <v>0</v>
      </c>
      <c r="P831" s="611">
        <f>+IF(OR($Q831=Parametres!$G$2,$Q831=Parametres!$G$3),K831,E831)</f>
        <v>0</v>
      </c>
      <c r="Q831" s="610">
        <f t="shared" si="52"/>
        <v>0</v>
      </c>
      <c r="R831" s="609">
        <f t="shared" si="53"/>
        <v>0</v>
      </c>
      <c r="S831" s="610">
        <f t="shared" si="54"/>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55"/>
        <v>0</v>
      </c>
      <c r="M832" s="610">
        <f t="shared" si="51"/>
        <v>0</v>
      </c>
      <c r="N832" s="611">
        <f>+IF(OR($Q832=Parametres!$G$2,$Q832=Parametres!$G$3),I832,C832)</f>
        <v>0</v>
      </c>
      <c r="O832" s="611">
        <f>+IF(OR($Q832=Parametres!$G$2,$Q832=Parametres!$G$3),J832,D832)</f>
        <v>0</v>
      </c>
      <c r="P832" s="611">
        <f>+IF(OR($Q832=Parametres!$G$2,$Q832=Parametres!$G$3),K832,E832)</f>
        <v>0</v>
      </c>
      <c r="Q832" s="610">
        <f t="shared" si="52"/>
        <v>0</v>
      </c>
      <c r="R832" s="609">
        <f t="shared" si="53"/>
        <v>0</v>
      </c>
      <c r="S832" s="610">
        <f t="shared" si="54"/>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55"/>
        <v>0</v>
      </c>
      <c r="M833" s="610">
        <f t="shared" si="51"/>
        <v>0</v>
      </c>
      <c r="N833" s="611">
        <f>+IF(OR($Q833=Parametres!$G$2,$Q833=Parametres!$G$3),I833,C833)</f>
        <v>0</v>
      </c>
      <c r="O833" s="611">
        <f>+IF(OR($Q833=Parametres!$G$2,$Q833=Parametres!$G$3),J833,D833)</f>
        <v>0</v>
      </c>
      <c r="P833" s="611">
        <f>+IF(OR($Q833=Parametres!$G$2,$Q833=Parametres!$G$3),K833,E833)</f>
        <v>0</v>
      </c>
      <c r="Q833" s="610">
        <f t="shared" si="52"/>
        <v>0</v>
      </c>
      <c r="R833" s="609">
        <f t="shared" si="53"/>
        <v>0</v>
      </c>
      <c r="S833" s="610">
        <f t="shared" si="54"/>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55"/>
        <v>0</v>
      </c>
      <c r="M834" s="610">
        <f t="shared" si="51"/>
        <v>0</v>
      </c>
      <c r="N834" s="611">
        <f>+IF(OR($Q834=Parametres!$G$2,$Q834=Parametres!$G$3),I834,C834)</f>
        <v>0</v>
      </c>
      <c r="O834" s="611">
        <f>+IF(OR($Q834=Parametres!$G$2,$Q834=Parametres!$G$3),J834,D834)</f>
        <v>0</v>
      </c>
      <c r="P834" s="611">
        <f>+IF(OR($Q834=Parametres!$G$2,$Q834=Parametres!$G$3),K834,E834)</f>
        <v>0</v>
      </c>
      <c r="Q834" s="610">
        <f t="shared" ref="Q834:Q897" si="56">+F834</f>
        <v>0</v>
      </c>
      <c r="R834" s="609">
        <f t="shared" ref="R834:R897" si="57">+G834</f>
        <v>0</v>
      </c>
      <c r="S834" s="610">
        <f t="shared" ref="S834:S897" si="58">+H834</f>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59">TEXT(B835,0)</f>
        <v>0</v>
      </c>
      <c r="M835" s="610">
        <f t="shared" si="51"/>
        <v>0</v>
      </c>
      <c r="N835" s="611">
        <f>+IF(OR($Q835=Parametres!$G$2,$Q835=Parametres!$G$3),I835,C835)</f>
        <v>0</v>
      </c>
      <c r="O835" s="611">
        <f>+IF(OR($Q835=Parametres!$G$2,$Q835=Parametres!$G$3),J835,D835)</f>
        <v>0</v>
      </c>
      <c r="P835" s="611">
        <f>+IF(OR($Q835=Parametres!$G$2,$Q835=Parametres!$G$3),K835,E835)</f>
        <v>0</v>
      </c>
      <c r="Q835" s="610">
        <f t="shared" si="56"/>
        <v>0</v>
      </c>
      <c r="R835" s="609">
        <f t="shared" si="57"/>
        <v>0</v>
      </c>
      <c r="S835" s="610">
        <f t="shared" si="58"/>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59"/>
        <v>0</v>
      </c>
      <c r="M836" s="610">
        <f t="shared" si="51"/>
        <v>0</v>
      </c>
      <c r="N836" s="611">
        <f>+IF(OR($Q836=Parametres!$G$2,$Q836=Parametres!$G$3),I836,C836)</f>
        <v>0</v>
      </c>
      <c r="O836" s="611">
        <f>+IF(OR($Q836=Parametres!$G$2,$Q836=Parametres!$G$3),J836,D836)</f>
        <v>0</v>
      </c>
      <c r="P836" s="611">
        <f>+IF(OR($Q836=Parametres!$G$2,$Q836=Parametres!$G$3),K836,E836)</f>
        <v>0</v>
      </c>
      <c r="Q836" s="610">
        <f t="shared" si="56"/>
        <v>0</v>
      </c>
      <c r="R836" s="609">
        <f t="shared" si="57"/>
        <v>0</v>
      </c>
      <c r="S836" s="610">
        <f t="shared" si="58"/>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59"/>
        <v>0</v>
      </c>
      <c r="M837" s="610">
        <f t="shared" si="51"/>
        <v>0</v>
      </c>
      <c r="N837" s="611">
        <f>+IF(OR($Q837=Parametres!$G$2,$Q837=Parametres!$G$3),I837,C837)</f>
        <v>0</v>
      </c>
      <c r="O837" s="611">
        <f>+IF(OR($Q837=Parametres!$G$2,$Q837=Parametres!$G$3),J837,D837)</f>
        <v>0</v>
      </c>
      <c r="P837" s="611">
        <f>+IF(OR($Q837=Parametres!$G$2,$Q837=Parametres!$G$3),K837,E837)</f>
        <v>0</v>
      </c>
      <c r="Q837" s="610">
        <f t="shared" si="56"/>
        <v>0</v>
      </c>
      <c r="R837" s="609">
        <f t="shared" si="57"/>
        <v>0</v>
      </c>
      <c r="S837" s="610">
        <f t="shared" si="58"/>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59"/>
        <v>0</v>
      </c>
      <c r="M838" s="610">
        <f t="shared" si="51"/>
        <v>0</v>
      </c>
      <c r="N838" s="611">
        <f>+IF(OR($Q838=Parametres!$G$2,$Q838=Parametres!$G$3),I838,C838)</f>
        <v>0</v>
      </c>
      <c r="O838" s="611">
        <f>+IF(OR($Q838=Parametres!$G$2,$Q838=Parametres!$G$3),J838,D838)</f>
        <v>0</v>
      </c>
      <c r="P838" s="611">
        <f>+IF(OR($Q838=Parametres!$G$2,$Q838=Parametres!$G$3),K838,E838)</f>
        <v>0</v>
      </c>
      <c r="Q838" s="610">
        <f t="shared" si="56"/>
        <v>0</v>
      </c>
      <c r="R838" s="609">
        <f t="shared" si="57"/>
        <v>0</v>
      </c>
      <c r="S838" s="610">
        <f t="shared" si="58"/>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59"/>
        <v>0</v>
      </c>
      <c r="M839" s="610">
        <f t="shared" si="51"/>
        <v>0</v>
      </c>
      <c r="N839" s="611">
        <f>+IF(OR($Q839=Parametres!$G$2,$Q839=Parametres!$G$3),I839,C839)</f>
        <v>0</v>
      </c>
      <c r="O839" s="611">
        <f>+IF(OR($Q839=Parametres!$G$2,$Q839=Parametres!$G$3),J839,D839)</f>
        <v>0</v>
      </c>
      <c r="P839" s="611">
        <f>+IF(OR($Q839=Parametres!$G$2,$Q839=Parametres!$G$3),K839,E839)</f>
        <v>0</v>
      </c>
      <c r="Q839" s="610">
        <f t="shared" si="56"/>
        <v>0</v>
      </c>
      <c r="R839" s="609">
        <f t="shared" si="57"/>
        <v>0</v>
      </c>
      <c r="S839" s="610">
        <f t="shared" si="58"/>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59"/>
        <v>0</v>
      </c>
      <c r="M840" s="610">
        <f t="shared" si="51"/>
        <v>0</v>
      </c>
      <c r="N840" s="611">
        <f>+IF(OR($Q840=Parametres!$G$2,$Q840=Parametres!$G$3),I840,C840)</f>
        <v>0</v>
      </c>
      <c r="O840" s="611">
        <f>+IF(OR($Q840=Parametres!$G$2,$Q840=Parametres!$G$3),J840,D840)</f>
        <v>0</v>
      </c>
      <c r="P840" s="611">
        <f>+IF(OR($Q840=Parametres!$G$2,$Q840=Parametres!$G$3),K840,E840)</f>
        <v>0</v>
      </c>
      <c r="Q840" s="610">
        <f t="shared" si="56"/>
        <v>0</v>
      </c>
      <c r="R840" s="609">
        <f t="shared" si="57"/>
        <v>0</v>
      </c>
      <c r="S840" s="610">
        <f t="shared" si="58"/>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59"/>
        <v>0</v>
      </c>
      <c r="M841" s="610">
        <f t="shared" si="51"/>
        <v>0</v>
      </c>
      <c r="N841" s="611">
        <f>+IF(OR($Q841=Parametres!$G$2,$Q841=Parametres!$G$3),I841,C841)</f>
        <v>0</v>
      </c>
      <c r="O841" s="611">
        <f>+IF(OR($Q841=Parametres!$G$2,$Q841=Parametres!$G$3),J841,D841)</f>
        <v>0</v>
      </c>
      <c r="P841" s="611">
        <f>+IF(OR($Q841=Parametres!$G$2,$Q841=Parametres!$G$3),K841,E841)</f>
        <v>0</v>
      </c>
      <c r="Q841" s="610">
        <f t="shared" si="56"/>
        <v>0</v>
      </c>
      <c r="R841" s="609">
        <f t="shared" si="57"/>
        <v>0</v>
      </c>
      <c r="S841" s="610">
        <f t="shared" si="58"/>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59"/>
        <v>0</v>
      </c>
      <c r="M842" s="610">
        <f t="shared" si="51"/>
        <v>0</v>
      </c>
      <c r="N842" s="611">
        <f>+IF(OR($Q842=Parametres!$G$2,$Q842=Parametres!$G$3),I842,C842)</f>
        <v>0</v>
      </c>
      <c r="O842" s="611">
        <f>+IF(OR($Q842=Parametres!$G$2,$Q842=Parametres!$G$3),J842,D842)</f>
        <v>0</v>
      </c>
      <c r="P842" s="611">
        <f>+IF(OR($Q842=Parametres!$G$2,$Q842=Parametres!$G$3),K842,E842)</f>
        <v>0</v>
      </c>
      <c r="Q842" s="610">
        <f t="shared" si="56"/>
        <v>0</v>
      </c>
      <c r="R842" s="609">
        <f t="shared" si="57"/>
        <v>0</v>
      </c>
      <c r="S842" s="610">
        <f t="shared" si="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59"/>
        <v>0</v>
      </c>
      <c r="M843" s="610">
        <f t="shared" si="51"/>
        <v>0</v>
      </c>
      <c r="N843" s="611">
        <f>+IF(OR($Q843=Parametres!$G$2,$Q843=Parametres!$G$3),I843,C843)</f>
        <v>0</v>
      </c>
      <c r="O843" s="611">
        <f>+IF(OR($Q843=Parametres!$G$2,$Q843=Parametres!$G$3),J843,D843)</f>
        <v>0</v>
      </c>
      <c r="P843" s="611">
        <f>+IF(OR($Q843=Parametres!$G$2,$Q843=Parametres!$G$3),K843,E843)</f>
        <v>0</v>
      </c>
      <c r="Q843" s="610">
        <f t="shared" si="56"/>
        <v>0</v>
      </c>
      <c r="R843" s="609">
        <f t="shared" si="57"/>
        <v>0</v>
      </c>
      <c r="S843" s="610">
        <f t="shared" si="58"/>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59"/>
        <v>0</v>
      </c>
      <c r="M844" s="610">
        <f t="shared" si="51"/>
        <v>0</v>
      </c>
      <c r="N844" s="611">
        <f>+IF(OR($Q844=Parametres!$G$2,$Q844=Parametres!$G$3),I844,C844)</f>
        <v>0</v>
      </c>
      <c r="O844" s="611">
        <f>+IF(OR($Q844=Parametres!$G$2,$Q844=Parametres!$G$3),J844,D844)</f>
        <v>0</v>
      </c>
      <c r="P844" s="611">
        <f>+IF(OR($Q844=Parametres!$G$2,$Q844=Parametres!$G$3),K844,E844)</f>
        <v>0</v>
      </c>
      <c r="Q844" s="610">
        <f t="shared" si="56"/>
        <v>0</v>
      </c>
      <c r="R844" s="609">
        <f t="shared" si="57"/>
        <v>0</v>
      </c>
      <c r="S844" s="610">
        <f t="shared" si="58"/>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59"/>
        <v>0</v>
      </c>
      <c r="M845" s="610">
        <f t="shared" si="51"/>
        <v>0</v>
      </c>
      <c r="N845" s="611">
        <f>+IF(OR($Q845=Parametres!$G$2,$Q845=Parametres!$G$3),I845,C845)</f>
        <v>0</v>
      </c>
      <c r="O845" s="611">
        <f>+IF(OR($Q845=Parametres!$G$2,$Q845=Parametres!$G$3),J845,D845)</f>
        <v>0</v>
      </c>
      <c r="P845" s="611">
        <f>+IF(OR($Q845=Parametres!$G$2,$Q845=Parametres!$G$3),K845,E845)</f>
        <v>0</v>
      </c>
      <c r="Q845" s="610">
        <f t="shared" si="56"/>
        <v>0</v>
      </c>
      <c r="R845" s="609">
        <f t="shared" si="57"/>
        <v>0</v>
      </c>
      <c r="S845" s="610">
        <f t="shared" si="58"/>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59"/>
        <v>0</v>
      </c>
      <c r="M846" s="610">
        <f t="shared" si="51"/>
        <v>0</v>
      </c>
      <c r="N846" s="611">
        <f>+IF(OR($Q846=Parametres!$G$2,$Q846=Parametres!$G$3),I846,C846)</f>
        <v>0</v>
      </c>
      <c r="O846" s="611">
        <f>+IF(OR($Q846=Parametres!$G$2,$Q846=Parametres!$G$3),J846,D846)</f>
        <v>0</v>
      </c>
      <c r="P846" s="611">
        <f>+IF(OR($Q846=Parametres!$G$2,$Q846=Parametres!$G$3),K846,E846)</f>
        <v>0</v>
      </c>
      <c r="Q846" s="610">
        <f t="shared" si="56"/>
        <v>0</v>
      </c>
      <c r="R846" s="609">
        <f t="shared" si="57"/>
        <v>0</v>
      </c>
      <c r="S846" s="610">
        <f t="shared" si="58"/>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59"/>
        <v>0</v>
      </c>
      <c r="M847" s="610">
        <f t="shared" si="51"/>
        <v>0</v>
      </c>
      <c r="N847" s="611">
        <f>+IF(OR($Q847=Parametres!$G$2,$Q847=Parametres!$G$3),I847,C847)</f>
        <v>0</v>
      </c>
      <c r="O847" s="611">
        <f>+IF(OR($Q847=Parametres!$G$2,$Q847=Parametres!$G$3),J847,D847)</f>
        <v>0</v>
      </c>
      <c r="P847" s="611">
        <f>+IF(OR($Q847=Parametres!$G$2,$Q847=Parametres!$G$3),K847,E847)</f>
        <v>0</v>
      </c>
      <c r="Q847" s="610">
        <f t="shared" si="56"/>
        <v>0</v>
      </c>
      <c r="R847" s="609">
        <f t="shared" si="57"/>
        <v>0</v>
      </c>
      <c r="S847" s="610">
        <f t="shared" si="58"/>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59"/>
        <v>0</v>
      </c>
      <c r="M848" s="610">
        <f t="shared" si="51"/>
        <v>0</v>
      </c>
      <c r="N848" s="611">
        <f>+IF(OR($Q848=Parametres!$G$2,$Q848=Parametres!$G$3),I848,C848)</f>
        <v>0</v>
      </c>
      <c r="O848" s="611">
        <f>+IF(OR($Q848=Parametres!$G$2,$Q848=Parametres!$G$3),J848,D848)</f>
        <v>0</v>
      </c>
      <c r="P848" s="611">
        <f>+IF(OR($Q848=Parametres!$G$2,$Q848=Parametres!$G$3),K848,E848)</f>
        <v>0</v>
      </c>
      <c r="Q848" s="610">
        <f t="shared" si="56"/>
        <v>0</v>
      </c>
      <c r="R848" s="609">
        <f t="shared" si="57"/>
        <v>0</v>
      </c>
      <c r="S848" s="610">
        <f t="shared" si="58"/>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59"/>
        <v>0</v>
      </c>
      <c r="M849" s="610">
        <f t="shared" si="51"/>
        <v>0</v>
      </c>
      <c r="N849" s="611">
        <f>+IF(OR($Q849=Parametres!$G$2,$Q849=Parametres!$G$3),I849,C849)</f>
        <v>0</v>
      </c>
      <c r="O849" s="611">
        <f>+IF(OR($Q849=Parametres!$G$2,$Q849=Parametres!$G$3),J849,D849)</f>
        <v>0</v>
      </c>
      <c r="P849" s="611">
        <f>+IF(OR($Q849=Parametres!$G$2,$Q849=Parametres!$G$3),K849,E849)</f>
        <v>0</v>
      </c>
      <c r="Q849" s="610">
        <f t="shared" si="56"/>
        <v>0</v>
      </c>
      <c r="R849" s="609">
        <f t="shared" si="57"/>
        <v>0</v>
      </c>
      <c r="S849" s="610">
        <f t="shared" si="58"/>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59"/>
        <v>0</v>
      </c>
      <c r="M850" s="610">
        <f t="shared" si="51"/>
        <v>0</v>
      </c>
      <c r="N850" s="611">
        <f>+IF(OR($Q850=Parametres!$G$2,$Q850=Parametres!$G$3),I850,C850)</f>
        <v>0</v>
      </c>
      <c r="O850" s="611">
        <f>+IF(OR($Q850=Parametres!$G$2,$Q850=Parametres!$G$3),J850,D850)</f>
        <v>0</v>
      </c>
      <c r="P850" s="611">
        <f>+IF(OR($Q850=Parametres!$G$2,$Q850=Parametres!$G$3),K850,E850)</f>
        <v>0</v>
      </c>
      <c r="Q850" s="610">
        <f t="shared" si="56"/>
        <v>0</v>
      </c>
      <c r="R850" s="609">
        <f t="shared" si="57"/>
        <v>0</v>
      </c>
      <c r="S850" s="610">
        <f t="shared" si="58"/>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59"/>
        <v>0</v>
      </c>
      <c r="M851" s="610">
        <f t="shared" si="51"/>
        <v>0</v>
      </c>
      <c r="N851" s="611">
        <f>+IF(OR($Q851=Parametres!$G$2,$Q851=Parametres!$G$3),I851,C851)</f>
        <v>0</v>
      </c>
      <c r="O851" s="611">
        <f>+IF(OR($Q851=Parametres!$G$2,$Q851=Parametres!$G$3),J851,D851)</f>
        <v>0</v>
      </c>
      <c r="P851" s="611">
        <f>+IF(OR($Q851=Parametres!$G$2,$Q851=Parametres!$G$3),K851,E851)</f>
        <v>0</v>
      </c>
      <c r="Q851" s="610">
        <f t="shared" si="56"/>
        <v>0</v>
      </c>
      <c r="R851" s="609">
        <f t="shared" si="57"/>
        <v>0</v>
      </c>
      <c r="S851" s="610">
        <f t="shared" si="58"/>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59"/>
        <v>0</v>
      </c>
      <c r="M852" s="610">
        <f t="shared" si="51"/>
        <v>0</v>
      </c>
      <c r="N852" s="611">
        <f>+IF(OR($Q852=Parametres!$G$2,$Q852=Parametres!$G$3),I852,C852)</f>
        <v>0</v>
      </c>
      <c r="O852" s="611">
        <f>+IF(OR($Q852=Parametres!$G$2,$Q852=Parametres!$G$3),J852,D852)</f>
        <v>0</v>
      </c>
      <c r="P852" s="611">
        <f>+IF(OR($Q852=Parametres!$G$2,$Q852=Parametres!$G$3),K852,E852)</f>
        <v>0</v>
      </c>
      <c r="Q852" s="610">
        <f t="shared" si="56"/>
        <v>0</v>
      </c>
      <c r="R852" s="609">
        <f t="shared" si="57"/>
        <v>0</v>
      </c>
      <c r="S852" s="610">
        <f t="shared" si="5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59"/>
        <v>0</v>
      </c>
      <c r="M853" s="610">
        <f t="shared" si="51"/>
        <v>0</v>
      </c>
      <c r="N853" s="611">
        <f>+IF(OR($Q853=Parametres!$G$2,$Q853=Parametres!$G$3),I853,C853)</f>
        <v>0</v>
      </c>
      <c r="O853" s="611">
        <f>+IF(OR($Q853=Parametres!$G$2,$Q853=Parametres!$G$3),J853,D853)</f>
        <v>0</v>
      </c>
      <c r="P853" s="611">
        <f>+IF(OR($Q853=Parametres!$G$2,$Q853=Parametres!$G$3),K853,E853)</f>
        <v>0</v>
      </c>
      <c r="Q853" s="610">
        <f t="shared" si="56"/>
        <v>0</v>
      </c>
      <c r="R853" s="609">
        <f t="shared" si="57"/>
        <v>0</v>
      </c>
      <c r="S853" s="610">
        <f t="shared" si="58"/>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59"/>
        <v>0</v>
      </c>
      <c r="M854" s="610">
        <f t="shared" si="51"/>
        <v>0</v>
      </c>
      <c r="N854" s="611">
        <f>+IF(OR($Q854=Parametres!$G$2,$Q854=Parametres!$G$3),I854,C854)</f>
        <v>0</v>
      </c>
      <c r="O854" s="611">
        <f>+IF(OR($Q854=Parametres!$G$2,$Q854=Parametres!$G$3),J854,D854)</f>
        <v>0</v>
      </c>
      <c r="P854" s="611">
        <f>+IF(OR($Q854=Parametres!$G$2,$Q854=Parametres!$G$3),K854,E854)</f>
        <v>0</v>
      </c>
      <c r="Q854" s="610">
        <f t="shared" si="56"/>
        <v>0</v>
      </c>
      <c r="R854" s="609">
        <f t="shared" si="57"/>
        <v>0</v>
      </c>
      <c r="S854" s="610">
        <f t="shared" si="58"/>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59"/>
        <v>0</v>
      </c>
      <c r="M855" s="610">
        <f t="shared" si="51"/>
        <v>0</v>
      </c>
      <c r="N855" s="611">
        <f>+IF(OR($Q855=Parametres!$G$2,$Q855=Parametres!$G$3),I855,C855)</f>
        <v>0</v>
      </c>
      <c r="O855" s="611">
        <f>+IF(OR($Q855=Parametres!$G$2,$Q855=Parametres!$G$3),J855,D855)</f>
        <v>0</v>
      </c>
      <c r="P855" s="611">
        <f>+IF(OR($Q855=Parametres!$G$2,$Q855=Parametres!$G$3),K855,E855)</f>
        <v>0</v>
      </c>
      <c r="Q855" s="610">
        <f t="shared" si="56"/>
        <v>0</v>
      </c>
      <c r="R855" s="609">
        <f t="shared" si="57"/>
        <v>0</v>
      </c>
      <c r="S855" s="610">
        <f t="shared" si="58"/>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59"/>
        <v>0</v>
      </c>
      <c r="M856" s="610">
        <f t="shared" si="51"/>
        <v>0</v>
      </c>
      <c r="N856" s="611">
        <f>+IF(OR($Q856=Parametres!$G$2,$Q856=Parametres!$G$3),I856,C856)</f>
        <v>0</v>
      </c>
      <c r="O856" s="611">
        <f>+IF(OR($Q856=Parametres!$G$2,$Q856=Parametres!$G$3),J856,D856)</f>
        <v>0</v>
      </c>
      <c r="P856" s="611">
        <f>+IF(OR($Q856=Parametres!$G$2,$Q856=Parametres!$G$3),K856,E856)</f>
        <v>0</v>
      </c>
      <c r="Q856" s="610">
        <f t="shared" si="56"/>
        <v>0</v>
      </c>
      <c r="R856" s="609">
        <f t="shared" si="57"/>
        <v>0</v>
      </c>
      <c r="S856" s="610">
        <f t="shared" si="58"/>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59"/>
        <v>0</v>
      </c>
      <c r="M857" s="610">
        <f t="shared" si="51"/>
        <v>0</v>
      </c>
      <c r="N857" s="611">
        <f>+IF(OR($Q857=Parametres!$G$2,$Q857=Parametres!$G$3),I857,C857)</f>
        <v>0</v>
      </c>
      <c r="O857" s="611">
        <f>+IF(OR($Q857=Parametres!$G$2,$Q857=Parametres!$G$3),J857,D857)</f>
        <v>0</v>
      </c>
      <c r="P857" s="611">
        <f>+IF(OR($Q857=Parametres!$G$2,$Q857=Parametres!$G$3),K857,E857)</f>
        <v>0</v>
      </c>
      <c r="Q857" s="610">
        <f t="shared" si="56"/>
        <v>0</v>
      </c>
      <c r="R857" s="609">
        <f t="shared" si="57"/>
        <v>0</v>
      </c>
      <c r="S857" s="610">
        <f t="shared" si="58"/>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59"/>
        <v>0</v>
      </c>
      <c r="M858" s="610">
        <f t="shared" si="51"/>
        <v>0</v>
      </c>
      <c r="N858" s="611">
        <f>+IF(OR($Q858=Parametres!$G$2,$Q858=Parametres!$G$3),I858,C858)</f>
        <v>0</v>
      </c>
      <c r="O858" s="611">
        <f>+IF(OR($Q858=Parametres!$G$2,$Q858=Parametres!$G$3),J858,D858)</f>
        <v>0</v>
      </c>
      <c r="P858" s="611">
        <f>+IF(OR($Q858=Parametres!$G$2,$Q858=Parametres!$G$3),K858,E858)</f>
        <v>0</v>
      </c>
      <c r="Q858" s="610">
        <f t="shared" si="56"/>
        <v>0</v>
      </c>
      <c r="R858" s="609">
        <f t="shared" si="57"/>
        <v>0</v>
      </c>
      <c r="S858" s="610">
        <f t="shared" si="58"/>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59"/>
        <v>0</v>
      </c>
      <c r="M859" s="610">
        <f t="shared" si="51"/>
        <v>0</v>
      </c>
      <c r="N859" s="611">
        <f>+IF(OR($Q859=Parametres!$G$2,$Q859=Parametres!$G$3),I859,C859)</f>
        <v>0</v>
      </c>
      <c r="O859" s="611">
        <f>+IF(OR($Q859=Parametres!$G$2,$Q859=Parametres!$G$3),J859,D859)</f>
        <v>0</v>
      </c>
      <c r="P859" s="611">
        <f>+IF(OR($Q859=Parametres!$G$2,$Q859=Parametres!$G$3),K859,E859)</f>
        <v>0</v>
      </c>
      <c r="Q859" s="610">
        <f t="shared" si="56"/>
        <v>0</v>
      </c>
      <c r="R859" s="609">
        <f t="shared" si="57"/>
        <v>0</v>
      </c>
      <c r="S859" s="610">
        <f t="shared" si="58"/>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59"/>
        <v>0</v>
      </c>
      <c r="M860" s="610">
        <f t="shared" si="51"/>
        <v>0</v>
      </c>
      <c r="N860" s="611">
        <f>+IF(OR($Q860=Parametres!$G$2,$Q860=Parametres!$G$3),I860,C860)</f>
        <v>0</v>
      </c>
      <c r="O860" s="611">
        <f>+IF(OR($Q860=Parametres!$G$2,$Q860=Parametres!$G$3),J860,D860)</f>
        <v>0</v>
      </c>
      <c r="P860" s="611">
        <f>+IF(OR($Q860=Parametres!$G$2,$Q860=Parametres!$G$3),K860,E860)</f>
        <v>0</v>
      </c>
      <c r="Q860" s="610">
        <f t="shared" si="56"/>
        <v>0</v>
      </c>
      <c r="R860" s="609">
        <f t="shared" si="57"/>
        <v>0</v>
      </c>
      <c r="S860" s="610">
        <f t="shared" si="58"/>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59"/>
        <v>0</v>
      </c>
      <c r="M861" s="610">
        <f t="shared" si="51"/>
        <v>0</v>
      </c>
      <c r="N861" s="611">
        <f>+IF(OR($Q861=Parametres!$G$2,$Q861=Parametres!$G$3),I861,C861)</f>
        <v>0</v>
      </c>
      <c r="O861" s="611">
        <f>+IF(OR($Q861=Parametres!$G$2,$Q861=Parametres!$G$3),J861,D861)</f>
        <v>0</v>
      </c>
      <c r="P861" s="611">
        <f>+IF(OR($Q861=Parametres!$G$2,$Q861=Parametres!$G$3),K861,E861)</f>
        <v>0</v>
      </c>
      <c r="Q861" s="610">
        <f t="shared" si="56"/>
        <v>0</v>
      </c>
      <c r="R861" s="609">
        <f t="shared" si="57"/>
        <v>0</v>
      </c>
      <c r="S861" s="610">
        <f t="shared" si="58"/>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59"/>
        <v>0</v>
      </c>
      <c r="M862" s="610">
        <f t="shared" si="51"/>
        <v>0</v>
      </c>
      <c r="N862" s="611">
        <f>+IF(OR($Q862=Parametres!$G$2,$Q862=Parametres!$G$3),I862,C862)</f>
        <v>0</v>
      </c>
      <c r="O862" s="611">
        <f>+IF(OR($Q862=Parametres!$G$2,$Q862=Parametres!$G$3),J862,D862)</f>
        <v>0</v>
      </c>
      <c r="P862" s="611">
        <f>+IF(OR($Q862=Parametres!$G$2,$Q862=Parametres!$G$3),K862,E862)</f>
        <v>0</v>
      </c>
      <c r="Q862" s="610">
        <f t="shared" si="56"/>
        <v>0</v>
      </c>
      <c r="R862" s="609">
        <f t="shared" si="57"/>
        <v>0</v>
      </c>
      <c r="S862" s="610">
        <f t="shared" si="5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59"/>
        <v>0</v>
      </c>
      <c r="M863" s="610">
        <f t="shared" si="51"/>
        <v>0</v>
      </c>
      <c r="N863" s="611">
        <f>+IF(OR($Q863=Parametres!$G$2,$Q863=Parametres!$G$3),I863,C863)</f>
        <v>0</v>
      </c>
      <c r="O863" s="611">
        <f>+IF(OR($Q863=Parametres!$G$2,$Q863=Parametres!$G$3),J863,D863)</f>
        <v>0</v>
      </c>
      <c r="P863" s="611">
        <f>+IF(OR($Q863=Parametres!$G$2,$Q863=Parametres!$G$3),K863,E863)</f>
        <v>0</v>
      </c>
      <c r="Q863" s="610">
        <f t="shared" si="56"/>
        <v>0</v>
      </c>
      <c r="R863" s="609">
        <f t="shared" si="57"/>
        <v>0</v>
      </c>
      <c r="S863" s="610">
        <f t="shared" si="58"/>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59"/>
        <v>0</v>
      </c>
      <c r="M864" s="610">
        <f t="shared" si="51"/>
        <v>0</v>
      </c>
      <c r="N864" s="611">
        <f>+IF(OR($Q864=Parametres!$G$2,$Q864=Parametres!$G$3),I864,C864)</f>
        <v>0</v>
      </c>
      <c r="O864" s="611">
        <f>+IF(OR($Q864=Parametres!$G$2,$Q864=Parametres!$G$3),J864,D864)</f>
        <v>0</v>
      </c>
      <c r="P864" s="611">
        <f>+IF(OR($Q864=Parametres!$G$2,$Q864=Parametres!$G$3),K864,E864)</f>
        <v>0</v>
      </c>
      <c r="Q864" s="610">
        <f t="shared" si="56"/>
        <v>0</v>
      </c>
      <c r="R864" s="609">
        <f t="shared" si="57"/>
        <v>0</v>
      </c>
      <c r="S864" s="610">
        <f t="shared" si="58"/>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59"/>
        <v>0</v>
      </c>
      <c r="M865" s="610">
        <f t="shared" si="51"/>
        <v>0</v>
      </c>
      <c r="N865" s="611">
        <f>+IF(OR($Q865=Parametres!$G$2,$Q865=Parametres!$G$3),I865,C865)</f>
        <v>0</v>
      </c>
      <c r="O865" s="611">
        <f>+IF(OR($Q865=Parametres!$G$2,$Q865=Parametres!$G$3),J865,D865)</f>
        <v>0</v>
      </c>
      <c r="P865" s="611">
        <f>+IF(OR($Q865=Parametres!$G$2,$Q865=Parametres!$G$3),K865,E865)</f>
        <v>0</v>
      </c>
      <c r="Q865" s="610">
        <f t="shared" si="56"/>
        <v>0</v>
      </c>
      <c r="R865" s="609">
        <f t="shared" si="57"/>
        <v>0</v>
      </c>
      <c r="S865" s="610">
        <f t="shared" si="58"/>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59"/>
        <v>0</v>
      </c>
      <c r="M866" s="610">
        <f t="shared" si="51"/>
        <v>0</v>
      </c>
      <c r="N866" s="611">
        <f>+IF(OR($Q866=Parametres!$G$2,$Q866=Parametres!$G$3),I866,C866)</f>
        <v>0</v>
      </c>
      <c r="O866" s="611">
        <f>+IF(OR($Q866=Parametres!$G$2,$Q866=Parametres!$G$3),J866,D866)</f>
        <v>0</v>
      </c>
      <c r="P866" s="611">
        <f>+IF(OR($Q866=Parametres!$G$2,$Q866=Parametres!$G$3),K866,E866)</f>
        <v>0</v>
      </c>
      <c r="Q866" s="610">
        <f t="shared" si="56"/>
        <v>0</v>
      </c>
      <c r="R866" s="609">
        <f t="shared" si="57"/>
        <v>0</v>
      </c>
      <c r="S866" s="610">
        <f t="shared" si="58"/>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59"/>
        <v>0</v>
      </c>
      <c r="M867" s="610">
        <f t="shared" si="51"/>
        <v>0</v>
      </c>
      <c r="N867" s="611">
        <f>+IF(OR($Q867=Parametres!$G$2,$Q867=Parametres!$G$3),I867,C867)</f>
        <v>0</v>
      </c>
      <c r="O867" s="611">
        <f>+IF(OR($Q867=Parametres!$G$2,$Q867=Parametres!$G$3),J867,D867)</f>
        <v>0</v>
      </c>
      <c r="P867" s="611">
        <f>+IF(OR($Q867=Parametres!$G$2,$Q867=Parametres!$G$3),K867,E867)</f>
        <v>0</v>
      </c>
      <c r="Q867" s="610">
        <f t="shared" si="56"/>
        <v>0</v>
      </c>
      <c r="R867" s="609">
        <f t="shared" si="57"/>
        <v>0</v>
      </c>
      <c r="S867" s="610">
        <f t="shared" si="58"/>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59"/>
        <v>0</v>
      </c>
      <c r="M868" s="610">
        <f t="shared" si="51"/>
        <v>0</v>
      </c>
      <c r="N868" s="611">
        <f>+IF(OR($Q868=Parametres!$G$2,$Q868=Parametres!$G$3),I868,C868)</f>
        <v>0</v>
      </c>
      <c r="O868" s="611">
        <f>+IF(OR($Q868=Parametres!$G$2,$Q868=Parametres!$G$3),J868,D868)</f>
        <v>0</v>
      </c>
      <c r="P868" s="611">
        <f>+IF(OR($Q868=Parametres!$G$2,$Q868=Parametres!$G$3),K868,E868)</f>
        <v>0</v>
      </c>
      <c r="Q868" s="610">
        <f t="shared" si="56"/>
        <v>0</v>
      </c>
      <c r="R868" s="609">
        <f t="shared" si="57"/>
        <v>0</v>
      </c>
      <c r="S868" s="610">
        <f t="shared" si="58"/>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59"/>
        <v>0</v>
      </c>
      <c r="M869" s="610">
        <f t="shared" si="51"/>
        <v>0</v>
      </c>
      <c r="N869" s="611">
        <f>+IF(OR($Q869=Parametres!$G$2,$Q869=Parametres!$G$3),I869,C869)</f>
        <v>0</v>
      </c>
      <c r="O869" s="611">
        <f>+IF(OR($Q869=Parametres!$G$2,$Q869=Parametres!$G$3),J869,D869)</f>
        <v>0</v>
      </c>
      <c r="P869" s="611">
        <f>+IF(OR($Q869=Parametres!$G$2,$Q869=Parametres!$G$3),K869,E869)</f>
        <v>0</v>
      </c>
      <c r="Q869" s="610">
        <f t="shared" si="56"/>
        <v>0</v>
      </c>
      <c r="R869" s="609">
        <f t="shared" si="57"/>
        <v>0</v>
      </c>
      <c r="S869" s="610">
        <f t="shared" si="58"/>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59"/>
        <v>0</v>
      </c>
      <c r="M870" s="610">
        <f t="shared" si="51"/>
        <v>0</v>
      </c>
      <c r="N870" s="611">
        <f>+IF(OR($Q870=Parametres!$G$2,$Q870=Parametres!$G$3),I870,C870)</f>
        <v>0</v>
      </c>
      <c r="O870" s="611">
        <f>+IF(OR($Q870=Parametres!$G$2,$Q870=Parametres!$G$3),J870,D870)</f>
        <v>0</v>
      </c>
      <c r="P870" s="611">
        <f>+IF(OR($Q870=Parametres!$G$2,$Q870=Parametres!$G$3),K870,E870)</f>
        <v>0</v>
      </c>
      <c r="Q870" s="610">
        <f t="shared" si="56"/>
        <v>0</v>
      </c>
      <c r="R870" s="609">
        <f t="shared" si="57"/>
        <v>0</v>
      </c>
      <c r="S870" s="610">
        <f t="shared" si="58"/>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59"/>
        <v>0</v>
      </c>
      <c r="M871" s="610">
        <f t="shared" si="51"/>
        <v>0</v>
      </c>
      <c r="N871" s="611">
        <f>+IF(OR($Q871=Parametres!$G$2,$Q871=Parametres!$G$3),I871,C871)</f>
        <v>0</v>
      </c>
      <c r="O871" s="611">
        <f>+IF(OR($Q871=Parametres!$G$2,$Q871=Parametres!$G$3),J871,D871)</f>
        <v>0</v>
      </c>
      <c r="P871" s="611">
        <f>+IF(OR($Q871=Parametres!$G$2,$Q871=Parametres!$G$3),K871,E871)</f>
        <v>0</v>
      </c>
      <c r="Q871" s="610">
        <f t="shared" si="56"/>
        <v>0</v>
      </c>
      <c r="R871" s="609">
        <f t="shared" si="57"/>
        <v>0</v>
      </c>
      <c r="S871" s="610">
        <f t="shared" si="58"/>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59"/>
        <v>0</v>
      </c>
      <c r="M872" s="610">
        <f t="shared" si="51"/>
        <v>0</v>
      </c>
      <c r="N872" s="611">
        <f>+IF(OR($Q872=Parametres!$G$2,$Q872=Parametres!$G$3),I872,C872)</f>
        <v>0</v>
      </c>
      <c r="O872" s="611">
        <f>+IF(OR($Q872=Parametres!$G$2,$Q872=Parametres!$G$3),J872,D872)</f>
        <v>0</v>
      </c>
      <c r="P872" s="611">
        <f>+IF(OR($Q872=Parametres!$G$2,$Q872=Parametres!$G$3),K872,E872)</f>
        <v>0</v>
      </c>
      <c r="Q872" s="610">
        <f t="shared" si="56"/>
        <v>0</v>
      </c>
      <c r="R872" s="609">
        <f t="shared" si="57"/>
        <v>0</v>
      </c>
      <c r="S872" s="610">
        <f t="shared" si="5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59"/>
        <v>0</v>
      </c>
      <c r="M873" s="610">
        <f t="shared" si="51"/>
        <v>0</v>
      </c>
      <c r="N873" s="611">
        <f>+IF(OR($Q873=Parametres!$G$2,$Q873=Parametres!$G$3),I873,C873)</f>
        <v>0</v>
      </c>
      <c r="O873" s="611">
        <f>+IF(OR($Q873=Parametres!$G$2,$Q873=Parametres!$G$3),J873,D873)</f>
        <v>0</v>
      </c>
      <c r="P873" s="611">
        <f>+IF(OR($Q873=Parametres!$G$2,$Q873=Parametres!$G$3),K873,E873)</f>
        <v>0</v>
      </c>
      <c r="Q873" s="610">
        <f t="shared" si="56"/>
        <v>0</v>
      </c>
      <c r="R873" s="609">
        <f t="shared" si="57"/>
        <v>0</v>
      </c>
      <c r="S873" s="610">
        <f t="shared" si="58"/>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59"/>
        <v>0</v>
      </c>
      <c r="M874" s="610">
        <f t="shared" si="51"/>
        <v>0</v>
      </c>
      <c r="N874" s="611">
        <f>+IF(OR($Q874=Parametres!$G$2,$Q874=Parametres!$G$3),I874,C874)</f>
        <v>0</v>
      </c>
      <c r="O874" s="611">
        <f>+IF(OR($Q874=Parametres!$G$2,$Q874=Parametres!$G$3),J874,D874)</f>
        <v>0</v>
      </c>
      <c r="P874" s="611">
        <f>+IF(OR($Q874=Parametres!$G$2,$Q874=Parametres!$G$3),K874,E874)</f>
        <v>0</v>
      </c>
      <c r="Q874" s="610">
        <f t="shared" si="56"/>
        <v>0</v>
      </c>
      <c r="R874" s="609">
        <f t="shared" si="57"/>
        <v>0</v>
      </c>
      <c r="S874" s="610">
        <f t="shared" si="58"/>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59"/>
        <v>0</v>
      </c>
      <c r="M875" s="610">
        <f t="shared" si="51"/>
        <v>0</v>
      </c>
      <c r="N875" s="611">
        <f>+IF(OR($Q875=Parametres!$G$2,$Q875=Parametres!$G$3),I875,C875)</f>
        <v>0</v>
      </c>
      <c r="O875" s="611">
        <f>+IF(OR($Q875=Parametres!$G$2,$Q875=Parametres!$G$3),J875,D875)</f>
        <v>0</v>
      </c>
      <c r="P875" s="611">
        <f>+IF(OR($Q875=Parametres!$G$2,$Q875=Parametres!$G$3),K875,E875)</f>
        <v>0</v>
      </c>
      <c r="Q875" s="610">
        <f t="shared" si="56"/>
        <v>0</v>
      </c>
      <c r="R875" s="609">
        <f t="shared" si="57"/>
        <v>0</v>
      </c>
      <c r="S875" s="610">
        <f t="shared" si="58"/>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59"/>
        <v>0</v>
      </c>
      <c r="M876" s="610">
        <f t="shared" si="51"/>
        <v>0</v>
      </c>
      <c r="N876" s="611">
        <f>+IF(OR($Q876=Parametres!$G$2,$Q876=Parametres!$G$3),I876,C876)</f>
        <v>0</v>
      </c>
      <c r="O876" s="611">
        <f>+IF(OR($Q876=Parametres!$G$2,$Q876=Parametres!$G$3),J876,D876)</f>
        <v>0</v>
      </c>
      <c r="P876" s="611">
        <f>+IF(OR($Q876=Parametres!$G$2,$Q876=Parametres!$G$3),K876,E876)</f>
        <v>0</v>
      </c>
      <c r="Q876" s="610">
        <f t="shared" si="56"/>
        <v>0</v>
      </c>
      <c r="R876" s="609">
        <f t="shared" si="57"/>
        <v>0</v>
      </c>
      <c r="S876" s="610">
        <f t="shared" si="58"/>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59"/>
        <v>0</v>
      </c>
      <c r="M877" s="610">
        <f t="shared" si="51"/>
        <v>0</v>
      </c>
      <c r="N877" s="611">
        <f>+IF(OR($Q877=Parametres!$G$2,$Q877=Parametres!$G$3),I877,C877)</f>
        <v>0</v>
      </c>
      <c r="O877" s="611">
        <f>+IF(OR($Q877=Parametres!$G$2,$Q877=Parametres!$G$3),J877,D877)</f>
        <v>0</v>
      </c>
      <c r="P877" s="611">
        <f>+IF(OR($Q877=Parametres!$G$2,$Q877=Parametres!$G$3),K877,E877)</f>
        <v>0</v>
      </c>
      <c r="Q877" s="610">
        <f t="shared" si="56"/>
        <v>0</v>
      </c>
      <c r="R877" s="609">
        <f t="shared" si="57"/>
        <v>0</v>
      </c>
      <c r="S877" s="610">
        <f t="shared" si="58"/>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59"/>
        <v>0</v>
      </c>
      <c r="M878" s="610">
        <f t="shared" si="51"/>
        <v>0</v>
      </c>
      <c r="N878" s="611">
        <f>+IF(OR($Q878=Parametres!$G$2,$Q878=Parametres!$G$3),I878,C878)</f>
        <v>0</v>
      </c>
      <c r="O878" s="611">
        <f>+IF(OR($Q878=Parametres!$G$2,$Q878=Parametres!$G$3),J878,D878)</f>
        <v>0</v>
      </c>
      <c r="P878" s="611">
        <f>+IF(OR($Q878=Parametres!$G$2,$Q878=Parametres!$G$3),K878,E878)</f>
        <v>0</v>
      </c>
      <c r="Q878" s="610">
        <f t="shared" si="56"/>
        <v>0</v>
      </c>
      <c r="R878" s="609">
        <f t="shared" si="57"/>
        <v>0</v>
      </c>
      <c r="S878" s="610">
        <f t="shared" si="58"/>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59"/>
        <v>0</v>
      </c>
      <c r="M879" s="610">
        <f t="shared" si="51"/>
        <v>0</v>
      </c>
      <c r="N879" s="611">
        <f>+IF(OR($Q879=Parametres!$G$2,$Q879=Parametres!$G$3),I879,C879)</f>
        <v>0</v>
      </c>
      <c r="O879" s="611">
        <f>+IF(OR($Q879=Parametres!$G$2,$Q879=Parametres!$G$3),J879,D879)</f>
        <v>0</v>
      </c>
      <c r="P879" s="611">
        <f>+IF(OR($Q879=Parametres!$G$2,$Q879=Parametres!$G$3),K879,E879)</f>
        <v>0</v>
      </c>
      <c r="Q879" s="610">
        <f t="shared" si="56"/>
        <v>0</v>
      </c>
      <c r="R879" s="609">
        <f t="shared" si="57"/>
        <v>0</v>
      </c>
      <c r="S879" s="610">
        <f t="shared" si="58"/>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59"/>
        <v>0</v>
      </c>
      <c r="M880" s="610">
        <f t="shared" si="51"/>
        <v>0</v>
      </c>
      <c r="N880" s="611">
        <f>+IF(OR($Q880=Parametres!$G$2,$Q880=Parametres!$G$3),I880,C880)</f>
        <v>0</v>
      </c>
      <c r="O880" s="611">
        <f>+IF(OR($Q880=Parametres!$G$2,$Q880=Parametres!$G$3),J880,D880)</f>
        <v>0</v>
      </c>
      <c r="P880" s="611">
        <f>+IF(OR($Q880=Parametres!$G$2,$Q880=Parametres!$G$3),K880,E880)</f>
        <v>0</v>
      </c>
      <c r="Q880" s="610">
        <f t="shared" si="56"/>
        <v>0</v>
      </c>
      <c r="R880" s="609">
        <f t="shared" si="57"/>
        <v>0</v>
      </c>
      <c r="S880" s="610">
        <f t="shared" si="58"/>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59"/>
        <v>0</v>
      </c>
      <c r="M881" s="610">
        <f t="shared" si="51"/>
        <v>0</v>
      </c>
      <c r="N881" s="611">
        <f>+IF(OR($Q881=Parametres!$G$2,$Q881=Parametres!$G$3),I881,C881)</f>
        <v>0</v>
      </c>
      <c r="O881" s="611">
        <f>+IF(OR($Q881=Parametres!$G$2,$Q881=Parametres!$G$3),J881,D881)</f>
        <v>0</v>
      </c>
      <c r="P881" s="611">
        <f>+IF(OR($Q881=Parametres!$G$2,$Q881=Parametres!$G$3),K881,E881)</f>
        <v>0</v>
      </c>
      <c r="Q881" s="610">
        <f t="shared" si="56"/>
        <v>0</v>
      </c>
      <c r="R881" s="609">
        <f t="shared" si="57"/>
        <v>0</v>
      </c>
      <c r="S881" s="610">
        <f t="shared" si="58"/>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59"/>
        <v>0</v>
      </c>
      <c r="M882" s="610">
        <f t="shared" si="51"/>
        <v>0</v>
      </c>
      <c r="N882" s="611">
        <f>+IF(OR($Q882=Parametres!$G$2,$Q882=Parametres!$G$3),I882,C882)</f>
        <v>0</v>
      </c>
      <c r="O882" s="611">
        <f>+IF(OR($Q882=Parametres!$G$2,$Q882=Parametres!$G$3),J882,D882)</f>
        <v>0</v>
      </c>
      <c r="P882" s="611">
        <f>+IF(OR($Q882=Parametres!$G$2,$Q882=Parametres!$G$3),K882,E882)</f>
        <v>0</v>
      </c>
      <c r="Q882" s="610">
        <f t="shared" si="56"/>
        <v>0</v>
      </c>
      <c r="R882" s="609">
        <f t="shared" si="57"/>
        <v>0</v>
      </c>
      <c r="S882" s="610">
        <f t="shared" si="5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59"/>
        <v>0</v>
      </c>
      <c r="M883" s="610">
        <f t="shared" si="51"/>
        <v>0</v>
      </c>
      <c r="N883" s="611">
        <f>+IF(OR($Q883=Parametres!$G$2,$Q883=Parametres!$G$3),I883,C883)</f>
        <v>0</v>
      </c>
      <c r="O883" s="611">
        <f>+IF(OR($Q883=Parametres!$G$2,$Q883=Parametres!$G$3),J883,D883)</f>
        <v>0</v>
      </c>
      <c r="P883" s="611">
        <f>+IF(OR($Q883=Parametres!$G$2,$Q883=Parametres!$G$3),K883,E883)</f>
        <v>0</v>
      </c>
      <c r="Q883" s="610">
        <f t="shared" si="56"/>
        <v>0</v>
      </c>
      <c r="R883" s="609">
        <f t="shared" si="57"/>
        <v>0</v>
      </c>
      <c r="S883" s="610">
        <f t="shared" si="58"/>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59"/>
        <v>0</v>
      </c>
      <c r="M884" s="610">
        <f t="shared" si="51"/>
        <v>0</v>
      </c>
      <c r="N884" s="611">
        <f>+IF(OR($Q884=Parametres!$G$2,$Q884=Parametres!$G$3),I884,C884)</f>
        <v>0</v>
      </c>
      <c r="O884" s="611">
        <f>+IF(OR($Q884=Parametres!$G$2,$Q884=Parametres!$G$3),J884,D884)</f>
        <v>0</v>
      </c>
      <c r="P884" s="611">
        <f>+IF(OR($Q884=Parametres!$G$2,$Q884=Parametres!$G$3),K884,E884)</f>
        <v>0</v>
      </c>
      <c r="Q884" s="610">
        <f t="shared" si="56"/>
        <v>0</v>
      </c>
      <c r="R884" s="609">
        <f t="shared" si="57"/>
        <v>0</v>
      </c>
      <c r="S884" s="610">
        <f t="shared" si="58"/>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59"/>
        <v>0</v>
      </c>
      <c r="M885" s="610">
        <f t="shared" si="51"/>
        <v>0</v>
      </c>
      <c r="N885" s="611">
        <f>+IF(OR($Q885=Parametres!$G$2,$Q885=Parametres!$G$3),I885,C885)</f>
        <v>0</v>
      </c>
      <c r="O885" s="611">
        <f>+IF(OR($Q885=Parametres!$G$2,$Q885=Parametres!$G$3),J885,D885)</f>
        <v>0</v>
      </c>
      <c r="P885" s="611">
        <f>+IF(OR($Q885=Parametres!$G$2,$Q885=Parametres!$G$3),K885,E885)</f>
        <v>0</v>
      </c>
      <c r="Q885" s="610">
        <f t="shared" si="56"/>
        <v>0</v>
      </c>
      <c r="R885" s="609">
        <f t="shared" si="57"/>
        <v>0</v>
      </c>
      <c r="S885" s="610">
        <f t="shared" si="58"/>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59"/>
        <v>0</v>
      </c>
      <c r="M886" s="610">
        <f t="shared" si="51"/>
        <v>0</v>
      </c>
      <c r="N886" s="611">
        <f>+IF(OR($Q886=Parametres!$G$2,$Q886=Parametres!$G$3),I886,C886)</f>
        <v>0</v>
      </c>
      <c r="O886" s="611">
        <f>+IF(OR($Q886=Parametres!$G$2,$Q886=Parametres!$G$3),J886,D886)</f>
        <v>0</v>
      </c>
      <c r="P886" s="611">
        <f>+IF(OR($Q886=Parametres!$G$2,$Q886=Parametres!$G$3),K886,E886)</f>
        <v>0</v>
      </c>
      <c r="Q886" s="610">
        <f t="shared" si="56"/>
        <v>0</v>
      </c>
      <c r="R886" s="609">
        <f t="shared" si="57"/>
        <v>0</v>
      </c>
      <c r="S886" s="610">
        <f t="shared" si="58"/>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59"/>
        <v>0</v>
      </c>
      <c r="M887" s="610">
        <f t="shared" si="51"/>
        <v>0</v>
      </c>
      <c r="N887" s="611">
        <f>+IF(OR($Q887=Parametres!$G$2,$Q887=Parametres!$G$3),I887,C887)</f>
        <v>0</v>
      </c>
      <c r="O887" s="611">
        <f>+IF(OR($Q887=Parametres!$G$2,$Q887=Parametres!$G$3),J887,D887)</f>
        <v>0</v>
      </c>
      <c r="P887" s="611">
        <f>+IF(OR($Q887=Parametres!$G$2,$Q887=Parametres!$G$3),K887,E887)</f>
        <v>0</v>
      </c>
      <c r="Q887" s="610">
        <f t="shared" si="56"/>
        <v>0</v>
      </c>
      <c r="R887" s="609">
        <f t="shared" si="57"/>
        <v>0</v>
      </c>
      <c r="S887" s="610">
        <f t="shared" si="58"/>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59"/>
        <v>0</v>
      </c>
      <c r="M888" s="610">
        <f t="shared" si="51"/>
        <v>0</v>
      </c>
      <c r="N888" s="611">
        <f>+IF(OR($Q888=Parametres!$G$2,$Q888=Parametres!$G$3),I888,C888)</f>
        <v>0</v>
      </c>
      <c r="O888" s="611">
        <f>+IF(OR($Q888=Parametres!$G$2,$Q888=Parametres!$G$3),J888,D888)</f>
        <v>0</v>
      </c>
      <c r="P888" s="611">
        <f>+IF(OR($Q888=Parametres!$G$2,$Q888=Parametres!$G$3),K888,E888)</f>
        <v>0</v>
      </c>
      <c r="Q888" s="610">
        <f t="shared" si="56"/>
        <v>0</v>
      </c>
      <c r="R888" s="609">
        <f t="shared" si="57"/>
        <v>0</v>
      </c>
      <c r="S888" s="610">
        <f t="shared" si="58"/>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59"/>
        <v>0</v>
      </c>
      <c r="M889" s="610">
        <f t="shared" si="51"/>
        <v>0</v>
      </c>
      <c r="N889" s="611">
        <f>+IF(OR($Q889=Parametres!$G$2,$Q889=Parametres!$G$3),I889,C889)</f>
        <v>0</v>
      </c>
      <c r="O889" s="611">
        <f>+IF(OR($Q889=Parametres!$G$2,$Q889=Parametres!$G$3),J889,D889)</f>
        <v>0</v>
      </c>
      <c r="P889" s="611">
        <f>+IF(OR($Q889=Parametres!$G$2,$Q889=Parametres!$G$3),K889,E889)</f>
        <v>0</v>
      </c>
      <c r="Q889" s="610">
        <f t="shared" si="56"/>
        <v>0</v>
      </c>
      <c r="R889" s="609">
        <f t="shared" si="57"/>
        <v>0</v>
      </c>
      <c r="S889" s="610">
        <f t="shared" si="58"/>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59"/>
        <v>0</v>
      </c>
      <c r="M890" s="610">
        <f t="shared" si="51"/>
        <v>0</v>
      </c>
      <c r="N890" s="611">
        <f>+IF(OR($Q890=Parametres!$G$2,$Q890=Parametres!$G$3),I890,C890)</f>
        <v>0</v>
      </c>
      <c r="O890" s="611">
        <f>+IF(OR($Q890=Parametres!$G$2,$Q890=Parametres!$G$3),J890,D890)</f>
        <v>0</v>
      </c>
      <c r="P890" s="611">
        <f>+IF(OR($Q890=Parametres!$G$2,$Q890=Parametres!$G$3),K890,E890)</f>
        <v>0</v>
      </c>
      <c r="Q890" s="610">
        <f t="shared" si="56"/>
        <v>0</v>
      </c>
      <c r="R890" s="609">
        <f t="shared" si="57"/>
        <v>0</v>
      </c>
      <c r="S890" s="610">
        <f t="shared" si="58"/>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59"/>
        <v>0</v>
      </c>
      <c r="M891" s="610">
        <f t="shared" si="51"/>
        <v>0</v>
      </c>
      <c r="N891" s="611">
        <f>+IF(OR($Q891=Parametres!$G$2,$Q891=Parametres!$G$3),I891,C891)</f>
        <v>0</v>
      </c>
      <c r="O891" s="611">
        <f>+IF(OR($Q891=Parametres!$G$2,$Q891=Parametres!$G$3),J891,D891)</f>
        <v>0</v>
      </c>
      <c r="P891" s="611">
        <f>+IF(OR($Q891=Parametres!$G$2,$Q891=Parametres!$G$3),K891,E891)</f>
        <v>0</v>
      </c>
      <c r="Q891" s="610">
        <f t="shared" si="56"/>
        <v>0</v>
      </c>
      <c r="R891" s="609">
        <f t="shared" si="57"/>
        <v>0</v>
      </c>
      <c r="S891" s="610">
        <f t="shared" si="58"/>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59"/>
        <v>0</v>
      </c>
      <c r="M892" s="610">
        <f t="shared" si="51"/>
        <v>0</v>
      </c>
      <c r="N892" s="611">
        <f>+IF(OR($Q892=Parametres!$G$2,$Q892=Parametres!$G$3),I892,C892)</f>
        <v>0</v>
      </c>
      <c r="O892" s="611">
        <f>+IF(OR($Q892=Parametres!$G$2,$Q892=Parametres!$G$3),J892,D892)</f>
        <v>0</v>
      </c>
      <c r="P892" s="611">
        <f>+IF(OR($Q892=Parametres!$G$2,$Q892=Parametres!$G$3),K892,E892)</f>
        <v>0</v>
      </c>
      <c r="Q892" s="610">
        <f t="shared" si="56"/>
        <v>0</v>
      </c>
      <c r="R892" s="609">
        <f t="shared" si="57"/>
        <v>0</v>
      </c>
      <c r="S892" s="610">
        <f t="shared" si="5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59"/>
        <v>0</v>
      </c>
      <c r="M893" s="610">
        <f t="shared" si="51"/>
        <v>0</v>
      </c>
      <c r="N893" s="611">
        <f>+IF(OR($Q893=Parametres!$G$2,$Q893=Parametres!$G$3),I893,C893)</f>
        <v>0</v>
      </c>
      <c r="O893" s="611">
        <f>+IF(OR($Q893=Parametres!$G$2,$Q893=Parametres!$G$3),J893,D893)</f>
        <v>0</v>
      </c>
      <c r="P893" s="611">
        <f>+IF(OR($Q893=Parametres!$G$2,$Q893=Parametres!$G$3),K893,E893)</f>
        <v>0</v>
      </c>
      <c r="Q893" s="610">
        <f t="shared" si="56"/>
        <v>0</v>
      </c>
      <c r="R893" s="609">
        <f t="shared" si="57"/>
        <v>0</v>
      </c>
      <c r="S893" s="610">
        <f t="shared" si="58"/>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59"/>
        <v>0</v>
      </c>
      <c r="M894" s="610">
        <f t="shared" si="51"/>
        <v>0</v>
      </c>
      <c r="N894" s="611">
        <f>+IF(OR($Q894=Parametres!$G$2,$Q894=Parametres!$G$3),I894,C894)</f>
        <v>0</v>
      </c>
      <c r="O894" s="611">
        <f>+IF(OR($Q894=Parametres!$G$2,$Q894=Parametres!$G$3),J894,D894)</f>
        <v>0</v>
      </c>
      <c r="P894" s="611">
        <f>+IF(OR($Q894=Parametres!$G$2,$Q894=Parametres!$G$3),K894,E894)</f>
        <v>0</v>
      </c>
      <c r="Q894" s="610">
        <f t="shared" si="56"/>
        <v>0</v>
      </c>
      <c r="R894" s="609">
        <f t="shared" si="57"/>
        <v>0</v>
      </c>
      <c r="S894" s="610">
        <f t="shared" si="58"/>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59"/>
        <v>0</v>
      </c>
      <c r="M895" s="610">
        <f t="shared" si="51"/>
        <v>0</v>
      </c>
      <c r="N895" s="611">
        <f>+IF(OR($Q895=Parametres!$G$2,$Q895=Parametres!$G$3),I895,C895)</f>
        <v>0</v>
      </c>
      <c r="O895" s="611">
        <f>+IF(OR($Q895=Parametres!$G$2,$Q895=Parametres!$G$3),J895,D895)</f>
        <v>0</v>
      </c>
      <c r="P895" s="611">
        <f>+IF(OR($Q895=Parametres!$G$2,$Q895=Parametres!$G$3),K895,E895)</f>
        <v>0</v>
      </c>
      <c r="Q895" s="610">
        <f t="shared" si="56"/>
        <v>0</v>
      </c>
      <c r="R895" s="609">
        <f t="shared" si="57"/>
        <v>0</v>
      </c>
      <c r="S895" s="610">
        <f t="shared" si="58"/>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59"/>
        <v>0</v>
      </c>
      <c r="M896" s="610">
        <f t="shared" si="51"/>
        <v>0</v>
      </c>
      <c r="N896" s="611">
        <f>+IF(OR($Q896=Parametres!$G$2,$Q896=Parametres!$G$3),I896,C896)</f>
        <v>0</v>
      </c>
      <c r="O896" s="611">
        <f>+IF(OR($Q896=Parametres!$G$2,$Q896=Parametres!$G$3),J896,D896)</f>
        <v>0</v>
      </c>
      <c r="P896" s="611">
        <f>+IF(OR($Q896=Parametres!$G$2,$Q896=Parametres!$G$3),K896,E896)</f>
        <v>0</v>
      </c>
      <c r="Q896" s="610">
        <f t="shared" si="56"/>
        <v>0</v>
      </c>
      <c r="R896" s="609">
        <f t="shared" si="57"/>
        <v>0</v>
      </c>
      <c r="S896" s="610">
        <f t="shared" si="58"/>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59"/>
        <v>0</v>
      </c>
      <c r="M897" s="610">
        <f t="shared" si="51"/>
        <v>0</v>
      </c>
      <c r="N897" s="611">
        <f>+IF(OR($Q897=Parametres!$G$2,$Q897=Parametres!$G$3),I897,C897)</f>
        <v>0</v>
      </c>
      <c r="O897" s="611">
        <f>+IF(OR($Q897=Parametres!$G$2,$Q897=Parametres!$G$3),J897,D897)</f>
        <v>0</v>
      </c>
      <c r="P897" s="611">
        <f>+IF(OR($Q897=Parametres!$G$2,$Q897=Parametres!$G$3),K897,E897)</f>
        <v>0</v>
      </c>
      <c r="Q897" s="610">
        <f t="shared" si="56"/>
        <v>0</v>
      </c>
      <c r="R897" s="609">
        <f t="shared" si="57"/>
        <v>0</v>
      </c>
      <c r="S897" s="610">
        <f t="shared" si="58"/>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59"/>
        <v>0</v>
      </c>
      <c r="M898" s="610">
        <f t="shared" si="51"/>
        <v>0</v>
      </c>
      <c r="N898" s="611">
        <f>+IF(OR($Q898=Parametres!$G$2,$Q898=Parametres!$G$3),I898,C898)</f>
        <v>0</v>
      </c>
      <c r="O898" s="611">
        <f>+IF(OR($Q898=Parametres!$G$2,$Q898=Parametres!$G$3),J898,D898)</f>
        <v>0</v>
      </c>
      <c r="P898" s="611">
        <f>+IF(OR($Q898=Parametres!$G$2,$Q898=Parametres!$G$3),K898,E898)</f>
        <v>0</v>
      </c>
      <c r="Q898" s="610">
        <f t="shared" ref="Q898:Q961" si="60">+F898</f>
        <v>0</v>
      </c>
      <c r="R898" s="609">
        <f t="shared" ref="R898:R961" si="61">+G898</f>
        <v>0</v>
      </c>
      <c r="S898" s="610">
        <f t="shared" ref="S898:S961" si="62">+H898</f>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63">TEXT(B899,0)</f>
        <v>0</v>
      </c>
      <c r="M899" s="610">
        <f t="shared" si="51"/>
        <v>0</v>
      </c>
      <c r="N899" s="611">
        <f>+IF(OR($Q899=Parametres!$G$2,$Q899=Parametres!$G$3),I899,C899)</f>
        <v>0</v>
      </c>
      <c r="O899" s="611">
        <f>+IF(OR($Q899=Parametres!$G$2,$Q899=Parametres!$G$3),J899,D899)</f>
        <v>0</v>
      </c>
      <c r="P899" s="611">
        <f>+IF(OR($Q899=Parametres!$G$2,$Q899=Parametres!$G$3),K899,E899)</f>
        <v>0</v>
      </c>
      <c r="Q899" s="610">
        <f t="shared" si="60"/>
        <v>0</v>
      </c>
      <c r="R899" s="609">
        <f t="shared" si="61"/>
        <v>0</v>
      </c>
      <c r="S899" s="610">
        <f t="shared" si="62"/>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63"/>
        <v>0</v>
      </c>
      <c r="M900" s="610">
        <f t="shared" si="51"/>
        <v>0</v>
      </c>
      <c r="N900" s="611">
        <f>+IF(OR($Q900=Parametres!$G$2,$Q900=Parametres!$G$3),I900,C900)</f>
        <v>0</v>
      </c>
      <c r="O900" s="611">
        <f>+IF(OR($Q900=Parametres!$G$2,$Q900=Parametres!$G$3),J900,D900)</f>
        <v>0</v>
      </c>
      <c r="P900" s="611">
        <f>+IF(OR($Q900=Parametres!$G$2,$Q900=Parametres!$G$3),K900,E900)</f>
        <v>0</v>
      </c>
      <c r="Q900" s="610">
        <f t="shared" si="60"/>
        <v>0</v>
      </c>
      <c r="R900" s="609">
        <f t="shared" si="61"/>
        <v>0</v>
      </c>
      <c r="S900" s="610">
        <f t="shared" si="62"/>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63"/>
        <v>0</v>
      </c>
      <c r="M901" s="610">
        <f t="shared" si="51"/>
        <v>0</v>
      </c>
      <c r="N901" s="611">
        <f>+IF(OR($Q901=Parametres!$G$2,$Q901=Parametres!$G$3),I901,C901)</f>
        <v>0</v>
      </c>
      <c r="O901" s="611">
        <f>+IF(OR($Q901=Parametres!$G$2,$Q901=Parametres!$G$3),J901,D901)</f>
        <v>0</v>
      </c>
      <c r="P901" s="611">
        <f>+IF(OR($Q901=Parametres!$G$2,$Q901=Parametres!$G$3),K901,E901)</f>
        <v>0</v>
      </c>
      <c r="Q901" s="610">
        <f t="shared" si="60"/>
        <v>0</v>
      </c>
      <c r="R901" s="609">
        <f t="shared" si="61"/>
        <v>0</v>
      </c>
      <c r="S901" s="610">
        <f t="shared" si="62"/>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63"/>
        <v>0</v>
      </c>
      <c r="M902" s="610">
        <f t="shared" si="51"/>
        <v>0</v>
      </c>
      <c r="N902" s="611">
        <f>+IF(OR($Q902=Parametres!$G$2,$Q902=Parametres!$G$3),I902,C902)</f>
        <v>0</v>
      </c>
      <c r="O902" s="611">
        <f>+IF(OR($Q902=Parametres!$G$2,$Q902=Parametres!$G$3),J902,D902)</f>
        <v>0</v>
      </c>
      <c r="P902" s="611">
        <f>+IF(OR($Q902=Parametres!$G$2,$Q902=Parametres!$G$3),K902,E902)</f>
        <v>0</v>
      </c>
      <c r="Q902" s="610">
        <f t="shared" si="60"/>
        <v>0</v>
      </c>
      <c r="R902" s="609">
        <f t="shared" si="61"/>
        <v>0</v>
      </c>
      <c r="S902" s="610">
        <f t="shared" si="62"/>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63"/>
        <v>0</v>
      </c>
      <c r="M903" s="610">
        <f t="shared" si="51"/>
        <v>0</v>
      </c>
      <c r="N903" s="611">
        <f>+IF(OR($Q903=Parametres!$G$2,$Q903=Parametres!$G$3),I903,C903)</f>
        <v>0</v>
      </c>
      <c r="O903" s="611">
        <f>+IF(OR($Q903=Parametres!$G$2,$Q903=Parametres!$G$3),J903,D903)</f>
        <v>0</v>
      </c>
      <c r="P903" s="611">
        <f>+IF(OR($Q903=Parametres!$G$2,$Q903=Parametres!$G$3),K903,E903)</f>
        <v>0</v>
      </c>
      <c r="Q903" s="610">
        <f t="shared" si="60"/>
        <v>0</v>
      </c>
      <c r="R903" s="609">
        <f t="shared" si="61"/>
        <v>0</v>
      </c>
      <c r="S903" s="610">
        <f t="shared" si="62"/>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63"/>
        <v>0</v>
      </c>
      <c r="M904" s="610">
        <f t="shared" si="51"/>
        <v>0</v>
      </c>
      <c r="N904" s="611">
        <f>+IF(OR($Q904=Parametres!$G$2,$Q904=Parametres!$G$3),I904,C904)</f>
        <v>0</v>
      </c>
      <c r="O904" s="611">
        <f>+IF(OR($Q904=Parametres!$G$2,$Q904=Parametres!$G$3),J904,D904)</f>
        <v>0</v>
      </c>
      <c r="P904" s="611">
        <f>+IF(OR($Q904=Parametres!$G$2,$Q904=Parametres!$G$3),K904,E904)</f>
        <v>0</v>
      </c>
      <c r="Q904" s="610">
        <f t="shared" si="60"/>
        <v>0</v>
      </c>
      <c r="R904" s="609">
        <f t="shared" si="61"/>
        <v>0</v>
      </c>
      <c r="S904" s="610">
        <f t="shared" si="62"/>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63"/>
        <v>0</v>
      </c>
      <c r="M905" s="610">
        <f t="shared" si="51"/>
        <v>0</v>
      </c>
      <c r="N905" s="611">
        <f>+IF(OR($Q905=Parametres!$G$2,$Q905=Parametres!$G$3),I905,C905)</f>
        <v>0</v>
      </c>
      <c r="O905" s="611">
        <f>+IF(OR($Q905=Parametres!$G$2,$Q905=Parametres!$G$3),J905,D905)</f>
        <v>0</v>
      </c>
      <c r="P905" s="611">
        <f>+IF(OR($Q905=Parametres!$G$2,$Q905=Parametres!$G$3),K905,E905)</f>
        <v>0</v>
      </c>
      <c r="Q905" s="610">
        <f t="shared" si="60"/>
        <v>0</v>
      </c>
      <c r="R905" s="609">
        <f t="shared" si="61"/>
        <v>0</v>
      </c>
      <c r="S905" s="610">
        <f t="shared" si="6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63"/>
        <v>0</v>
      </c>
      <c r="M906" s="610">
        <f t="shared" si="51"/>
        <v>0</v>
      </c>
      <c r="N906" s="611">
        <f>+IF(OR($Q906=Parametres!$G$2,$Q906=Parametres!$G$3),I906,C906)</f>
        <v>0</v>
      </c>
      <c r="O906" s="611">
        <f>+IF(OR($Q906=Parametres!$G$2,$Q906=Parametres!$G$3),J906,D906)</f>
        <v>0</v>
      </c>
      <c r="P906" s="611">
        <f>+IF(OR($Q906=Parametres!$G$2,$Q906=Parametres!$G$3),K906,E906)</f>
        <v>0</v>
      </c>
      <c r="Q906" s="610">
        <f t="shared" si="60"/>
        <v>0</v>
      </c>
      <c r="R906" s="609">
        <f t="shared" si="61"/>
        <v>0</v>
      </c>
      <c r="S906" s="610">
        <f t="shared" si="62"/>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63"/>
        <v>0</v>
      </c>
      <c r="M907" s="610">
        <f t="shared" si="51"/>
        <v>0</v>
      </c>
      <c r="N907" s="611">
        <f>+IF(OR($Q907=Parametres!$G$2,$Q907=Parametres!$G$3),I907,C907)</f>
        <v>0</v>
      </c>
      <c r="O907" s="611">
        <f>+IF(OR($Q907=Parametres!$G$2,$Q907=Parametres!$G$3),J907,D907)</f>
        <v>0</v>
      </c>
      <c r="P907" s="611">
        <f>+IF(OR($Q907=Parametres!$G$2,$Q907=Parametres!$G$3),K907,E907)</f>
        <v>0</v>
      </c>
      <c r="Q907" s="610">
        <f t="shared" si="60"/>
        <v>0</v>
      </c>
      <c r="R907" s="609">
        <f t="shared" si="61"/>
        <v>0</v>
      </c>
      <c r="S907" s="610">
        <f t="shared" si="62"/>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63"/>
        <v>0</v>
      </c>
      <c r="M908" s="610">
        <f t="shared" si="51"/>
        <v>0</v>
      </c>
      <c r="N908" s="611">
        <f>+IF(OR($Q908=Parametres!$G$2,$Q908=Parametres!$G$3),I908,C908)</f>
        <v>0</v>
      </c>
      <c r="O908" s="611">
        <f>+IF(OR($Q908=Parametres!$G$2,$Q908=Parametres!$G$3),J908,D908)</f>
        <v>0</v>
      </c>
      <c r="P908" s="611">
        <f>+IF(OR($Q908=Parametres!$G$2,$Q908=Parametres!$G$3),K908,E908)</f>
        <v>0</v>
      </c>
      <c r="Q908" s="610">
        <f t="shared" si="60"/>
        <v>0</v>
      </c>
      <c r="R908" s="609">
        <f t="shared" si="61"/>
        <v>0</v>
      </c>
      <c r="S908" s="610">
        <f t="shared" si="62"/>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63"/>
        <v>0</v>
      </c>
      <c r="M909" s="610">
        <f t="shared" si="51"/>
        <v>0</v>
      </c>
      <c r="N909" s="611">
        <f>+IF(OR($Q909=Parametres!$G$2,$Q909=Parametres!$G$3),I909,C909)</f>
        <v>0</v>
      </c>
      <c r="O909" s="611">
        <f>+IF(OR($Q909=Parametres!$G$2,$Q909=Parametres!$G$3),J909,D909)</f>
        <v>0</v>
      </c>
      <c r="P909" s="611">
        <f>+IF(OR($Q909=Parametres!$G$2,$Q909=Parametres!$G$3),K909,E909)</f>
        <v>0</v>
      </c>
      <c r="Q909" s="610">
        <f t="shared" si="60"/>
        <v>0</v>
      </c>
      <c r="R909" s="609">
        <f t="shared" si="61"/>
        <v>0</v>
      </c>
      <c r="S909" s="610">
        <f t="shared" si="62"/>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63"/>
        <v>0</v>
      </c>
      <c r="M910" s="610">
        <f t="shared" si="51"/>
        <v>0</v>
      </c>
      <c r="N910" s="611">
        <f>+IF(OR($Q910=Parametres!$G$2,$Q910=Parametres!$G$3),I910,C910)</f>
        <v>0</v>
      </c>
      <c r="O910" s="611">
        <f>+IF(OR($Q910=Parametres!$G$2,$Q910=Parametres!$G$3),J910,D910)</f>
        <v>0</v>
      </c>
      <c r="P910" s="611">
        <f>+IF(OR($Q910=Parametres!$G$2,$Q910=Parametres!$G$3),K910,E910)</f>
        <v>0</v>
      </c>
      <c r="Q910" s="610">
        <f t="shared" si="60"/>
        <v>0</v>
      </c>
      <c r="R910" s="609">
        <f t="shared" si="61"/>
        <v>0</v>
      </c>
      <c r="S910" s="610">
        <f t="shared" si="62"/>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63"/>
        <v>0</v>
      </c>
      <c r="M911" s="610">
        <f t="shared" si="51"/>
        <v>0</v>
      </c>
      <c r="N911" s="611">
        <f>+IF(OR($Q911=Parametres!$G$2,$Q911=Parametres!$G$3),I911,C911)</f>
        <v>0</v>
      </c>
      <c r="O911" s="611">
        <f>+IF(OR($Q911=Parametres!$G$2,$Q911=Parametres!$G$3),J911,D911)</f>
        <v>0</v>
      </c>
      <c r="P911" s="611">
        <f>+IF(OR($Q911=Parametres!$G$2,$Q911=Parametres!$G$3),K911,E911)</f>
        <v>0</v>
      </c>
      <c r="Q911" s="610">
        <f t="shared" si="60"/>
        <v>0</v>
      </c>
      <c r="R911" s="609">
        <f t="shared" si="61"/>
        <v>0</v>
      </c>
      <c r="S911" s="610">
        <f t="shared" si="62"/>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63"/>
        <v>0</v>
      </c>
      <c r="M912" s="610">
        <f t="shared" si="51"/>
        <v>0</v>
      </c>
      <c r="N912" s="611">
        <f>+IF(OR($Q912=Parametres!$G$2,$Q912=Parametres!$G$3),I912,C912)</f>
        <v>0</v>
      </c>
      <c r="O912" s="611">
        <f>+IF(OR($Q912=Parametres!$G$2,$Q912=Parametres!$G$3),J912,D912)</f>
        <v>0</v>
      </c>
      <c r="P912" s="611">
        <f>+IF(OR($Q912=Parametres!$G$2,$Q912=Parametres!$G$3),K912,E912)</f>
        <v>0</v>
      </c>
      <c r="Q912" s="610">
        <f t="shared" si="60"/>
        <v>0</v>
      </c>
      <c r="R912" s="609">
        <f t="shared" si="61"/>
        <v>0</v>
      </c>
      <c r="S912" s="610">
        <f t="shared" si="62"/>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63"/>
        <v>0</v>
      </c>
      <c r="M913" s="610">
        <f t="shared" si="51"/>
        <v>0</v>
      </c>
      <c r="N913" s="611">
        <f>+IF(OR($Q913=Parametres!$G$2,$Q913=Parametres!$G$3),I913,C913)</f>
        <v>0</v>
      </c>
      <c r="O913" s="611">
        <f>+IF(OR($Q913=Parametres!$G$2,$Q913=Parametres!$G$3),J913,D913)</f>
        <v>0</v>
      </c>
      <c r="P913" s="611">
        <f>+IF(OR($Q913=Parametres!$G$2,$Q913=Parametres!$G$3),K913,E913)</f>
        <v>0</v>
      </c>
      <c r="Q913" s="610">
        <f t="shared" si="60"/>
        <v>0</v>
      </c>
      <c r="R913" s="609">
        <f t="shared" si="61"/>
        <v>0</v>
      </c>
      <c r="S913" s="610">
        <f t="shared" si="62"/>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63"/>
        <v>0</v>
      </c>
      <c r="M914" s="610">
        <f t="shared" si="51"/>
        <v>0</v>
      </c>
      <c r="N914" s="611">
        <f>+IF(OR($Q914=Parametres!$G$2,$Q914=Parametres!$G$3),I914,C914)</f>
        <v>0</v>
      </c>
      <c r="O914" s="611">
        <f>+IF(OR($Q914=Parametres!$G$2,$Q914=Parametres!$G$3),J914,D914)</f>
        <v>0</v>
      </c>
      <c r="P914" s="611">
        <f>+IF(OR($Q914=Parametres!$G$2,$Q914=Parametres!$G$3),K914,E914)</f>
        <v>0</v>
      </c>
      <c r="Q914" s="610">
        <f t="shared" si="60"/>
        <v>0</v>
      </c>
      <c r="R914" s="609">
        <f t="shared" si="61"/>
        <v>0</v>
      </c>
      <c r="S914" s="610">
        <f t="shared" si="62"/>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63"/>
        <v>0</v>
      </c>
      <c r="M915" s="610">
        <f t="shared" si="51"/>
        <v>0</v>
      </c>
      <c r="N915" s="611">
        <f>+IF(OR($Q915=Parametres!$G$2,$Q915=Parametres!$G$3),I915,C915)</f>
        <v>0</v>
      </c>
      <c r="O915" s="611">
        <f>+IF(OR($Q915=Parametres!$G$2,$Q915=Parametres!$G$3),J915,D915)</f>
        <v>0</v>
      </c>
      <c r="P915" s="611">
        <f>+IF(OR($Q915=Parametres!$G$2,$Q915=Parametres!$G$3),K915,E915)</f>
        <v>0</v>
      </c>
      <c r="Q915" s="610">
        <f t="shared" si="60"/>
        <v>0</v>
      </c>
      <c r="R915" s="609">
        <f t="shared" si="61"/>
        <v>0</v>
      </c>
      <c r="S915" s="610">
        <f t="shared" si="6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63"/>
        <v>0</v>
      </c>
      <c r="M916" s="610">
        <f t="shared" si="51"/>
        <v>0</v>
      </c>
      <c r="N916" s="611">
        <f>+IF(OR($Q916=Parametres!$G$2,$Q916=Parametres!$G$3),I916,C916)</f>
        <v>0</v>
      </c>
      <c r="O916" s="611">
        <f>+IF(OR($Q916=Parametres!$G$2,$Q916=Parametres!$G$3),J916,D916)</f>
        <v>0</v>
      </c>
      <c r="P916" s="611">
        <f>+IF(OR($Q916=Parametres!$G$2,$Q916=Parametres!$G$3),K916,E916)</f>
        <v>0</v>
      </c>
      <c r="Q916" s="610">
        <f t="shared" si="60"/>
        <v>0</v>
      </c>
      <c r="R916" s="609">
        <f t="shared" si="61"/>
        <v>0</v>
      </c>
      <c r="S916" s="610">
        <f t="shared" si="62"/>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63"/>
        <v>0</v>
      </c>
      <c r="M917" s="610">
        <f t="shared" si="51"/>
        <v>0</v>
      </c>
      <c r="N917" s="611">
        <f>+IF(OR($Q917=Parametres!$G$2,$Q917=Parametres!$G$3),I917,C917)</f>
        <v>0</v>
      </c>
      <c r="O917" s="611">
        <f>+IF(OR($Q917=Parametres!$G$2,$Q917=Parametres!$G$3),J917,D917)</f>
        <v>0</v>
      </c>
      <c r="P917" s="611">
        <f>+IF(OR($Q917=Parametres!$G$2,$Q917=Parametres!$G$3),K917,E917)</f>
        <v>0</v>
      </c>
      <c r="Q917" s="610">
        <f t="shared" si="60"/>
        <v>0</v>
      </c>
      <c r="R917" s="609">
        <f t="shared" si="61"/>
        <v>0</v>
      </c>
      <c r="S917" s="610">
        <f t="shared" si="62"/>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63"/>
        <v>0</v>
      </c>
      <c r="M918" s="610">
        <f t="shared" si="51"/>
        <v>0</v>
      </c>
      <c r="N918" s="611">
        <f>+IF(OR($Q918=Parametres!$G$2,$Q918=Parametres!$G$3),I918,C918)</f>
        <v>0</v>
      </c>
      <c r="O918" s="611">
        <f>+IF(OR($Q918=Parametres!$G$2,$Q918=Parametres!$G$3),J918,D918)</f>
        <v>0</v>
      </c>
      <c r="P918" s="611">
        <f>+IF(OR($Q918=Parametres!$G$2,$Q918=Parametres!$G$3),K918,E918)</f>
        <v>0</v>
      </c>
      <c r="Q918" s="610">
        <f t="shared" si="60"/>
        <v>0</v>
      </c>
      <c r="R918" s="609">
        <f t="shared" si="61"/>
        <v>0</v>
      </c>
      <c r="S918" s="610">
        <f t="shared" si="62"/>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63"/>
        <v>0</v>
      </c>
      <c r="M919" s="610">
        <f t="shared" si="51"/>
        <v>0</v>
      </c>
      <c r="N919" s="611">
        <f>+IF(OR($Q919=Parametres!$G$2,$Q919=Parametres!$G$3),I919,C919)</f>
        <v>0</v>
      </c>
      <c r="O919" s="611">
        <f>+IF(OR($Q919=Parametres!$G$2,$Q919=Parametres!$G$3),J919,D919)</f>
        <v>0</v>
      </c>
      <c r="P919" s="611">
        <f>+IF(OR($Q919=Parametres!$G$2,$Q919=Parametres!$G$3),K919,E919)</f>
        <v>0</v>
      </c>
      <c r="Q919" s="610">
        <f t="shared" si="60"/>
        <v>0</v>
      </c>
      <c r="R919" s="609">
        <f t="shared" si="61"/>
        <v>0</v>
      </c>
      <c r="S919" s="610">
        <f t="shared" si="62"/>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63"/>
        <v>0</v>
      </c>
      <c r="M920" s="610">
        <f t="shared" si="51"/>
        <v>0</v>
      </c>
      <c r="N920" s="611">
        <f>+IF(OR($Q920=Parametres!$G$2,$Q920=Parametres!$G$3),I920,C920)</f>
        <v>0</v>
      </c>
      <c r="O920" s="611">
        <f>+IF(OR($Q920=Parametres!$G$2,$Q920=Parametres!$G$3),J920,D920)</f>
        <v>0</v>
      </c>
      <c r="P920" s="611">
        <f>+IF(OR($Q920=Parametres!$G$2,$Q920=Parametres!$G$3),K920,E920)</f>
        <v>0</v>
      </c>
      <c r="Q920" s="610">
        <f t="shared" si="60"/>
        <v>0</v>
      </c>
      <c r="R920" s="609">
        <f t="shared" si="61"/>
        <v>0</v>
      </c>
      <c r="S920" s="610">
        <f t="shared" si="62"/>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63"/>
        <v>0</v>
      </c>
      <c r="M921" s="610">
        <f t="shared" si="51"/>
        <v>0</v>
      </c>
      <c r="N921" s="611">
        <f>+IF(OR($Q921=Parametres!$G$2,$Q921=Parametres!$G$3),I921,C921)</f>
        <v>0</v>
      </c>
      <c r="O921" s="611">
        <f>+IF(OR($Q921=Parametres!$G$2,$Q921=Parametres!$G$3),J921,D921)</f>
        <v>0</v>
      </c>
      <c r="P921" s="611">
        <f>+IF(OR($Q921=Parametres!$G$2,$Q921=Parametres!$G$3),K921,E921)</f>
        <v>0</v>
      </c>
      <c r="Q921" s="610">
        <f t="shared" si="60"/>
        <v>0</v>
      </c>
      <c r="R921" s="609">
        <f t="shared" si="61"/>
        <v>0</v>
      </c>
      <c r="S921" s="610">
        <f t="shared" si="62"/>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63"/>
        <v>0</v>
      </c>
      <c r="M922" s="610">
        <f t="shared" si="51"/>
        <v>0</v>
      </c>
      <c r="N922" s="611">
        <f>+IF(OR($Q922=Parametres!$G$2,$Q922=Parametres!$G$3),I922,C922)</f>
        <v>0</v>
      </c>
      <c r="O922" s="611">
        <f>+IF(OR($Q922=Parametres!$G$2,$Q922=Parametres!$G$3),J922,D922)</f>
        <v>0</v>
      </c>
      <c r="P922" s="611">
        <f>+IF(OR($Q922=Parametres!$G$2,$Q922=Parametres!$G$3),K922,E922)</f>
        <v>0</v>
      </c>
      <c r="Q922" s="610">
        <f t="shared" si="60"/>
        <v>0</v>
      </c>
      <c r="R922" s="609">
        <f t="shared" si="61"/>
        <v>0</v>
      </c>
      <c r="S922" s="610">
        <f t="shared" si="62"/>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63"/>
        <v>0</v>
      </c>
      <c r="M923" s="610">
        <f t="shared" si="51"/>
        <v>0</v>
      </c>
      <c r="N923" s="611">
        <f>+IF(OR($Q923=Parametres!$G$2,$Q923=Parametres!$G$3),I923,C923)</f>
        <v>0</v>
      </c>
      <c r="O923" s="611">
        <f>+IF(OR($Q923=Parametres!$G$2,$Q923=Parametres!$G$3),J923,D923)</f>
        <v>0</v>
      </c>
      <c r="P923" s="611">
        <f>+IF(OR($Q923=Parametres!$G$2,$Q923=Parametres!$G$3),K923,E923)</f>
        <v>0</v>
      </c>
      <c r="Q923" s="610">
        <f t="shared" si="60"/>
        <v>0</v>
      </c>
      <c r="R923" s="609">
        <f t="shared" si="61"/>
        <v>0</v>
      </c>
      <c r="S923" s="610">
        <f t="shared" si="62"/>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63"/>
        <v>0</v>
      </c>
      <c r="M924" s="610">
        <f t="shared" si="51"/>
        <v>0</v>
      </c>
      <c r="N924" s="611">
        <f>+IF(OR($Q924=Parametres!$G$2,$Q924=Parametres!$G$3),I924,C924)</f>
        <v>0</v>
      </c>
      <c r="O924" s="611">
        <f>+IF(OR($Q924=Parametres!$G$2,$Q924=Parametres!$G$3),J924,D924)</f>
        <v>0</v>
      </c>
      <c r="P924" s="611">
        <f>+IF(OR($Q924=Parametres!$G$2,$Q924=Parametres!$G$3),K924,E924)</f>
        <v>0</v>
      </c>
      <c r="Q924" s="610">
        <f t="shared" si="60"/>
        <v>0</v>
      </c>
      <c r="R924" s="609">
        <f t="shared" si="61"/>
        <v>0</v>
      </c>
      <c r="S924" s="610">
        <f t="shared" si="62"/>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63"/>
        <v>0</v>
      </c>
      <c r="M925" s="610">
        <f t="shared" si="51"/>
        <v>0</v>
      </c>
      <c r="N925" s="611">
        <f>+IF(OR($Q925=Parametres!$G$2,$Q925=Parametres!$G$3),I925,C925)</f>
        <v>0</v>
      </c>
      <c r="O925" s="611">
        <f>+IF(OR($Q925=Parametres!$G$2,$Q925=Parametres!$G$3),J925,D925)</f>
        <v>0</v>
      </c>
      <c r="P925" s="611">
        <f>+IF(OR($Q925=Parametres!$G$2,$Q925=Parametres!$G$3),K925,E925)</f>
        <v>0</v>
      </c>
      <c r="Q925" s="610">
        <f t="shared" si="60"/>
        <v>0</v>
      </c>
      <c r="R925" s="609">
        <f t="shared" si="61"/>
        <v>0</v>
      </c>
      <c r="S925" s="610">
        <f t="shared" si="6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63"/>
        <v>0</v>
      </c>
      <c r="M926" s="610">
        <f t="shared" si="51"/>
        <v>0</v>
      </c>
      <c r="N926" s="611">
        <f>+IF(OR($Q926=Parametres!$G$2,$Q926=Parametres!$G$3),I926,C926)</f>
        <v>0</v>
      </c>
      <c r="O926" s="611">
        <f>+IF(OR($Q926=Parametres!$G$2,$Q926=Parametres!$G$3),J926,D926)</f>
        <v>0</v>
      </c>
      <c r="P926" s="611">
        <f>+IF(OR($Q926=Parametres!$G$2,$Q926=Parametres!$G$3),K926,E926)</f>
        <v>0</v>
      </c>
      <c r="Q926" s="610">
        <f t="shared" si="60"/>
        <v>0</v>
      </c>
      <c r="R926" s="609">
        <f t="shared" si="61"/>
        <v>0</v>
      </c>
      <c r="S926" s="610">
        <f t="shared" si="62"/>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63"/>
        <v>0</v>
      </c>
      <c r="M927" s="610">
        <f t="shared" si="51"/>
        <v>0</v>
      </c>
      <c r="N927" s="611">
        <f>+IF(OR($Q927=Parametres!$G$2,$Q927=Parametres!$G$3),I927,C927)</f>
        <v>0</v>
      </c>
      <c r="O927" s="611">
        <f>+IF(OR($Q927=Parametres!$G$2,$Q927=Parametres!$G$3),J927,D927)</f>
        <v>0</v>
      </c>
      <c r="P927" s="611">
        <f>+IF(OR($Q927=Parametres!$G$2,$Q927=Parametres!$G$3),K927,E927)</f>
        <v>0</v>
      </c>
      <c r="Q927" s="610">
        <f t="shared" si="60"/>
        <v>0</v>
      </c>
      <c r="R927" s="609">
        <f t="shared" si="61"/>
        <v>0</v>
      </c>
      <c r="S927" s="610">
        <f t="shared" si="62"/>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63"/>
        <v>0</v>
      </c>
      <c r="M928" s="610">
        <f t="shared" si="51"/>
        <v>0</v>
      </c>
      <c r="N928" s="611">
        <f>+IF(OR($Q928=Parametres!$G$2,$Q928=Parametres!$G$3),I928,C928)</f>
        <v>0</v>
      </c>
      <c r="O928" s="611">
        <f>+IF(OR($Q928=Parametres!$G$2,$Q928=Parametres!$G$3),J928,D928)</f>
        <v>0</v>
      </c>
      <c r="P928" s="611">
        <f>+IF(OR($Q928=Parametres!$G$2,$Q928=Parametres!$G$3),K928,E928)</f>
        <v>0</v>
      </c>
      <c r="Q928" s="610">
        <f t="shared" si="60"/>
        <v>0</v>
      </c>
      <c r="R928" s="609">
        <f t="shared" si="61"/>
        <v>0</v>
      </c>
      <c r="S928" s="610">
        <f t="shared" si="62"/>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63"/>
        <v>0</v>
      </c>
      <c r="M929" s="610">
        <f t="shared" si="51"/>
        <v>0</v>
      </c>
      <c r="N929" s="611">
        <f>+IF(OR($Q929=Parametres!$G$2,$Q929=Parametres!$G$3),I929,C929)</f>
        <v>0</v>
      </c>
      <c r="O929" s="611">
        <f>+IF(OR($Q929=Parametres!$G$2,$Q929=Parametres!$G$3),J929,D929)</f>
        <v>0</v>
      </c>
      <c r="P929" s="611">
        <f>+IF(OR($Q929=Parametres!$G$2,$Q929=Parametres!$G$3),K929,E929)</f>
        <v>0</v>
      </c>
      <c r="Q929" s="610">
        <f t="shared" si="60"/>
        <v>0</v>
      </c>
      <c r="R929" s="609">
        <f t="shared" si="61"/>
        <v>0</v>
      </c>
      <c r="S929" s="610">
        <f t="shared" si="62"/>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63"/>
        <v>0</v>
      </c>
      <c r="M930" s="610">
        <f t="shared" si="51"/>
        <v>0</v>
      </c>
      <c r="N930" s="611">
        <f>+IF(OR($Q930=Parametres!$G$2,$Q930=Parametres!$G$3),I930,C930)</f>
        <v>0</v>
      </c>
      <c r="O930" s="611">
        <f>+IF(OR($Q930=Parametres!$G$2,$Q930=Parametres!$G$3),J930,D930)</f>
        <v>0</v>
      </c>
      <c r="P930" s="611">
        <f>+IF(OR($Q930=Parametres!$G$2,$Q930=Parametres!$G$3),K930,E930)</f>
        <v>0</v>
      </c>
      <c r="Q930" s="610">
        <f t="shared" si="60"/>
        <v>0</v>
      </c>
      <c r="R930" s="609">
        <f t="shared" si="61"/>
        <v>0</v>
      </c>
      <c r="S930" s="610">
        <f t="shared" si="62"/>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63"/>
        <v>0</v>
      </c>
      <c r="M931" s="610">
        <f t="shared" si="51"/>
        <v>0</v>
      </c>
      <c r="N931" s="611">
        <f>+IF(OR($Q931=Parametres!$G$2,$Q931=Parametres!$G$3),I931,C931)</f>
        <v>0</v>
      </c>
      <c r="O931" s="611">
        <f>+IF(OR($Q931=Parametres!$G$2,$Q931=Parametres!$G$3),J931,D931)</f>
        <v>0</v>
      </c>
      <c r="P931" s="611">
        <f>+IF(OR($Q931=Parametres!$G$2,$Q931=Parametres!$G$3),K931,E931)</f>
        <v>0</v>
      </c>
      <c r="Q931" s="610">
        <f t="shared" si="60"/>
        <v>0</v>
      </c>
      <c r="R931" s="609">
        <f t="shared" si="61"/>
        <v>0</v>
      </c>
      <c r="S931" s="610">
        <f t="shared" si="62"/>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63"/>
        <v>0</v>
      </c>
      <c r="M932" s="610">
        <f t="shared" si="51"/>
        <v>0</v>
      </c>
      <c r="N932" s="611">
        <f>+IF(OR($Q932=Parametres!$G$2,$Q932=Parametres!$G$3),I932,C932)</f>
        <v>0</v>
      </c>
      <c r="O932" s="611">
        <f>+IF(OR($Q932=Parametres!$G$2,$Q932=Parametres!$G$3),J932,D932)</f>
        <v>0</v>
      </c>
      <c r="P932" s="611">
        <f>+IF(OR($Q932=Parametres!$G$2,$Q932=Parametres!$G$3),K932,E932)</f>
        <v>0</v>
      </c>
      <c r="Q932" s="610">
        <f t="shared" si="60"/>
        <v>0</v>
      </c>
      <c r="R932" s="609">
        <f t="shared" si="61"/>
        <v>0</v>
      </c>
      <c r="S932" s="610">
        <f t="shared" si="62"/>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63"/>
        <v>0</v>
      </c>
      <c r="M933" s="610">
        <f t="shared" si="51"/>
        <v>0</v>
      </c>
      <c r="N933" s="611">
        <f>+IF(OR($Q933=Parametres!$G$2,$Q933=Parametres!$G$3),I933,C933)</f>
        <v>0</v>
      </c>
      <c r="O933" s="611">
        <f>+IF(OR($Q933=Parametres!$G$2,$Q933=Parametres!$G$3),J933,D933)</f>
        <v>0</v>
      </c>
      <c r="P933" s="611">
        <f>+IF(OR($Q933=Parametres!$G$2,$Q933=Parametres!$G$3),K933,E933)</f>
        <v>0</v>
      </c>
      <c r="Q933" s="610">
        <f t="shared" si="60"/>
        <v>0</v>
      </c>
      <c r="R933" s="609">
        <f t="shared" si="61"/>
        <v>0</v>
      </c>
      <c r="S933" s="610">
        <f t="shared" si="62"/>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63"/>
        <v>0</v>
      </c>
      <c r="M934" s="610">
        <f t="shared" si="51"/>
        <v>0</v>
      </c>
      <c r="N934" s="611">
        <f>+IF(OR($Q934=Parametres!$G$2,$Q934=Parametres!$G$3),I934,C934)</f>
        <v>0</v>
      </c>
      <c r="O934" s="611">
        <f>+IF(OR($Q934=Parametres!$G$2,$Q934=Parametres!$G$3),J934,D934)</f>
        <v>0</v>
      </c>
      <c r="P934" s="611">
        <f>+IF(OR($Q934=Parametres!$G$2,$Q934=Parametres!$G$3),K934,E934)</f>
        <v>0</v>
      </c>
      <c r="Q934" s="610">
        <f t="shared" si="60"/>
        <v>0</v>
      </c>
      <c r="R934" s="609">
        <f t="shared" si="61"/>
        <v>0</v>
      </c>
      <c r="S934" s="610">
        <f t="shared" si="62"/>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63"/>
        <v>0</v>
      </c>
      <c r="M935" s="610">
        <f t="shared" si="51"/>
        <v>0</v>
      </c>
      <c r="N935" s="611">
        <f>+IF(OR($Q935=Parametres!$G$2,$Q935=Parametres!$G$3),I935,C935)</f>
        <v>0</v>
      </c>
      <c r="O935" s="611">
        <f>+IF(OR($Q935=Parametres!$G$2,$Q935=Parametres!$G$3),J935,D935)</f>
        <v>0</v>
      </c>
      <c r="P935" s="611">
        <f>+IF(OR($Q935=Parametres!$G$2,$Q935=Parametres!$G$3),K935,E935)</f>
        <v>0</v>
      </c>
      <c r="Q935" s="610">
        <f t="shared" si="60"/>
        <v>0</v>
      </c>
      <c r="R935" s="609">
        <f t="shared" si="61"/>
        <v>0</v>
      </c>
      <c r="S935" s="610">
        <f t="shared" si="6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63"/>
        <v>0</v>
      </c>
      <c r="M936" s="610">
        <f t="shared" si="51"/>
        <v>0</v>
      </c>
      <c r="N936" s="611">
        <f>+IF(OR($Q936=Parametres!$G$2,$Q936=Parametres!$G$3),I936,C936)</f>
        <v>0</v>
      </c>
      <c r="O936" s="611">
        <f>+IF(OR($Q936=Parametres!$G$2,$Q936=Parametres!$G$3),J936,D936)</f>
        <v>0</v>
      </c>
      <c r="P936" s="611">
        <f>+IF(OR($Q936=Parametres!$G$2,$Q936=Parametres!$G$3),K936,E936)</f>
        <v>0</v>
      </c>
      <c r="Q936" s="610">
        <f t="shared" si="60"/>
        <v>0</v>
      </c>
      <c r="R936" s="609">
        <f t="shared" si="61"/>
        <v>0</v>
      </c>
      <c r="S936" s="610">
        <f t="shared" si="62"/>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63"/>
        <v>0</v>
      </c>
      <c r="M937" s="610">
        <f t="shared" si="51"/>
        <v>0</v>
      </c>
      <c r="N937" s="611">
        <f>+IF(OR($Q937=Parametres!$G$2,$Q937=Parametres!$G$3),I937,C937)</f>
        <v>0</v>
      </c>
      <c r="O937" s="611">
        <f>+IF(OR($Q937=Parametres!$G$2,$Q937=Parametres!$G$3),J937,D937)</f>
        <v>0</v>
      </c>
      <c r="P937" s="611">
        <f>+IF(OR($Q937=Parametres!$G$2,$Q937=Parametres!$G$3),K937,E937)</f>
        <v>0</v>
      </c>
      <c r="Q937" s="610">
        <f t="shared" si="60"/>
        <v>0</v>
      </c>
      <c r="R937" s="609">
        <f t="shared" si="61"/>
        <v>0</v>
      </c>
      <c r="S937" s="610">
        <f t="shared" si="62"/>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63"/>
        <v>0</v>
      </c>
      <c r="M938" s="610">
        <f t="shared" si="51"/>
        <v>0</v>
      </c>
      <c r="N938" s="611">
        <f>+IF(OR($Q938=Parametres!$G$2,$Q938=Parametres!$G$3),I938,C938)</f>
        <v>0</v>
      </c>
      <c r="O938" s="611">
        <f>+IF(OR($Q938=Parametres!$G$2,$Q938=Parametres!$G$3),J938,D938)</f>
        <v>0</v>
      </c>
      <c r="P938" s="611">
        <f>+IF(OR($Q938=Parametres!$G$2,$Q938=Parametres!$G$3),K938,E938)</f>
        <v>0</v>
      </c>
      <c r="Q938" s="610">
        <f t="shared" si="60"/>
        <v>0</v>
      </c>
      <c r="R938" s="609">
        <f t="shared" si="61"/>
        <v>0</v>
      </c>
      <c r="S938" s="610">
        <f t="shared" si="62"/>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63"/>
        <v>0</v>
      </c>
      <c r="M939" s="610">
        <f t="shared" si="51"/>
        <v>0</v>
      </c>
      <c r="N939" s="611">
        <f>+IF(OR($Q939=Parametres!$G$2,$Q939=Parametres!$G$3),I939,C939)</f>
        <v>0</v>
      </c>
      <c r="O939" s="611">
        <f>+IF(OR($Q939=Parametres!$G$2,$Q939=Parametres!$G$3),J939,D939)</f>
        <v>0</v>
      </c>
      <c r="P939" s="611">
        <f>+IF(OR($Q939=Parametres!$G$2,$Q939=Parametres!$G$3),K939,E939)</f>
        <v>0</v>
      </c>
      <c r="Q939" s="610">
        <f t="shared" si="60"/>
        <v>0</v>
      </c>
      <c r="R939" s="609">
        <f t="shared" si="61"/>
        <v>0</v>
      </c>
      <c r="S939" s="610">
        <f t="shared" si="62"/>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63"/>
        <v>0</v>
      </c>
      <c r="M940" s="610">
        <f t="shared" si="51"/>
        <v>0</v>
      </c>
      <c r="N940" s="611">
        <f>+IF(OR($Q940=Parametres!$G$2,$Q940=Parametres!$G$3),I940,C940)</f>
        <v>0</v>
      </c>
      <c r="O940" s="611">
        <f>+IF(OR($Q940=Parametres!$G$2,$Q940=Parametres!$G$3),J940,D940)</f>
        <v>0</v>
      </c>
      <c r="P940" s="611">
        <f>+IF(OR($Q940=Parametres!$G$2,$Q940=Parametres!$G$3),K940,E940)</f>
        <v>0</v>
      </c>
      <c r="Q940" s="610">
        <f t="shared" si="60"/>
        <v>0</v>
      </c>
      <c r="R940" s="609">
        <f t="shared" si="61"/>
        <v>0</v>
      </c>
      <c r="S940" s="610">
        <f t="shared" si="62"/>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63"/>
        <v>0</v>
      </c>
      <c r="M941" s="610">
        <f t="shared" si="51"/>
        <v>0</v>
      </c>
      <c r="N941" s="611">
        <f>+IF(OR($Q941=Parametres!$G$2,$Q941=Parametres!$G$3),I941,C941)</f>
        <v>0</v>
      </c>
      <c r="O941" s="611">
        <f>+IF(OR($Q941=Parametres!$G$2,$Q941=Parametres!$G$3),J941,D941)</f>
        <v>0</v>
      </c>
      <c r="P941" s="611">
        <f>+IF(OR($Q941=Parametres!$G$2,$Q941=Parametres!$G$3),K941,E941)</f>
        <v>0</v>
      </c>
      <c r="Q941" s="610">
        <f t="shared" si="60"/>
        <v>0</v>
      </c>
      <c r="R941" s="609">
        <f t="shared" si="61"/>
        <v>0</v>
      </c>
      <c r="S941" s="610">
        <f t="shared" si="62"/>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63"/>
        <v>0</v>
      </c>
      <c r="M942" s="610">
        <f t="shared" si="51"/>
        <v>0</v>
      </c>
      <c r="N942" s="611">
        <f>+IF(OR($Q942=Parametres!$G$2,$Q942=Parametres!$G$3),I942,C942)</f>
        <v>0</v>
      </c>
      <c r="O942" s="611">
        <f>+IF(OR($Q942=Parametres!$G$2,$Q942=Parametres!$G$3),J942,D942)</f>
        <v>0</v>
      </c>
      <c r="P942" s="611">
        <f>+IF(OR($Q942=Parametres!$G$2,$Q942=Parametres!$G$3),K942,E942)</f>
        <v>0</v>
      </c>
      <c r="Q942" s="610">
        <f t="shared" si="60"/>
        <v>0</v>
      </c>
      <c r="R942" s="609">
        <f t="shared" si="61"/>
        <v>0</v>
      </c>
      <c r="S942" s="610">
        <f t="shared" si="62"/>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63"/>
        <v>0</v>
      </c>
      <c r="M943" s="610">
        <f t="shared" si="51"/>
        <v>0</v>
      </c>
      <c r="N943" s="611">
        <f>+IF(OR($Q943=Parametres!$G$2,$Q943=Parametres!$G$3),I943,C943)</f>
        <v>0</v>
      </c>
      <c r="O943" s="611">
        <f>+IF(OR($Q943=Parametres!$G$2,$Q943=Parametres!$G$3),J943,D943)</f>
        <v>0</v>
      </c>
      <c r="P943" s="611">
        <f>+IF(OR($Q943=Parametres!$G$2,$Q943=Parametres!$G$3),K943,E943)</f>
        <v>0</v>
      </c>
      <c r="Q943" s="610">
        <f t="shared" si="60"/>
        <v>0</v>
      </c>
      <c r="R943" s="609">
        <f t="shared" si="61"/>
        <v>0</v>
      </c>
      <c r="S943" s="610">
        <f t="shared" si="62"/>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63"/>
        <v>0</v>
      </c>
      <c r="M944" s="610">
        <f t="shared" si="51"/>
        <v>0</v>
      </c>
      <c r="N944" s="611">
        <f>+IF(OR($Q944=Parametres!$G$2,$Q944=Parametres!$G$3),I944,C944)</f>
        <v>0</v>
      </c>
      <c r="O944" s="611">
        <f>+IF(OR($Q944=Parametres!$G$2,$Q944=Parametres!$G$3),J944,D944)</f>
        <v>0</v>
      </c>
      <c r="P944" s="611">
        <f>+IF(OR($Q944=Parametres!$G$2,$Q944=Parametres!$G$3),K944,E944)</f>
        <v>0</v>
      </c>
      <c r="Q944" s="610">
        <f t="shared" si="60"/>
        <v>0</v>
      </c>
      <c r="R944" s="609">
        <f t="shared" si="61"/>
        <v>0</v>
      </c>
      <c r="S944" s="610">
        <f t="shared" si="62"/>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63"/>
        <v>0</v>
      </c>
      <c r="M945" s="610">
        <f t="shared" si="51"/>
        <v>0</v>
      </c>
      <c r="N945" s="611">
        <f>+IF(OR($Q945=Parametres!$G$2,$Q945=Parametres!$G$3),I945,C945)</f>
        <v>0</v>
      </c>
      <c r="O945" s="611">
        <f>+IF(OR($Q945=Parametres!$G$2,$Q945=Parametres!$G$3),J945,D945)</f>
        <v>0</v>
      </c>
      <c r="P945" s="611">
        <f>+IF(OR($Q945=Parametres!$G$2,$Q945=Parametres!$G$3),K945,E945)</f>
        <v>0</v>
      </c>
      <c r="Q945" s="610">
        <f t="shared" si="60"/>
        <v>0</v>
      </c>
      <c r="R945" s="609">
        <f t="shared" si="61"/>
        <v>0</v>
      </c>
      <c r="S945" s="610">
        <f t="shared" si="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63"/>
        <v>0</v>
      </c>
      <c r="M946" s="610">
        <f t="shared" si="51"/>
        <v>0</v>
      </c>
      <c r="N946" s="611">
        <f>+IF(OR($Q946=Parametres!$G$2,$Q946=Parametres!$G$3),I946,C946)</f>
        <v>0</v>
      </c>
      <c r="O946" s="611">
        <f>+IF(OR($Q946=Parametres!$G$2,$Q946=Parametres!$G$3),J946,D946)</f>
        <v>0</v>
      </c>
      <c r="P946" s="611">
        <f>+IF(OR($Q946=Parametres!$G$2,$Q946=Parametres!$G$3),K946,E946)</f>
        <v>0</v>
      </c>
      <c r="Q946" s="610">
        <f t="shared" si="60"/>
        <v>0</v>
      </c>
      <c r="R946" s="609">
        <f t="shared" si="61"/>
        <v>0</v>
      </c>
      <c r="S946" s="610">
        <f t="shared" si="62"/>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63"/>
        <v>0</v>
      </c>
      <c r="M947" s="610">
        <f t="shared" si="51"/>
        <v>0</v>
      </c>
      <c r="N947" s="611">
        <f>+IF(OR($Q947=Parametres!$G$2,$Q947=Parametres!$G$3),I947,C947)</f>
        <v>0</v>
      </c>
      <c r="O947" s="611">
        <f>+IF(OR($Q947=Parametres!$G$2,$Q947=Parametres!$G$3),J947,D947)</f>
        <v>0</v>
      </c>
      <c r="P947" s="611">
        <f>+IF(OR($Q947=Parametres!$G$2,$Q947=Parametres!$G$3),K947,E947)</f>
        <v>0</v>
      </c>
      <c r="Q947" s="610">
        <f t="shared" si="60"/>
        <v>0</v>
      </c>
      <c r="R947" s="609">
        <f t="shared" si="61"/>
        <v>0</v>
      </c>
      <c r="S947" s="610">
        <f t="shared" si="62"/>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63"/>
        <v>0</v>
      </c>
      <c r="M948" s="610">
        <f t="shared" si="51"/>
        <v>0</v>
      </c>
      <c r="N948" s="611">
        <f>+IF(OR($Q948=Parametres!$G$2,$Q948=Parametres!$G$3),I948,C948)</f>
        <v>0</v>
      </c>
      <c r="O948" s="611">
        <f>+IF(OR($Q948=Parametres!$G$2,$Q948=Parametres!$G$3),J948,D948)</f>
        <v>0</v>
      </c>
      <c r="P948" s="611">
        <f>+IF(OR($Q948=Parametres!$G$2,$Q948=Parametres!$G$3),K948,E948)</f>
        <v>0</v>
      </c>
      <c r="Q948" s="610">
        <f t="shared" si="60"/>
        <v>0</v>
      </c>
      <c r="R948" s="609">
        <f t="shared" si="61"/>
        <v>0</v>
      </c>
      <c r="S948" s="610">
        <f t="shared" si="62"/>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63"/>
        <v>0</v>
      </c>
      <c r="M949" s="610">
        <f t="shared" si="51"/>
        <v>0</v>
      </c>
      <c r="N949" s="611">
        <f>+IF(OR($Q949=Parametres!$G$2,$Q949=Parametres!$G$3),I949,C949)</f>
        <v>0</v>
      </c>
      <c r="O949" s="611">
        <f>+IF(OR($Q949=Parametres!$G$2,$Q949=Parametres!$G$3),J949,D949)</f>
        <v>0</v>
      </c>
      <c r="P949" s="611">
        <f>+IF(OR($Q949=Parametres!$G$2,$Q949=Parametres!$G$3),K949,E949)</f>
        <v>0</v>
      </c>
      <c r="Q949" s="610">
        <f t="shared" si="60"/>
        <v>0</v>
      </c>
      <c r="R949" s="609">
        <f t="shared" si="61"/>
        <v>0</v>
      </c>
      <c r="S949" s="610">
        <f t="shared" si="62"/>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63"/>
        <v>0</v>
      </c>
      <c r="M950" s="610">
        <f t="shared" si="51"/>
        <v>0</v>
      </c>
      <c r="N950" s="611">
        <f>+IF(OR($Q950=Parametres!$G$2,$Q950=Parametres!$G$3),I950,C950)</f>
        <v>0</v>
      </c>
      <c r="O950" s="611">
        <f>+IF(OR($Q950=Parametres!$G$2,$Q950=Parametres!$G$3),J950,D950)</f>
        <v>0</v>
      </c>
      <c r="P950" s="611">
        <f>+IF(OR($Q950=Parametres!$G$2,$Q950=Parametres!$G$3),K950,E950)</f>
        <v>0</v>
      </c>
      <c r="Q950" s="610">
        <f t="shared" si="60"/>
        <v>0</v>
      </c>
      <c r="R950" s="609">
        <f t="shared" si="61"/>
        <v>0</v>
      </c>
      <c r="S950" s="610">
        <f t="shared" si="62"/>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63"/>
        <v>0</v>
      </c>
      <c r="M951" s="610">
        <f t="shared" si="51"/>
        <v>0</v>
      </c>
      <c r="N951" s="611">
        <f>+IF(OR($Q951=Parametres!$G$2,$Q951=Parametres!$G$3),I951,C951)</f>
        <v>0</v>
      </c>
      <c r="O951" s="611">
        <f>+IF(OR($Q951=Parametres!$G$2,$Q951=Parametres!$G$3),J951,D951)</f>
        <v>0</v>
      </c>
      <c r="P951" s="611">
        <f>+IF(OR($Q951=Parametres!$G$2,$Q951=Parametres!$G$3),K951,E951)</f>
        <v>0</v>
      </c>
      <c r="Q951" s="610">
        <f t="shared" si="60"/>
        <v>0</v>
      </c>
      <c r="R951" s="609">
        <f t="shared" si="61"/>
        <v>0</v>
      </c>
      <c r="S951" s="610">
        <f t="shared" si="62"/>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63"/>
        <v>0</v>
      </c>
      <c r="M952" s="610">
        <f t="shared" si="51"/>
        <v>0</v>
      </c>
      <c r="N952" s="611">
        <f>+IF(OR($Q952=Parametres!$G$2,$Q952=Parametres!$G$3),I952,C952)</f>
        <v>0</v>
      </c>
      <c r="O952" s="611">
        <f>+IF(OR($Q952=Parametres!$G$2,$Q952=Parametres!$G$3),J952,D952)</f>
        <v>0</v>
      </c>
      <c r="P952" s="611">
        <f>+IF(OR($Q952=Parametres!$G$2,$Q952=Parametres!$G$3),K952,E952)</f>
        <v>0</v>
      </c>
      <c r="Q952" s="610">
        <f t="shared" si="60"/>
        <v>0</v>
      </c>
      <c r="R952" s="609">
        <f t="shared" si="61"/>
        <v>0</v>
      </c>
      <c r="S952" s="610">
        <f t="shared" si="62"/>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63"/>
        <v>0</v>
      </c>
      <c r="M953" s="610">
        <f t="shared" si="51"/>
        <v>0</v>
      </c>
      <c r="N953" s="611">
        <f>+IF(OR($Q953=Parametres!$G$2,$Q953=Parametres!$G$3),I953,C953)</f>
        <v>0</v>
      </c>
      <c r="O953" s="611">
        <f>+IF(OR($Q953=Parametres!$G$2,$Q953=Parametres!$G$3),J953,D953)</f>
        <v>0</v>
      </c>
      <c r="P953" s="611">
        <f>+IF(OR($Q953=Parametres!$G$2,$Q953=Parametres!$G$3),K953,E953)</f>
        <v>0</v>
      </c>
      <c r="Q953" s="610">
        <f t="shared" si="60"/>
        <v>0</v>
      </c>
      <c r="R953" s="609">
        <f t="shared" si="61"/>
        <v>0</v>
      </c>
      <c r="S953" s="610">
        <f t="shared" si="62"/>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63"/>
        <v>0</v>
      </c>
      <c r="M954" s="610">
        <f t="shared" si="51"/>
        <v>0</v>
      </c>
      <c r="N954" s="611">
        <f>+IF(OR($Q954=Parametres!$G$2,$Q954=Parametres!$G$3),I954,C954)</f>
        <v>0</v>
      </c>
      <c r="O954" s="611">
        <f>+IF(OR($Q954=Parametres!$G$2,$Q954=Parametres!$G$3),J954,D954)</f>
        <v>0</v>
      </c>
      <c r="P954" s="611">
        <f>+IF(OR($Q954=Parametres!$G$2,$Q954=Parametres!$G$3),K954,E954)</f>
        <v>0</v>
      </c>
      <c r="Q954" s="610">
        <f t="shared" si="60"/>
        <v>0</v>
      </c>
      <c r="R954" s="609">
        <f t="shared" si="61"/>
        <v>0</v>
      </c>
      <c r="S954" s="610">
        <f t="shared" si="62"/>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63"/>
        <v>0</v>
      </c>
      <c r="M955" s="610">
        <f t="shared" si="51"/>
        <v>0</v>
      </c>
      <c r="N955" s="611">
        <f>+IF(OR($Q955=Parametres!$G$2,$Q955=Parametres!$G$3),I955,C955)</f>
        <v>0</v>
      </c>
      <c r="O955" s="611">
        <f>+IF(OR($Q955=Parametres!$G$2,$Q955=Parametres!$G$3),J955,D955)</f>
        <v>0</v>
      </c>
      <c r="P955" s="611">
        <f>+IF(OR($Q955=Parametres!$G$2,$Q955=Parametres!$G$3),K955,E955)</f>
        <v>0</v>
      </c>
      <c r="Q955" s="610">
        <f t="shared" si="60"/>
        <v>0</v>
      </c>
      <c r="R955" s="609">
        <f t="shared" si="61"/>
        <v>0</v>
      </c>
      <c r="S955" s="610">
        <f t="shared" si="6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63"/>
        <v>0</v>
      </c>
      <c r="M956" s="610">
        <f t="shared" si="51"/>
        <v>0</v>
      </c>
      <c r="N956" s="611">
        <f>+IF(OR($Q956=Parametres!$G$2,$Q956=Parametres!$G$3),I956,C956)</f>
        <v>0</v>
      </c>
      <c r="O956" s="611">
        <f>+IF(OR($Q956=Parametres!$G$2,$Q956=Parametres!$G$3),J956,D956)</f>
        <v>0</v>
      </c>
      <c r="P956" s="611">
        <f>+IF(OR($Q956=Parametres!$G$2,$Q956=Parametres!$G$3),K956,E956)</f>
        <v>0</v>
      </c>
      <c r="Q956" s="610">
        <f t="shared" si="60"/>
        <v>0</v>
      </c>
      <c r="R956" s="609">
        <f t="shared" si="61"/>
        <v>0</v>
      </c>
      <c r="S956" s="610">
        <f t="shared" si="62"/>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63"/>
        <v>0</v>
      </c>
      <c r="M957" s="610">
        <f t="shared" si="51"/>
        <v>0</v>
      </c>
      <c r="N957" s="611">
        <f>+IF(OR($Q957=Parametres!$G$2,$Q957=Parametres!$G$3),I957,C957)</f>
        <v>0</v>
      </c>
      <c r="O957" s="611">
        <f>+IF(OR($Q957=Parametres!$G$2,$Q957=Parametres!$G$3),J957,D957)</f>
        <v>0</v>
      </c>
      <c r="P957" s="611">
        <f>+IF(OR($Q957=Parametres!$G$2,$Q957=Parametres!$G$3),K957,E957)</f>
        <v>0</v>
      </c>
      <c r="Q957" s="610">
        <f t="shared" si="60"/>
        <v>0</v>
      </c>
      <c r="R957" s="609">
        <f t="shared" si="61"/>
        <v>0</v>
      </c>
      <c r="S957" s="610">
        <f t="shared" si="62"/>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63"/>
        <v>0</v>
      </c>
      <c r="M958" s="610">
        <f t="shared" si="51"/>
        <v>0</v>
      </c>
      <c r="N958" s="611">
        <f>+IF(OR($Q958=Parametres!$G$2,$Q958=Parametres!$G$3),I958,C958)</f>
        <v>0</v>
      </c>
      <c r="O958" s="611">
        <f>+IF(OR($Q958=Parametres!$G$2,$Q958=Parametres!$G$3),J958,D958)</f>
        <v>0</v>
      </c>
      <c r="P958" s="611">
        <f>+IF(OR($Q958=Parametres!$G$2,$Q958=Parametres!$G$3),K958,E958)</f>
        <v>0</v>
      </c>
      <c r="Q958" s="610">
        <f t="shared" si="60"/>
        <v>0</v>
      </c>
      <c r="R958" s="609">
        <f t="shared" si="61"/>
        <v>0</v>
      </c>
      <c r="S958" s="610">
        <f t="shared" si="62"/>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63"/>
        <v>0</v>
      </c>
      <c r="M959" s="610">
        <f t="shared" si="51"/>
        <v>0</v>
      </c>
      <c r="N959" s="611">
        <f>+IF(OR($Q959=Parametres!$G$2,$Q959=Parametres!$G$3),I959,C959)</f>
        <v>0</v>
      </c>
      <c r="O959" s="611">
        <f>+IF(OR($Q959=Parametres!$G$2,$Q959=Parametres!$G$3),J959,D959)</f>
        <v>0</v>
      </c>
      <c r="P959" s="611">
        <f>+IF(OR($Q959=Parametres!$G$2,$Q959=Parametres!$G$3),K959,E959)</f>
        <v>0</v>
      </c>
      <c r="Q959" s="610">
        <f t="shared" si="60"/>
        <v>0</v>
      </c>
      <c r="R959" s="609">
        <f t="shared" si="61"/>
        <v>0</v>
      </c>
      <c r="S959" s="610">
        <f t="shared" si="62"/>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63"/>
        <v>0</v>
      </c>
      <c r="M960" s="610">
        <f t="shared" si="51"/>
        <v>0</v>
      </c>
      <c r="N960" s="611">
        <f>+IF(OR($Q960=Parametres!$G$2,$Q960=Parametres!$G$3),I960,C960)</f>
        <v>0</v>
      </c>
      <c r="O960" s="611">
        <f>+IF(OR($Q960=Parametres!$G$2,$Q960=Parametres!$G$3),J960,D960)</f>
        <v>0</v>
      </c>
      <c r="P960" s="611">
        <f>+IF(OR($Q960=Parametres!$G$2,$Q960=Parametres!$G$3),K960,E960)</f>
        <v>0</v>
      </c>
      <c r="Q960" s="610">
        <f t="shared" si="60"/>
        <v>0</v>
      </c>
      <c r="R960" s="609">
        <f t="shared" si="61"/>
        <v>0</v>
      </c>
      <c r="S960" s="610">
        <f t="shared" si="62"/>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63"/>
        <v>0</v>
      </c>
      <c r="M961" s="610">
        <f t="shared" si="51"/>
        <v>0</v>
      </c>
      <c r="N961" s="611">
        <f>+IF(OR($Q961=Parametres!$G$2,$Q961=Parametres!$G$3),I961,C961)</f>
        <v>0</v>
      </c>
      <c r="O961" s="611">
        <f>+IF(OR($Q961=Parametres!$G$2,$Q961=Parametres!$G$3),J961,D961)</f>
        <v>0</v>
      </c>
      <c r="P961" s="611">
        <f>+IF(OR($Q961=Parametres!$G$2,$Q961=Parametres!$G$3),K961,E961)</f>
        <v>0</v>
      </c>
      <c r="Q961" s="610">
        <f t="shared" si="60"/>
        <v>0</v>
      </c>
      <c r="R961" s="609">
        <f t="shared" si="61"/>
        <v>0</v>
      </c>
      <c r="S961" s="610">
        <f t="shared" si="62"/>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63"/>
        <v>0</v>
      </c>
      <c r="M962" s="610">
        <f t="shared" si="51"/>
        <v>0</v>
      </c>
      <c r="N962" s="611">
        <f>+IF(OR($Q962=Parametres!$G$2,$Q962=Parametres!$G$3),I962,C962)</f>
        <v>0</v>
      </c>
      <c r="O962" s="611">
        <f>+IF(OR($Q962=Parametres!$G$2,$Q962=Parametres!$G$3),J962,D962)</f>
        <v>0</v>
      </c>
      <c r="P962" s="611">
        <f>+IF(OR($Q962=Parametres!$G$2,$Q962=Parametres!$G$3),K962,E962)</f>
        <v>0</v>
      </c>
      <c r="Q962" s="610">
        <f t="shared" ref="Q962:Q1025" si="64">+F962</f>
        <v>0</v>
      </c>
      <c r="R962" s="609">
        <f t="shared" ref="R962:R1025" si="65">+G962</f>
        <v>0</v>
      </c>
      <c r="S962" s="610">
        <f t="shared" ref="S962:S1025" si="66">+H962</f>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67">TEXT(B963,0)</f>
        <v>0</v>
      </c>
      <c r="M963" s="610">
        <f t="shared" si="51"/>
        <v>0</v>
      </c>
      <c r="N963" s="611">
        <f>+IF(OR($Q963=Parametres!$G$2,$Q963=Parametres!$G$3),I963,C963)</f>
        <v>0</v>
      </c>
      <c r="O963" s="611">
        <f>+IF(OR($Q963=Parametres!$G$2,$Q963=Parametres!$G$3),J963,D963)</f>
        <v>0</v>
      </c>
      <c r="P963" s="611">
        <f>+IF(OR($Q963=Parametres!$G$2,$Q963=Parametres!$G$3),K963,E963)</f>
        <v>0</v>
      </c>
      <c r="Q963" s="610">
        <f t="shared" si="64"/>
        <v>0</v>
      </c>
      <c r="R963" s="609">
        <f t="shared" si="65"/>
        <v>0</v>
      </c>
      <c r="S963" s="610">
        <f t="shared" si="66"/>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67"/>
        <v>0</v>
      </c>
      <c r="M964" s="610">
        <f t="shared" si="51"/>
        <v>0</v>
      </c>
      <c r="N964" s="611">
        <f>+IF(OR($Q964=Parametres!$G$2,$Q964=Parametres!$G$3),I964,C964)</f>
        <v>0</v>
      </c>
      <c r="O964" s="611">
        <f>+IF(OR($Q964=Parametres!$G$2,$Q964=Parametres!$G$3),J964,D964)</f>
        <v>0</v>
      </c>
      <c r="P964" s="611">
        <f>+IF(OR($Q964=Parametres!$G$2,$Q964=Parametres!$G$3),K964,E964)</f>
        <v>0</v>
      </c>
      <c r="Q964" s="610">
        <f t="shared" si="64"/>
        <v>0</v>
      </c>
      <c r="R964" s="609">
        <f t="shared" si="65"/>
        <v>0</v>
      </c>
      <c r="S964" s="610">
        <f t="shared" si="66"/>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67"/>
        <v>0</v>
      </c>
      <c r="M965" s="610">
        <f t="shared" si="51"/>
        <v>0</v>
      </c>
      <c r="N965" s="611">
        <f>+IF(OR($Q965=Parametres!$G$2,$Q965=Parametres!$G$3),I965,C965)</f>
        <v>0</v>
      </c>
      <c r="O965" s="611">
        <f>+IF(OR($Q965=Parametres!$G$2,$Q965=Parametres!$G$3),J965,D965)</f>
        <v>0</v>
      </c>
      <c r="P965" s="611">
        <f>+IF(OR($Q965=Parametres!$G$2,$Q965=Parametres!$G$3),K965,E965)</f>
        <v>0</v>
      </c>
      <c r="Q965" s="610">
        <f t="shared" si="64"/>
        <v>0</v>
      </c>
      <c r="R965" s="609">
        <f t="shared" si="65"/>
        <v>0</v>
      </c>
      <c r="S965" s="610">
        <f t="shared" si="66"/>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67"/>
        <v>0</v>
      </c>
      <c r="M966" s="610">
        <f t="shared" si="51"/>
        <v>0</v>
      </c>
      <c r="N966" s="611">
        <f>+IF(OR($Q966=Parametres!$G$2,$Q966=Parametres!$G$3),I966,C966)</f>
        <v>0</v>
      </c>
      <c r="O966" s="611">
        <f>+IF(OR($Q966=Parametres!$G$2,$Q966=Parametres!$G$3),J966,D966)</f>
        <v>0</v>
      </c>
      <c r="P966" s="611">
        <f>+IF(OR($Q966=Parametres!$G$2,$Q966=Parametres!$G$3),K966,E966)</f>
        <v>0</v>
      </c>
      <c r="Q966" s="610">
        <f t="shared" si="64"/>
        <v>0</v>
      </c>
      <c r="R966" s="609">
        <f t="shared" si="65"/>
        <v>0</v>
      </c>
      <c r="S966" s="610">
        <f t="shared" si="66"/>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67"/>
        <v>0</v>
      </c>
      <c r="M967" s="610">
        <f t="shared" si="51"/>
        <v>0</v>
      </c>
      <c r="N967" s="611">
        <f>+IF(OR($Q967=Parametres!$G$2,$Q967=Parametres!$G$3),I967,C967)</f>
        <v>0</v>
      </c>
      <c r="O967" s="611">
        <f>+IF(OR($Q967=Parametres!$G$2,$Q967=Parametres!$G$3),J967,D967)</f>
        <v>0</v>
      </c>
      <c r="P967" s="611">
        <f>+IF(OR($Q967=Parametres!$G$2,$Q967=Parametres!$G$3),K967,E967)</f>
        <v>0</v>
      </c>
      <c r="Q967" s="610">
        <f t="shared" si="64"/>
        <v>0</v>
      </c>
      <c r="R967" s="609">
        <f t="shared" si="65"/>
        <v>0</v>
      </c>
      <c r="S967" s="610">
        <f t="shared" si="66"/>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67"/>
        <v>0</v>
      </c>
      <c r="M968" s="610">
        <f t="shared" si="51"/>
        <v>0</v>
      </c>
      <c r="N968" s="611">
        <f>+IF(OR($Q968=Parametres!$G$2,$Q968=Parametres!$G$3),I968,C968)</f>
        <v>0</v>
      </c>
      <c r="O968" s="611">
        <f>+IF(OR($Q968=Parametres!$G$2,$Q968=Parametres!$G$3),J968,D968)</f>
        <v>0</v>
      </c>
      <c r="P968" s="611">
        <f>+IF(OR($Q968=Parametres!$G$2,$Q968=Parametres!$G$3),K968,E968)</f>
        <v>0</v>
      </c>
      <c r="Q968" s="610">
        <f t="shared" si="64"/>
        <v>0</v>
      </c>
      <c r="R968" s="609">
        <f t="shared" si="65"/>
        <v>0</v>
      </c>
      <c r="S968" s="610">
        <f t="shared" si="6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67"/>
        <v>0</v>
      </c>
      <c r="M969" s="610">
        <f t="shared" si="51"/>
        <v>0</v>
      </c>
      <c r="N969" s="611">
        <f>+IF(OR($Q969=Parametres!$G$2,$Q969=Parametres!$G$3),I969,C969)</f>
        <v>0</v>
      </c>
      <c r="O969" s="611">
        <f>+IF(OR($Q969=Parametres!$G$2,$Q969=Parametres!$G$3),J969,D969)</f>
        <v>0</v>
      </c>
      <c r="P969" s="611">
        <f>+IF(OR($Q969=Parametres!$G$2,$Q969=Parametres!$G$3),K969,E969)</f>
        <v>0</v>
      </c>
      <c r="Q969" s="610">
        <f t="shared" si="64"/>
        <v>0</v>
      </c>
      <c r="R969" s="609">
        <f t="shared" si="65"/>
        <v>0</v>
      </c>
      <c r="S969" s="610">
        <f t="shared" si="66"/>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67"/>
        <v>0</v>
      </c>
      <c r="M970" s="610">
        <f t="shared" si="51"/>
        <v>0</v>
      </c>
      <c r="N970" s="611">
        <f>+IF(OR($Q970=Parametres!$G$2,$Q970=Parametres!$G$3),I970,C970)</f>
        <v>0</v>
      </c>
      <c r="O970" s="611">
        <f>+IF(OR($Q970=Parametres!$G$2,$Q970=Parametres!$G$3),J970,D970)</f>
        <v>0</v>
      </c>
      <c r="P970" s="611">
        <f>+IF(OR($Q970=Parametres!$G$2,$Q970=Parametres!$G$3),K970,E970)</f>
        <v>0</v>
      </c>
      <c r="Q970" s="610">
        <f t="shared" si="64"/>
        <v>0</v>
      </c>
      <c r="R970" s="609">
        <f t="shared" si="65"/>
        <v>0</v>
      </c>
      <c r="S970" s="610">
        <f t="shared" si="66"/>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67"/>
        <v>0</v>
      </c>
      <c r="M971" s="610">
        <f t="shared" si="51"/>
        <v>0</v>
      </c>
      <c r="N971" s="611">
        <f>+IF(OR($Q971=Parametres!$G$2,$Q971=Parametres!$G$3),I971,C971)</f>
        <v>0</v>
      </c>
      <c r="O971" s="611">
        <f>+IF(OR($Q971=Parametres!$G$2,$Q971=Parametres!$G$3),J971,D971)</f>
        <v>0</v>
      </c>
      <c r="P971" s="611">
        <f>+IF(OR($Q971=Parametres!$G$2,$Q971=Parametres!$G$3),K971,E971)</f>
        <v>0</v>
      </c>
      <c r="Q971" s="610">
        <f t="shared" si="64"/>
        <v>0</v>
      </c>
      <c r="R971" s="609">
        <f t="shared" si="65"/>
        <v>0</v>
      </c>
      <c r="S971" s="610">
        <f t="shared" si="66"/>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67"/>
        <v>0</v>
      </c>
      <c r="M972" s="610">
        <f t="shared" si="51"/>
        <v>0</v>
      </c>
      <c r="N972" s="611">
        <f>+IF(OR($Q972=Parametres!$G$2,$Q972=Parametres!$G$3),I972,C972)</f>
        <v>0</v>
      </c>
      <c r="O972" s="611">
        <f>+IF(OR($Q972=Parametres!$G$2,$Q972=Parametres!$G$3),J972,D972)</f>
        <v>0</v>
      </c>
      <c r="P972" s="611">
        <f>+IF(OR($Q972=Parametres!$G$2,$Q972=Parametres!$G$3),K972,E972)</f>
        <v>0</v>
      </c>
      <c r="Q972" s="610">
        <f t="shared" si="64"/>
        <v>0</v>
      </c>
      <c r="R972" s="609">
        <f t="shared" si="65"/>
        <v>0</v>
      </c>
      <c r="S972" s="610">
        <f t="shared" si="66"/>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67"/>
        <v>0</v>
      </c>
      <c r="M973" s="610">
        <f t="shared" si="51"/>
        <v>0</v>
      </c>
      <c r="N973" s="611">
        <f>+IF(OR($Q973=Parametres!$G$2,$Q973=Parametres!$G$3),I973,C973)</f>
        <v>0</v>
      </c>
      <c r="O973" s="611">
        <f>+IF(OR($Q973=Parametres!$G$2,$Q973=Parametres!$G$3),J973,D973)</f>
        <v>0</v>
      </c>
      <c r="P973" s="611">
        <f>+IF(OR($Q973=Parametres!$G$2,$Q973=Parametres!$G$3),K973,E973)</f>
        <v>0</v>
      </c>
      <c r="Q973" s="610">
        <f t="shared" si="64"/>
        <v>0</v>
      </c>
      <c r="R973" s="609">
        <f t="shared" si="65"/>
        <v>0</v>
      </c>
      <c r="S973" s="610">
        <f t="shared" si="66"/>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67"/>
        <v>0</v>
      </c>
      <c r="M974" s="610">
        <f t="shared" si="51"/>
        <v>0</v>
      </c>
      <c r="N974" s="611">
        <f>+IF(OR($Q974=Parametres!$G$2,$Q974=Parametres!$G$3),I974,C974)</f>
        <v>0</v>
      </c>
      <c r="O974" s="611">
        <f>+IF(OR($Q974=Parametres!$G$2,$Q974=Parametres!$G$3),J974,D974)</f>
        <v>0</v>
      </c>
      <c r="P974" s="611">
        <f>+IF(OR($Q974=Parametres!$G$2,$Q974=Parametres!$G$3),K974,E974)</f>
        <v>0</v>
      </c>
      <c r="Q974" s="610">
        <f t="shared" si="64"/>
        <v>0</v>
      </c>
      <c r="R974" s="609">
        <f t="shared" si="65"/>
        <v>0</v>
      </c>
      <c r="S974" s="610">
        <f t="shared" si="66"/>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67"/>
        <v>0</v>
      </c>
      <c r="M975" s="610">
        <f t="shared" si="51"/>
        <v>0</v>
      </c>
      <c r="N975" s="611">
        <f>+IF(OR($Q975=Parametres!$G$2,$Q975=Parametres!$G$3),I975,C975)</f>
        <v>0</v>
      </c>
      <c r="O975" s="611">
        <f>+IF(OR($Q975=Parametres!$G$2,$Q975=Parametres!$G$3),J975,D975)</f>
        <v>0</v>
      </c>
      <c r="P975" s="611">
        <f>+IF(OR($Q975=Parametres!$G$2,$Q975=Parametres!$G$3),K975,E975)</f>
        <v>0</v>
      </c>
      <c r="Q975" s="610">
        <f t="shared" si="64"/>
        <v>0</v>
      </c>
      <c r="R975" s="609">
        <f t="shared" si="65"/>
        <v>0</v>
      </c>
      <c r="S975" s="610">
        <f t="shared" si="66"/>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67"/>
        <v>0</v>
      </c>
      <c r="M976" s="610">
        <f t="shared" si="51"/>
        <v>0</v>
      </c>
      <c r="N976" s="611">
        <f>+IF(OR($Q976=Parametres!$G$2,$Q976=Parametres!$G$3),I976,C976)</f>
        <v>0</v>
      </c>
      <c r="O976" s="611">
        <f>+IF(OR($Q976=Parametres!$G$2,$Q976=Parametres!$G$3),J976,D976)</f>
        <v>0</v>
      </c>
      <c r="P976" s="611">
        <f>+IF(OR($Q976=Parametres!$G$2,$Q976=Parametres!$G$3),K976,E976)</f>
        <v>0</v>
      </c>
      <c r="Q976" s="610">
        <f t="shared" si="64"/>
        <v>0</v>
      </c>
      <c r="R976" s="609">
        <f t="shared" si="65"/>
        <v>0</v>
      </c>
      <c r="S976" s="610">
        <f t="shared" si="66"/>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67"/>
        <v>0</v>
      </c>
      <c r="M977" s="610">
        <f t="shared" si="51"/>
        <v>0</v>
      </c>
      <c r="N977" s="611">
        <f>+IF(OR($Q977=Parametres!$G$2,$Q977=Parametres!$G$3),I977,C977)</f>
        <v>0</v>
      </c>
      <c r="O977" s="611">
        <f>+IF(OR($Q977=Parametres!$G$2,$Q977=Parametres!$G$3),J977,D977)</f>
        <v>0</v>
      </c>
      <c r="P977" s="611">
        <f>+IF(OR($Q977=Parametres!$G$2,$Q977=Parametres!$G$3),K977,E977)</f>
        <v>0</v>
      </c>
      <c r="Q977" s="610">
        <f t="shared" si="64"/>
        <v>0</v>
      </c>
      <c r="R977" s="609">
        <f t="shared" si="65"/>
        <v>0</v>
      </c>
      <c r="S977" s="610">
        <f t="shared" si="66"/>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67"/>
        <v>0</v>
      </c>
      <c r="M978" s="610">
        <f t="shared" si="51"/>
        <v>0</v>
      </c>
      <c r="N978" s="611">
        <f>+IF(OR($Q978=Parametres!$G$2,$Q978=Parametres!$G$3),I978,C978)</f>
        <v>0</v>
      </c>
      <c r="O978" s="611">
        <f>+IF(OR($Q978=Parametres!$G$2,$Q978=Parametres!$G$3),J978,D978)</f>
        <v>0</v>
      </c>
      <c r="P978" s="611">
        <f>+IF(OR($Q978=Parametres!$G$2,$Q978=Parametres!$G$3),K978,E978)</f>
        <v>0</v>
      </c>
      <c r="Q978" s="610">
        <f t="shared" si="64"/>
        <v>0</v>
      </c>
      <c r="R978" s="609">
        <f t="shared" si="65"/>
        <v>0</v>
      </c>
      <c r="S978" s="610">
        <f t="shared" si="6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67"/>
        <v>0</v>
      </c>
      <c r="M979" s="610">
        <f t="shared" si="51"/>
        <v>0</v>
      </c>
      <c r="N979" s="611">
        <f>+IF(OR($Q979=Parametres!$G$2,$Q979=Parametres!$G$3),I979,C979)</f>
        <v>0</v>
      </c>
      <c r="O979" s="611">
        <f>+IF(OR($Q979=Parametres!$G$2,$Q979=Parametres!$G$3),J979,D979)</f>
        <v>0</v>
      </c>
      <c r="P979" s="611">
        <f>+IF(OR($Q979=Parametres!$G$2,$Q979=Parametres!$G$3),K979,E979)</f>
        <v>0</v>
      </c>
      <c r="Q979" s="610">
        <f t="shared" si="64"/>
        <v>0</v>
      </c>
      <c r="R979" s="609">
        <f t="shared" si="65"/>
        <v>0</v>
      </c>
      <c r="S979" s="610">
        <f t="shared" si="66"/>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67"/>
        <v>0</v>
      </c>
      <c r="M980" s="610">
        <f t="shared" si="51"/>
        <v>0</v>
      </c>
      <c r="N980" s="611">
        <f>+IF(OR($Q980=Parametres!$G$2,$Q980=Parametres!$G$3),I980,C980)</f>
        <v>0</v>
      </c>
      <c r="O980" s="611">
        <f>+IF(OR($Q980=Parametres!$G$2,$Q980=Parametres!$G$3),J980,D980)</f>
        <v>0</v>
      </c>
      <c r="P980" s="611">
        <f>+IF(OR($Q980=Parametres!$G$2,$Q980=Parametres!$G$3),K980,E980)</f>
        <v>0</v>
      </c>
      <c r="Q980" s="610">
        <f t="shared" si="64"/>
        <v>0</v>
      </c>
      <c r="R980" s="609">
        <f t="shared" si="65"/>
        <v>0</v>
      </c>
      <c r="S980" s="610">
        <f t="shared" si="66"/>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67"/>
        <v>0</v>
      </c>
      <c r="M981" s="610">
        <f t="shared" si="51"/>
        <v>0</v>
      </c>
      <c r="N981" s="611">
        <f>+IF(OR($Q981=Parametres!$G$2,$Q981=Parametres!$G$3),I981,C981)</f>
        <v>0</v>
      </c>
      <c r="O981" s="611">
        <f>+IF(OR($Q981=Parametres!$G$2,$Q981=Parametres!$G$3),J981,D981)</f>
        <v>0</v>
      </c>
      <c r="P981" s="611">
        <f>+IF(OR($Q981=Parametres!$G$2,$Q981=Parametres!$G$3),K981,E981)</f>
        <v>0</v>
      </c>
      <c r="Q981" s="610">
        <f t="shared" si="64"/>
        <v>0</v>
      </c>
      <c r="R981" s="609">
        <f t="shared" si="65"/>
        <v>0</v>
      </c>
      <c r="S981" s="610">
        <f t="shared" si="66"/>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67"/>
        <v>0</v>
      </c>
      <c r="M982" s="610">
        <f t="shared" si="51"/>
        <v>0</v>
      </c>
      <c r="N982" s="611">
        <f>+IF(OR($Q982=Parametres!$G$2,$Q982=Parametres!$G$3),I982,C982)</f>
        <v>0</v>
      </c>
      <c r="O982" s="611">
        <f>+IF(OR($Q982=Parametres!$G$2,$Q982=Parametres!$G$3),J982,D982)</f>
        <v>0</v>
      </c>
      <c r="P982" s="611">
        <f>+IF(OR($Q982=Parametres!$G$2,$Q982=Parametres!$G$3),K982,E982)</f>
        <v>0</v>
      </c>
      <c r="Q982" s="610">
        <f t="shared" si="64"/>
        <v>0</v>
      </c>
      <c r="R982" s="609">
        <f t="shared" si="65"/>
        <v>0</v>
      </c>
      <c r="S982" s="610">
        <f t="shared" si="66"/>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67"/>
        <v>0</v>
      </c>
      <c r="M983" s="610">
        <f t="shared" si="51"/>
        <v>0</v>
      </c>
      <c r="N983" s="611">
        <f>+IF(OR($Q983=Parametres!$G$2,$Q983=Parametres!$G$3),I983,C983)</f>
        <v>0</v>
      </c>
      <c r="O983" s="611">
        <f>+IF(OR($Q983=Parametres!$G$2,$Q983=Parametres!$G$3),J983,D983)</f>
        <v>0</v>
      </c>
      <c r="P983" s="611">
        <f>+IF(OR($Q983=Parametres!$G$2,$Q983=Parametres!$G$3),K983,E983)</f>
        <v>0</v>
      </c>
      <c r="Q983" s="610">
        <f t="shared" si="64"/>
        <v>0</v>
      </c>
      <c r="R983" s="609">
        <f t="shared" si="65"/>
        <v>0</v>
      </c>
      <c r="S983" s="610">
        <f t="shared" si="66"/>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67"/>
        <v>0</v>
      </c>
      <c r="M984" s="610">
        <f t="shared" si="51"/>
        <v>0</v>
      </c>
      <c r="N984" s="611">
        <f>+IF(OR($Q984=Parametres!$G$2,$Q984=Parametres!$G$3),I984,C984)</f>
        <v>0</v>
      </c>
      <c r="O984" s="611">
        <f>+IF(OR($Q984=Parametres!$G$2,$Q984=Parametres!$G$3),J984,D984)</f>
        <v>0</v>
      </c>
      <c r="P984" s="611">
        <f>+IF(OR($Q984=Parametres!$G$2,$Q984=Parametres!$G$3),K984,E984)</f>
        <v>0</v>
      </c>
      <c r="Q984" s="610">
        <f t="shared" si="64"/>
        <v>0</v>
      </c>
      <c r="R984" s="609">
        <f t="shared" si="65"/>
        <v>0</v>
      </c>
      <c r="S984" s="610">
        <f t="shared" si="66"/>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67"/>
        <v>0</v>
      </c>
      <c r="M985" s="610">
        <f t="shared" si="51"/>
        <v>0</v>
      </c>
      <c r="N985" s="611">
        <f>+IF(OR($Q985=Parametres!$G$2,$Q985=Parametres!$G$3),I985,C985)</f>
        <v>0</v>
      </c>
      <c r="O985" s="611">
        <f>+IF(OR($Q985=Parametres!$G$2,$Q985=Parametres!$G$3),J985,D985)</f>
        <v>0</v>
      </c>
      <c r="P985" s="611">
        <f>+IF(OR($Q985=Parametres!$G$2,$Q985=Parametres!$G$3),K985,E985)</f>
        <v>0</v>
      </c>
      <c r="Q985" s="610">
        <f t="shared" si="64"/>
        <v>0</v>
      </c>
      <c r="R985" s="609">
        <f t="shared" si="65"/>
        <v>0</v>
      </c>
      <c r="S985" s="610">
        <f t="shared" si="66"/>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67"/>
        <v>0</v>
      </c>
      <c r="M986" s="610">
        <f t="shared" si="51"/>
        <v>0</v>
      </c>
      <c r="N986" s="611">
        <f>+IF(OR($Q986=Parametres!$G$2,$Q986=Parametres!$G$3),I986,C986)</f>
        <v>0</v>
      </c>
      <c r="O986" s="611">
        <f>+IF(OR($Q986=Parametres!$G$2,$Q986=Parametres!$G$3),J986,D986)</f>
        <v>0</v>
      </c>
      <c r="P986" s="611">
        <f>+IF(OR($Q986=Parametres!$G$2,$Q986=Parametres!$G$3),K986,E986)</f>
        <v>0</v>
      </c>
      <c r="Q986" s="610">
        <f t="shared" si="64"/>
        <v>0</v>
      </c>
      <c r="R986" s="609">
        <f t="shared" si="65"/>
        <v>0</v>
      </c>
      <c r="S986" s="610">
        <f t="shared" si="66"/>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67"/>
        <v>0</v>
      </c>
      <c r="M987" s="610">
        <f t="shared" si="51"/>
        <v>0</v>
      </c>
      <c r="N987" s="611">
        <f>+IF(OR($Q987=Parametres!$G$2,$Q987=Parametres!$G$3),I987,C987)</f>
        <v>0</v>
      </c>
      <c r="O987" s="611">
        <f>+IF(OR($Q987=Parametres!$G$2,$Q987=Parametres!$G$3),J987,D987)</f>
        <v>0</v>
      </c>
      <c r="P987" s="611">
        <f>+IF(OR($Q987=Parametres!$G$2,$Q987=Parametres!$G$3),K987,E987)</f>
        <v>0</v>
      </c>
      <c r="Q987" s="610">
        <f t="shared" si="64"/>
        <v>0</v>
      </c>
      <c r="R987" s="609">
        <f t="shared" si="65"/>
        <v>0</v>
      </c>
      <c r="S987" s="610">
        <f t="shared" si="66"/>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67"/>
        <v>0</v>
      </c>
      <c r="M988" s="610">
        <f t="shared" si="51"/>
        <v>0</v>
      </c>
      <c r="N988" s="611">
        <f>+IF(OR($Q988=Parametres!$G$2,$Q988=Parametres!$G$3),I988,C988)</f>
        <v>0</v>
      </c>
      <c r="O988" s="611">
        <f>+IF(OR($Q988=Parametres!$G$2,$Q988=Parametres!$G$3),J988,D988)</f>
        <v>0</v>
      </c>
      <c r="P988" s="611">
        <f>+IF(OR($Q988=Parametres!$G$2,$Q988=Parametres!$G$3),K988,E988)</f>
        <v>0</v>
      </c>
      <c r="Q988" s="610">
        <f t="shared" si="64"/>
        <v>0</v>
      </c>
      <c r="R988" s="609">
        <f t="shared" si="65"/>
        <v>0</v>
      </c>
      <c r="S988" s="610">
        <f t="shared" si="6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67"/>
        <v>0</v>
      </c>
      <c r="M989" s="610">
        <f t="shared" si="51"/>
        <v>0</v>
      </c>
      <c r="N989" s="611">
        <f>+IF(OR($Q989=Parametres!$G$2,$Q989=Parametres!$G$3),I989,C989)</f>
        <v>0</v>
      </c>
      <c r="O989" s="611">
        <f>+IF(OR($Q989=Parametres!$G$2,$Q989=Parametres!$G$3),J989,D989)</f>
        <v>0</v>
      </c>
      <c r="P989" s="611">
        <f>+IF(OR($Q989=Parametres!$G$2,$Q989=Parametres!$G$3),K989,E989)</f>
        <v>0</v>
      </c>
      <c r="Q989" s="610">
        <f t="shared" si="64"/>
        <v>0</v>
      </c>
      <c r="R989" s="609">
        <f t="shared" si="65"/>
        <v>0</v>
      </c>
      <c r="S989" s="610">
        <f t="shared" si="66"/>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67"/>
        <v>0</v>
      </c>
      <c r="M990" s="610">
        <f t="shared" si="51"/>
        <v>0</v>
      </c>
      <c r="N990" s="611">
        <f>+IF(OR($Q990=Parametres!$G$2,$Q990=Parametres!$G$3),I990,C990)</f>
        <v>0</v>
      </c>
      <c r="O990" s="611">
        <f>+IF(OR($Q990=Parametres!$G$2,$Q990=Parametres!$G$3),J990,D990)</f>
        <v>0</v>
      </c>
      <c r="P990" s="611">
        <f>+IF(OR($Q990=Parametres!$G$2,$Q990=Parametres!$G$3),K990,E990)</f>
        <v>0</v>
      </c>
      <c r="Q990" s="610">
        <f t="shared" si="64"/>
        <v>0</v>
      </c>
      <c r="R990" s="609">
        <f t="shared" si="65"/>
        <v>0</v>
      </c>
      <c r="S990" s="610">
        <f t="shared" si="66"/>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67"/>
        <v>0</v>
      </c>
      <c r="M991" s="610">
        <f t="shared" si="51"/>
        <v>0</v>
      </c>
      <c r="N991" s="611">
        <f>+IF(OR($Q991=Parametres!$G$2,$Q991=Parametres!$G$3),I991,C991)</f>
        <v>0</v>
      </c>
      <c r="O991" s="611">
        <f>+IF(OR($Q991=Parametres!$G$2,$Q991=Parametres!$G$3),J991,D991)</f>
        <v>0</v>
      </c>
      <c r="P991" s="611">
        <f>+IF(OR($Q991=Parametres!$G$2,$Q991=Parametres!$G$3),K991,E991)</f>
        <v>0</v>
      </c>
      <c r="Q991" s="610">
        <f t="shared" si="64"/>
        <v>0</v>
      </c>
      <c r="R991" s="609">
        <f t="shared" si="65"/>
        <v>0</v>
      </c>
      <c r="S991" s="610">
        <f t="shared" si="66"/>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67"/>
        <v>0</v>
      </c>
      <c r="M992" s="610">
        <f t="shared" si="51"/>
        <v>0</v>
      </c>
      <c r="N992" s="611">
        <f>+IF(OR($Q992=Parametres!$G$2,$Q992=Parametres!$G$3),I992,C992)</f>
        <v>0</v>
      </c>
      <c r="O992" s="611">
        <f>+IF(OR($Q992=Parametres!$G$2,$Q992=Parametres!$G$3),J992,D992)</f>
        <v>0</v>
      </c>
      <c r="P992" s="611">
        <f>+IF(OR($Q992=Parametres!$G$2,$Q992=Parametres!$G$3),K992,E992)</f>
        <v>0</v>
      </c>
      <c r="Q992" s="610">
        <f t="shared" si="64"/>
        <v>0</v>
      </c>
      <c r="R992" s="609">
        <f t="shared" si="65"/>
        <v>0</v>
      </c>
      <c r="S992" s="610">
        <f t="shared" si="66"/>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67"/>
        <v>0</v>
      </c>
      <c r="M993" s="610">
        <f t="shared" si="51"/>
        <v>0</v>
      </c>
      <c r="N993" s="611">
        <f>+IF(OR($Q993=Parametres!$G$2,$Q993=Parametres!$G$3),I993,C993)</f>
        <v>0</v>
      </c>
      <c r="O993" s="611">
        <f>+IF(OR($Q993=Parametres!$G$2,$Q993=Parametres!$G$3),J993,D993)</f>
        <v>0</v>
      </c>
      <c r="P993" s="611">
        <f>+IF(OR($Q993=Parametres!$G$2,$Q993=Parametres!$G$3),K993,E993)</f>
        <v>0</v>
      </c>
      <c r="Q993" s="610">
        <f t="shared" si="64"/>
        <v>0</v>
      </c>
      <c r="R993" s="609">
        <f t="shared" si="65"/>
        <v>0</v>
      </c>
      <c r="S993" s="610">
        <f t="shared" si="66"/>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67"/>
        <v>0</v>
      </c>
      <c r="M994" s="610">
        <f t="shared" si="51"/>
        <v>0</v>
      </c>
      <c r="N994" s="611">
        <f>+IF(OR($Q994=Parametres!$G$2,$Q994=Parametres!$G$3),I994,C994)</f>
        <v>0</v>
      </c>
      <c r="O994" s="611">
        <f>+IF(OR($Q994=Parametres!$G$2,$Q994=Parametres!$G$3),J994,D994)</f>
        <v>0</v>
      </c>
      <c r="P994" s="611">
        <f>+IF(OR($Q994=Parametres!$G$2,$Q994=Parametres!$G$3),K994,E994)</f>
        <v>0</v>
      </c>
      <c r="Q994" s="610">
        <f t="shared" si="64"/>
        <v>0</v>
      </c>
      <c r="R994" s="609">
        <f t="shared" si="65"/>
        <v>0</v>
      </c>
      <c r="S994" s="610">
        <f t="shared" si="66"/>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67"/>
        <v>0</v>
      </c>
      <c r="M995" s="610">
        <f t="shared" si="51"/>
        <v>0</v>
      </c>
      <c r="N995" s="611">
        <f>+IF(OR($Q995=Parametres!$G$2,$Q995=Parametres!$G$3),I995,C995)</f>
        <v>0</v>
      </c>
      <c r="O995" s="611">
        <f>+IF(OR($Q995=Parametres!$G$2,$Q995=Parametres!$G$3),J995,D995)</f>
        <v>0</v>
      </c>
      <c r="P995" s="611">
        <f>+IF(OR($Q995=Parametres!$G$2,$Q995=Parametres!$G$3),K995,E995)</f>
        <v>0</v>
      </c>
      <c r="Q995" s="610">
        <f t="shared" si="64"/>
        <v>0</v>
      </c>
      <c r="R995" s="609">
        <f t="shared" si="65"/>
        <v>0</v>
      </c>
      <c r="S995" s="610">
        <f t="shared" si="66"/>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67"/>
        <v>0</v>
      </c>
      <c r="M996" s="610">
        <f t="shared" si="51"/>
        <v>0</v>
      </c>
      <c r="N996" s="611">
        <f>+IF(OR($Q996=Parametres!$G$2,$Q996=Parametres!$G$3),I996,C996)</f>
        <v>0</v>
      </c>
      <c r="O996" s="611">
        <f>+IF(OR($Q996=Parametres!$G$2,$Q996=Parametres!$G$3),J996,D996)</f>
        <v>0</v>
      </c>
      <c r="P996" s="611">
        <f>+IF(OR($Q996=Parametres!$G$2,$Q996=Parametres!$G$3),K996,E996)</f>
        <v>0</v>
      </c>
      <c r="Q996" s="610">
        <f t="shared" si="64"/>
        <v>0</v>
      </c>
      <c r="R996" s="609">
        <f t="shared" si="65"/>
        <v>0</v>
      </c>
      <c r="S996" s="610">
        <f t="shared" si="66"/>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67"/>
        <v>0</v>
      </c>
      <c r="M997" s="610">
        <f t="shared" si="51"/>
        <v>0</v>
      </c>
      <c r="N997" s="611">
        <f>+IF(OR($Q997=Parametres!$G$2,$Q997=Parametres!$G$3),I997,C997)</f>
        <v>0</v>
      </c>
      <c r="O997" s="611">
        <f>+IF(OR($Q997=Parametres!$G$2,$Q997=Parametres!$G$3),J997,D997)</f>
        <v>0</v>
      </c>
      <c r="P997" s="611">
        <f>+IF(OR($Q997=Parametres!$G$2,$Q997=Parametres!$G$3),K997,E997)</f>
        <v>0</v>
      </c>
      <c r="Q997" s="610">
        <f t="shared" si="64"/>
        <v>0</v>
      </c>
      <c r="R997" s="609">
        <f t="shared" si="65"/>
        <v>0</v>
      </c>
      <c r="S997" s="610">
        <f t="shared" si="66"/>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67"/>
        <v>0</v>
      </c>
      <c r="M998" s="610">
        <f t="shared" si="51"/>
        <v>0</v>
      </c>
      <c r="N998" s="611">
        <f>+IF(OR($Q998=Parametres!$G$2,$Q998=Parametres!$G$3),I998,C998)</f>
        <v>0</v>
      </c>
      <c r="O998" s="611">
        <f>+IF(OR($Q998=Parametres!$G$2,$Q998=Parametres!$G$3),J998,D998)</f>
        <v>0</v>
      </c>
      <c r="P998" s="611">
        <f>+IF(OR($Q998=Parametres!$G$2,$Q998=Parametres!$G$3),K998,E998)</f>
        <v>0</v>
      </c>
      <c r="Q998" s="610">
        <f t="shared" si="64"/>
        <v>0</v>
      </c>
      <c r="R998" s="609">
        <f t="shared" si="65"/>
        <v>0</v>
      </c>
      <c r="S998" s="610">
        <f t="shared" si="6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67"/>
        <v>0</v>
      </c>
      <c r="M999" s="610">
        <f t="shared" si="51"/>
        <v>0</v>
      </c>
      <c r="N999" s="611">
        <f>+IF(OR($Q999=Parametres!$G$2,$Q999=Parametres!$G$3),I999,C999)</f>
        <v>0</v>
      </c>
      <c r="O999" s="611">
        <f>+IF(OR($Q999=Parametres!$G$2,$Q999=Parametres!$G$3),J999,D999)</f>
        <v>0</v>
      </c>
      <c r="P999" s="611">
        <f>+IF(OR($Q999=Parametres!$G$2,$Q999=Parametres!$G$3),K999,E999)</f>
        <v>0</v>
      </c>
      <c r="Q999" s="610">
        <f t="shared" si="64"/>
        <v>0</v>
      </c>
      <c r="R999" s="609">
        <f t="shared" si="65"/>
        <v>0</v>
      </c>
      <c r="S999" s="610">
        <f t="shared" si="66"/>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67"/>
        <v>0</v>
      </c>
      <c r="M1000" s="610">
        <f t="shared" si="51"/>
        <v>0</v>
      </c>
      <c r="N1000" s="611">
        <f>+IF(OR($Q1000=Parametres!$G$2,$Q1000=Parametres!$G$3),I1000,C1000)</f>
        <v>0</v>
      </c>
      <c r="O1000" s="611">
        <f>+IF(OR($Q1000=Parametres!$G$2,$Q1000=Parametres!$G$3),J1000,D1000)</f>
        <v>0</v>
      </c>
      <c r="P1000" s="611">
        <f>+IF(OR($Q1000=Parametres!$G$2,$Q1000=Parametres!$G$3),K1000,E1000)</f>
        <v>0</v>
      </c>
      <c r="Q1000" s="610">
        <f t="shared" si="64"/>
        <v>0</v>
      </c>
      <c r="R1000" s="609">
        <f t="shared" si="65"/>
        <v>0</v>
      </c>
      <c r="S1000" s="610">
        <f t="shared" si="66"/>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67"/>
        <v>0</v>
      </c>
      <c r="M1001" s="610">
        <f t="shared" si="51"/>
        <v>0</v>
      </c>
      <c r="N1001" s="611">
        <f>+IF(OR($Q1001=Parametres!$G$2,$Q1001=Parametres!$G$3),I1001,C1001)</f>
        <v>0</v>
      </c>
      <c r="O1001" s="611">
        <f>+IF(OR($Q1001=Parametres!$G$2,$Q1001=Parametres!$G$3),J1001,D1001)</f>
        <v>0</v>
      </c>
      <c r="P1001" s="611">
        <f>+IF(OR($Q1001=Parametres!$G$2,$Q1001=Parametres!$G$3),K1001,E1001)</f>
        <v>0</v>
      </c>
      <c r="Q1001" s="610">
        <f t="shared" si="64"/>
        <v>0</v>
      </c>
      <c r="R1001" s="609">
        <f t="shared" si="65"/>
        <v>0</v>
      </c>
      <c r="S1001" s="610">
        <f t="shared" si="66"/>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67"/>
        <v>0</v>
      </c>
      <c r="M1002" s="610">
        <f t="shared" si="51"/>
        <v>0</v>
      </c>
      <c r="N1002" s="611">
        <f>+IF(OR($Q1002=Parametres!$G$2,$Q1002=Parametres!$G$3),I1002,C1002)</f>
        <v>0</v>
      </c>
      <c r="O1002" s="611">
        <f>+IF(OR($Q1002=Parametres!$G$2,$Q1002=Parametres!$G$3),J1002,D1002)</f>
        <v>0</v>
      </c>
      <c r="P1002" s="611">
        <f>+IF(OR($Q1002=Parametres!$G$2,$Q1002=Parametres!$G$3),K1002,E1002)</f>
        <v>0</v>
      </c>
      <c r="Q1002" s="610">
        <f t="shared" si="64"/>
        <v>0</v>
      </c>
      <c r="R1002" s="609">
        <f t="shared" si="65"/>
        <v>0</v>
      </c>
      <c r="S1002" s="610">
        <f t="shared" si="66"/>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67"/>
        <v>0</v>
      </c>
      <c r="M1003" s="610">
        <f t="shared" si="51"/>
        <v>0</v>
      </c>
      <c r="N1003" s="611">
        <f>+IF(OR($Q1003=Parametres!$G$2,$Q1003=Parametres!$G$3),I1003,C1003)</f>
        <v>0</v>
      </c>
      <c r="O1003" s="611">
        <f>+IF(OR($Q1003=Parametres!$G$2,$Q1003=Parametres!$G$3),J1003,D1003)</f>
        <v>0</v>
      </c>
      <c r="P1003" s="611">
        <f>+IF(OR($Q1003=Parametres!$G$2,$Q1003=Parametres!$G$3),K1003,E1003)</f>
        <v>0</v>
      </c>
      <c r="Q1003" s="610">
        <f t="shared" si="64"/>
        <v>0</v>
      </c>
      <c r="R1003" s="609">
        <f t="shared" si="65"/>
        <v>0</v>
      </c>
      <c r="S1003" s="610">
        <f t="shared" si="66"/>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67"/>
        <v>0</v>
      </c>
      <c r="M1004" s="610">
        <f t="shared" si="51"/>
        <v>0</v>
      </c>
      <c r="N1004" s="611">
        <f>+IF(OR($Q1004=Parametres!$G$2,$Q1004=Parametres!$G$3),I1004,C1004)</f>
        <v>0</v>
      </c>
      <c r="O1004" s="611">
        <f>+IF(OR($Q1004=Parametres!$G$2,$Q1004=Parametres!$G$3),J1004,D1004)</f>
        <v>0</v>
      </c>
      <c r="P1004" s="611">
        <f>+IF(OR($Q1004=Parametres!$G$2,$Q1004=Parametres!$G$3),K1004,E1004)</f>
        <v>0</v>
      </c>
      <c r="Q1004" s="610">
        <f t="shared" si="64"/>
        <v>0</v>
      </c>
      <c r="R1004" s="609">
        <f t="shared" si="65"/>
        <v>0</v>
      </c>
      <c r="S1004" s="610">
        <f t="shared" si="66"/>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67"/>
        <v>0</v>
      </c>
      <c r="M1005" s="610">
        <f t="shared" si="51"/>
        <v>0</v>
      </c>
      <c r="N1005" s="611">
        <f>+IF(OR($Q1005=Parametres!$G$2,$Q1005=Parametres!$G$3),I1005,C1005)</f>
        <v>0</v>
      </c>
      <c r="O1005" s="611">
        <f>+IF(OR($Q1005=Parametres!$G$2,$Q1005=Parametres!$G$3),J1005,D1005)</f>
        <v>0</v>
      </c>
      <c r="P1005" s="611">
        <f>+IF(OR($Q1005=Parametres!$G$2,$Q1005=Parametres!$G$3),K1005,E1005)</f>
        <v>0</v>
      </c>
      <c r="Q1005" s="610">
        <f t="shared" si="64"/>
        <v>0</v>
      </c>
      <c r="R1005" s="609">
        <f t="shared" si="65"/>
        <v>0</v>
      </c>
      <c r="S1005" s="610">
        <f t="shared" si="66"/>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67"/>
        <v>0</v>
      </c>
      <c r="M1006" s="610">
        <f t="shared" si="51"/>
        <v>0</v>
      </c>
      <c r="N1006" s="611">
        <f>+IF(OR($Q1006=Parametres!$G$2,$Q1006=Parametres!$G$3),I1006,C1006)</f>
        <v>0</v>
      </c>
      <c r="O1006" s="611">
        <f>+IF(OR($Q1006=Parametres!$G$2,$Q1006=Parametres!$G$3),J1006,D1006)</f>
        <v>0</v>
      </c>
      <c r="P1006" s="611">
        <f>+IF(OR($Q1006=Parametres!$G$2,$Q1006=Parametres!$G$3),K1006,E1006)</f>
        <v>0</v>
      </c>
      <c r="Q1006" s="610">
        <f t="shared" si="64"/>
        <v>0</v>
      </c>
      <c r="R1006" s="609">
        <f t="shared" si="65"/>
        <v>0</v>
      </c>
      <c r="S1006" s="610">
        <f t="shared" si="66"/>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67"/>
        <v>0</v>
      </c>
      <c r="M1007" s="610">
        <f t="shared" si="51"/>
        <v>0</v>
      </c>
      <c r="N1007" s="611">
        <f>+IF(OR($Q1007=Parametres!$G$2,$Q1007=Parametres!$G$3),I1007,C1007)</f>
        <v>0</v>
      </c>
      <c r="O1007" s="611">
        <f>+IF(OR($Q1007=Parametres!$G$2,$Q1007=Parametres!$G$3),J1007,D1007)</f>
        <v>0</v>
      </c>
      <c r="P1007" s="611">
        <f>+IF(OR($Q1007=Parametres!$G$2,$Q1007=Parametres!$G$3),K1007,E1007)</f>
        <v>0</v>
      </c>
      <c r="Q1007" s="610">
        <f t="shared" si="64"/>
        <v>0</v>
      </c>
      <c r="R1007" s="609">
        <f t="shared" si="65"/>
        <v>0</v>
      </c>
      <c r="S1007" s="610">
        <f t="shared" si="66"/>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67"/>
        <v>0</v>
      </c>
      <c r="M1008" s="610">
        <f t="shared" si="51"/>
        <v>0</v>
      </c>
      <c r="N1008" s="611">
        <f>+IF(OR($Q1008=Parametres!$G$2,$Q1008=Parametres!$G$3),I1008,C1008)</f>
        <v>0</v>
      </c>
      <c r="O1008" s="611">
        <f>+IF(OR($Q1008=Parametres!$G$2,$Q1008=Parametres!$G$3),J1008,D1008)</f>
        <v>0</v>
      </c>
      <c r="P1008" s="611">
        <f>+IF(OR($Q1008=Parametres!$G$2,$Q1008=Parametres!$G$3),K1008,E1008)</f>
        <v>0</v>
      </c>
      <c r="Q1008" s="610">
        <f t="shared" si="64"/>
        <v>0</v>
      </c>
      <c r="R1008" s="609">
        <f t="shared" si="65"/>
        <v>0</v>
      </c>
      <c r="S1008" s="610">
        <f t="shared" si="6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67"/>
        <v>0</v>
      </c>
      <c r="M1009" s="610">
        <f t="shared" si="51"/>
        <v>0</v>
      </c>
      <c r="N1009" s="611">
        <f>+IF(OR($Q1009=Parametres!$G$2,$Q1009=Parametres!$G$3),I1009,C1009)</f>
        <v>0</v>
      </c>
      <c r="O1009" s="611">
        <f>+IF(OR($Q1009=Parametres!$G$2,$Q1009=Parametres!$G$3),J1009,D1009)</f>
        <v>0</v>
      </c>
      <c r="P1009" s="611">
        <f>+IF(OR($Q1009=Parametres!$G$2,$Q1009=Parametres!$G$3),K1009,E1009)</f>
        <v>0</v>
      </c>
      <c r="Q1009" s="610">
        <f t="shared" si="64"/>
        <v>0</v>
      </c>
      <c r="R1009" s="609">
        <f t="shared" si="65"/>
        <v>0</v>
      </c>
      <c r="S1009" s="610">
        <f t="shared" si="66"/>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67"/>
        <v>0</v>
      </c>
      <c r="M1010" s="610">
        <f t="shared" si="51"/>
        <v>0</v>
      </c>
      <c r="N1010" s="611">
        <f>+IF(OR($Q1010=Parametres!$G$2,$Q1010=Parametres!$G$3),I1010,C1010)</f>
        <v>0</v>
      </c>
      <c r="O1010" s="611">
        <f>+IF(OR($Q1010=Parametres!$G$2,$Q1010=Parametres!$G$3),J1010,D1010)</f>
        <v>0</v>
      </c>
      <c r="P1010" s="611">
        <f>+IF(OR($Q1010=Parametres!$G$2,$Q1010=Parametres!$G$3),K1010,E1010)</f>
        <v>0</v>
      </c>
      <c r="Q1010" s="610">
        <f t="shared" si="64"/>
        <v>0</v>
      </c>
      <c r="R1010" s="609">
        <f t="shared" si="65"/>
        <v>0</v>
      </c>
      <c r="S1010" s="610">
        <f t="shared" si="66"/>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67"/>
        <v>0</v>
      </c>
      <c r="M1011" s="610">
        <f t="shared" si="51"/>
        <v>0</v>
      </c>
      <c r="N1011" s="611">
        <f>+IF(OR($Q1011=Parametres!$G$2,$Q1011=Parametres!$G$3),I1011,C1011)</f>
        <v>0</v>
      </c>
      <c r="O1011" s="611">
        <f>+IF(OR($Q1011=Parametres!$G$2,$Q1011=Parametres!$G$3),J1011,D1011)</f>
        <v>0</v>
      </c>
      <c r="P1011" s="611">
        <f>+IF(OR($Q1011=Parametres!$G$2,$Q1011=Parametres!$G$3),K1011,E1011)</f>
        <v>0</v>
      </c>
      <c r="Q1011" s="610">
        <f t="shared" si="64"/>
        <v>0</v>
      </c>
      <c r="R1011" s="609">
        <f t="shared" si="65"/>
        <v>0</v>
      </c>
      <c r="S1011" s="610">
        <f t="shared" si="66"/>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67"/>
        <v>0</v>
      </c>
      <c r="M1012" s="610">
        <f t="shared" si="51"/>
        <v>0</v>
      </c>
      <c r="N1012" s="611">
        <f>+IF(OR($Q1012=Parametres!$G$2,$Q1012=Parametres!$G$3),I1012,C1012)</f>
        <v>0</v>
      </c>
      <c r="O1012" s="611">
        <f>+IF(OR($Q1012=Parametres!$G$2,$Q1012=Parametres!$G$3),J1012,D1012)</f>
        <v>0</v>
      </c>
      <c r="P1012" s="611">
        <f>+IF(OR($Q1012=Parametres!$G$2,$Q1012=Parametres!$G$3),K1012,E1012)</f>
        <v>0</v>
      </c>
      <c r="Q1012" s="610">
        <f t="shared" si="64"/>
        <v>0</v>
      </c>
      <c r="R1012" s="609">
        <f t="shared" si="65"/>
        <v>0</v>
      </c>
      <c r="S1012" s="610">
        <f t="shared" si="66"/>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67"/>
        <v>0</v>
      </c>
      <c r="M1013" s="610">
        <f t="shared" si="51"/>
        <v>0</v>
      </c>
      <c r="N1013" s="611">
        <f>+IF(OR($Q1013=Parametres!$G$2,$Q1013=Parametres!$G$3),I1013,C1013)</f>
        <v>0</v>
      </c>
      <c r="O1013" s="611">
        <f>+IF(OR($Q1013=Parametres!$G$2,$Q1013=Parametres!$G$3),J1013,D1013)</f>
        <v>0</v>
      </c>
      <c r="P1013" s="611">
        <f>+IF(OR($Q1013=Parametres!$G$2,$Q1013=Parametres!$G$3),K1013,E1013)</f>
        <v>0</v>
      </c>
      <c r="Q1013" s="610">
        <f t="shared" si="64"/>
        <v>0</v>
      </c>
      <c r="R1013" s="609">
        <f t="shared" si="65"/>
        <v>0</v>
      </c>
      <c r="S1013" s="610">
        <f t="shared" si="66"/>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67"/>
        <v>0</v>
      </c>
      <c r="M1014" s="610">
        <f t="shared" si="51"/>
        <v>0</v>
      </c>
      <c r="N1014" s="611">
        <f>+IF(OR($Q1014=Parametres!$G$2,$Q1014=Parametres!$G$3),I1014,C1014)</f>
        <v>0</v>
      </c>
      <c r="O1014" s="611">
        <f>+IF(OR($Q1014=Parametres!$G$2,$Q1014=Parametres!$G$3),J1014,D1014)</f>
        <v>0</v>
      </c>
      <c r="P1014" s="611">
        <f>+IF(OR($Q1014=Parametres!$G$2,$Q1014=Parametres!$G$3),K1014,E1014)</f>
        <v>0</v>
      </c>
      <c r="Q1014" s="610">
        <f t="shared" si="64"/>
        <v>0</v>
      </c>
      <c r="R1014" s="609">
        <f t="shared" si="65"/>
        <v>0</v>
      </c>
      <c r="S1014" s="610">
        <f t="shared" si="66"/>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67"/>
        <v>0</v>
      </c>
      <c r="M1015" s="610">
        <f t="shared" si="51"/>
        <v>0</v>
      </c>
      <c r="N1015" s="611">
        <f>+IF(OR($Q1015=Parametres!$G$2,$Q1015=Parametres!$G$3),I1015,C1015)</f>
        <v>0</v>
      </c>
      <c r="O1015" s="611">
        <f>+IF(OR($Q1015=Parametres!$G$2,$Q1015=Parametres!$G$3),J1015,D1015)</f>
        <v>0</v>
      </c>
      <c r="P1015" s="611">
        <f>+IF(OR($Q1015=Parametres!$G$2,$Q1015=Parametres!$G$3),K1015,E1015)</f>
        <v>0</v>
      </c>
      <c r="Q1015" s="610">
        <f t="shared" si="64"/>
        <v>0</v>
      </c>
      <c r="R1015" s="609">
        <f t="shared" si="65"/>
        <v>0</v>
      </c>
      <c r="S1015" s="610">
        <f t="shared" si="66"/>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67"/>
        <v>0</v>
      </c>
      <c r="M1016" s="610">
        <f t="shared" si="51"/>
        <v>0</v>
      </c>
      <c r="N1016" s="611">
        <f>+IF(OR($Q1016=Parametres!$G$2,$Q1016=Parametres!$G$3),I1016,C1016)</f>
        <v>0</v>
      </c>
      <c r="O1016" s="611">
        <f>+IF(OR($Q1016=Parametres!$G$2,$Q1016=Parametres!$G$3),J1016,D1016)</f>
        <v>0</v>
      </c>
      <c r="P1016" s="611">
        <f>+IF(OR($Q1016=Parametres!$G$2,$Q1016=Parametres!$G$3),K1016,E1016)</f>
        <v>0</v>
      </c>
      <c r="Q1016" s="610">
        <f t="shared" si="64"/>
        <v>0</v>
      </c>
      <c r="R1016" s="609">
        <f t="shared" si="65"/>
        <v>0</v>
      </c>
      <c r="S1016" s="610">
        <f t="shared" si="66"/>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67"/>
        <v>0</v>
      </c>
      <c r="M1017" s="610">
        <f t="shared" si="51"/>
        <v>0</v>
      </c>
      <c r="N1017" s="611">
        <f>+IF(OR($Q1017=Parametres!$G$2,$Q1017=Parametres!$G$3),I1017,C1017)</f>
        <v>0</v>
      </c>
      <c r="O1017" s="611">
        <f>+IF(OR($Q1017=Parametres!$G$2,$Q1017=Parametres!$G$3),J1017,D1017)</f>
        <v>0</v>
      </c>
      <c r="P1017" s="611">
        <f>+IF(OR($Q1017=Parametres!$G$2,$Q1017=Parametres!$G$3),K1017,E1017)</f>
        <v>0</v>
      </c>
      <c r="Q1017" s="610">
        <f t="shared" si="64"/>
        <v>0</v>
      </c>
      <c r="R1017" s="609">
        <f t="shared" si="65"/>
        <v>0</v>
      </c>
      <c r="S1017" s="610">
        <f t="shared" si="66"/>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67"/>
        <v>0</v>
      </c>
      <c r="M1018" s="610">
        <f t="shared" si="51"/>
        <v>0</v>
      </c>
      <c r="N1018" s="611">
        <f>+IF(OR($Q1018=Parametres!$G$2,$Q1018=Parametres!$G$3),I1018,C1018)</f>
        <v>0</v>
      </c>
      <c r="O1018" s="611">
        <f>+IF(OR($Q1018=Parametres!$G$2,$Q1018=Parametres!$G$3),J1018,D1018)</f>
        <v>0</v>
      </c>
      <c r="P1018" s="611">
        <f>+IF(OR($Q1018=Parametres!$G$2,$Q1018=Parametres!$G$3),K1018,E1018)</f>
        <v>0</v>
      </c>
      <c r="Q1018" s="610">
        <f t="shared" si="64"/>
        <v>0</v>
      </c>
      <c r="R1018" s="609">
        <f t="shared" si="65"/>
        <v>0</v>
      </c>
      <c r="S1018" s="610">
        <f t="shared" si="6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67"/>
        <v>0</v>
      </c>
      <c r="M1019" s="610">
        <f t="shared" si="51"/>
        <v>0</v>
      </c>
      <c r="N1019" s="611">
        <f>+IF(OR($Q1019=Parametres!$G$2,$Q1019=Parametres!$G$3),I1019,C1019)</f>
        <v>0</v>
      </c>
      <c r="O1019" s="611">
        <f>+IF(OR($Q1019=Parametres!$G$2,$Q1019=Parametres!$G$3),J1019,D1019)</f>
        <v>0</v>
      </c>
      <c r="P1019" s="611">
        <f>+IF(OR($Q1019=Parametres!$G$2,$Q1019=Parametres!$G$3),K1019,E1019)</f>
        <v>0</v>
      </c>
      <c r="Q1019" s="610">
        <f t="shared" si="64"/>
        <v>0</v>
      </c>
      <c r="R1019" s="609">
        <f t="shared" si="65"/>
        <v>0</v>
      </c>
      <c r="S1019" s="610">
        <f t="shared" si="66"/>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67"/>
        <v>0</v>
      </c>
      <c r="M1020" s="610">
        <f t="shared" si="51"/>
        <v>0</v>
      </c>
      <c r="N1020" s="611">
        <f>+IF(OR($Q1020=Parametres!$G$2,$Q1020=Parametres!$G$3),I1020,C1020)</f>
        <v>0</v>
      </c>
      <c r="O1020" s="611">
        <f>+IF(OR($Q1020=Parametres!$G$2,$Q1020=Parametres!$G$3),J1020,D1020)</f>
        <v>0</v>
      </c>
      <c r="P1020" s="611">
        <f>+IF(OR($Q1020=Parametres!$G$2,$Q1020=Parametres!$G$3),K1020,E1020)</f>
        <v>0</v>
      </c>
      <c r="Q1020" s="610">
        <f t="shared" si="64"/>
        <v>0</v>
      </c>
      <c r="R1020" s="609">
        <f t="shared" si="65"/>
        <v>0</v>
      </c>
      <c r="S1020" s="610">
        <f t="shared" si="66"/>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67"/>
        <v>0</v>
      </c>
      <c r="M1021" s="610">
        <f t="shared" si="51"/>
        <v>0</v>
      </c>
      <c r="N1021" s="611">
        <f>+IF(OR($Q1021=Parametres!$G$2,$Q1021=Parametres!$G$3),I1021,C1021)</f>
        <v>0</v>
      </c>
      <c r="O1021" s="611">
        <f>+IF(OR($Q1021=Parametres!$G$2,$Q1021=Parametres!$G$3),J1021,D1021)</f>
        <v>0</v>
      </c>
      <c r="P1021" s="611">
        <f>+IF(OR($Q1021=Parametres!$G$2,$Q1021=Parametres!$G$3),K1021,E1021)</f>
        <v>0</v>
      </c>
      <c r="Q1021" s="610">
        <f t="shared" si="64"/>
        <v>0</v>
      </c>
      <c r="R1021" s="609">
        <f t="shared" si="65"/>
        <v>0</v>
      </c>
      <c r="S1021" s="610">
        <f t="shared" si="66"/>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67"/>
        <v>0</v>
      </c>
      <c r="M1022" s="610">
        <f t="shared" ref="M1022:M1055" si="68">+A1022</f>
        <v>0</v>
      </c>
      <c r="N1022" s="611">
        <f>+IF(OR($Q1022=Parametres!$G$2,$Q1022=Parametres!$G$3),I1022,C1022)</f>
        <v>0</v>
      </c>
      <c r="O1022" s="611">
        <f>+IF(OR($Q1022=Parametres!$G$2,$Q1022=Parametres!$G$3),J1022,D1022)</f>
        <v>0</v>
      </c>
      <c r="P1022" s="611">
        <f>+IF(OR($Q1022=Parametres!$G$2,$Q1022=Parametres!$G$3),K1022,E1022)</f>
        <v>0</v>
      </c>
      <c r="Q1022" s="610">
        <f t="shared" si="64"/>
        <v>0</v>
      </c>
      <c r="R1022" s="609">
        <f t="shared" si="65"/>
        <v>0</v>
      </c>
      <c r="S1022" s="610">
        <f t="shared" si="66"/>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67"/>
        <v>0</v>
      </c>
      <c r="M1023" s="610">
        <f t="shared" si="68"/>
        <v>0</v>
      </c>
      <c r="N1023" s="611">
        <f>+IF(OR($Q1023=Parametres!$G$2,$Q1023=Parametres!$G$3),I1023,C1023)</f>
        <v>0</v>
      </c>
      <c r="O1023" s="611">
        <f>+IF(OR($Q1023=Parametres!$G$2,$Q1023=Parametres!$G$3),J1023,D1023)</f>
        <v>0</v>
      </c>
      <c r="P1023" s="611">
        <f>+IF(OR($Q1023=Parametres!$G$2,$Q1023=Parametres!$G$3),K1023,E1023)</f>
        <v>0</v>
      </c>
      <c r="Q1023" s="610">
        <f t="shared" si="64"/>
        <v>0</v>
      </c>
      <c r="R1023" s="609">
        <f t="shared" si="65"/>
        <v>0</v>
      </c>
      <c r="S1023" s="610">
        <f t="shared" si="66"/>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67"/>
        <v>0</v>
      </c>
      <c r="M1024" s="610">
        <f t="shared" si="68"/>
        <v>0</v>
      </c>
      <c r="N1024" s="611">
        <f>+IF(OR($Q1024=Parametres!$G$2,$Q1024=Parametres!$G$3),I1024,C1024)</f>
        <v>0</v>
      </c>
      <c r="O1024" s="611">
        <f>+IF(OR($Q1024=Parametres!$G$2,$Q1024=Parametres!$G$3),J1024,D1024)</f>
        <v>0</v>
      </c>
      <c r="P1024" s="611">
        <f>+IF(OR($Q1024=Parametres!$G$2,$Q1024=Parametres!$G$3),K1024,E1024)</f>
        <v>0</v>
      </c>
      <c r="Q1024" s="610">
        <f t="shared" si="64"/>
        <v>0</v>
      </c>
      <c r="R1024" s="609">
        <f t="shared" si="65"/>
        <v>0</v>
      </c>
      <c r="S1024" s="610">
        <f t="shared" si="66"/>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67"/>
        <v>0</v>
      </c>
      <c r="M1025" s="610">
        <f t="shared" si="68"/>
        <v>0</v>
      </c>
      <c r="N1025" s="611">
        <f>+IF(OR($Q1025=Parametres!$G$2,$Q1025=Parametres!$G$3),I1025,C1025)</f>
        <v>0</v>
      </c>
      <c r="O1025" s="611">
        <f>+IF(OR($Q1025=Parametres!$G$2,$Q1025=Parametres!$G$3),J1025,D1025)</f>
        <v>0</v>
      </c>
      <c r="P1025" s="611">
        <f>+IF(OR($Q1025=Parametres!$G$2,$Q1025=Parametres!$G$3),K1025,E1025)</f>
        <v>0</v>
      </c>
      <c r="Q1025" s="610">
        <f t="shared" si="64"/>
        <v>0</v>
      </c>
      <c r="R1025" s="609">
        <f t="shared" si="65"/>
        <v>0</v>
      </c>
      <c r="S1025" s="610">
        <f t="shared" si="66"/>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67"/>
        <v>0</v>
      </c>
      <c r="M1026" s="610">
        <f t="shared" si="68"/>
        <v>0</v>
      </c>
      <c r="N1026" s="611">
        <f>+IF(OR($Q1026=Parametres!$G$2,$Q1026=Parametres!$G$3),I1026,C1026)</f>
        <v>0</v>
      </c>
      <c r="O1026" s="611">
        <f>+IF(OR($Q1026=Parametres!$G$2,$Q1026=Parametres!$G$3),J1026,D1026)</f>
        <v>0</v>
      </c>
      <c r="P1026" s="611">
        <f>+IF(OR($Q1026=Parametres!$G$2,$Q1026=Parametres!$G$3),K1026,E1026)</f>
        <v>0</v>
      </c>
      <c r="Q1026" s="610">
        <f t="shared" ref="Q1026:Q1055" si="69">+F1026</f>
        <v>0</v>
      </c>
      <c r="R1026" s="609">
        <f t="shared" ref="R1026:R1055" si="70">+G1026</f>
        <v>0</v>
      </c>
      <c r="S1026" s="610">
        <f t="shared" ref="S1026:S1055" si="71">+H1026</f>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72">TEXT(B1027,0)</f>
        <v>0</v>
      </c>
      <c r="M1027" s="610">
        <f t="shared" si="68"/>
        <v>0</v>
      </c>
      <c r="N1027" s="611">
        <f>+IF(OR($Q1027=Parametres!$G$2,$Q1027=Parametres!$G$3),I1027,C1027)</f>
        <v>0</v>
      </c>
      <c r="O1027" s="611">
        <f>+IF(OR($Q1027=Parametres!$G$2,$Q1027=Parametres!$G$3),J1027,D1027)</f>
        <v>0</v>
      </c>
      <c r="P1027" s="611">
        <f>+IF(OR($Q1027=Parametres!$G$2,$Q1027=Parametres!$G$3),K1027,E1027)</f>
        <v>0</v>
      </c>
      <c r="Q1027" s="610">
        <f t="shared" si="69"/>
        <v>0</v>
      </c>
      <c r="R1027" s="609">
        <f t="shared" si="70"/>
        <v>0</v>
      </c>
      <c r="S1027" s="610">
        <f t="shared" si="71"/>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72"/>
        <v>0</v>
      </c>
      <c r="M1028" s="610">
        <f t="shared" si="68"/>
        <v>0</v>
      </c>
      <c r="N1028" s="611">
        <f>+IF(OR($Q1028=Parametres!$G$2,$Q1028=Parametres!$G$3),I1028,C1028)</f>
        <v>0</v>
      </c>
      <c r="O1028" s="611">
        <f>+IF(OR($Q1028=Parametres!$G$2,$Q1028=Parametres!$G$3),J1028,D1028)</f>
        <v>0</v>
      </c>
      <c r="P1028" s="611">
        <f>+IF(OR($Q1028=Parametres!$G$2,$Q1028=Parametres!$G$3),K1028,E1028)</f>
        <v>0</v>
      </c>
      <c r="Q1028" s="610">
        <f t="shared" si="69"/>
        <v>0</v>
      </c>
      <c r="R1028" s="609">
        <f t="shared" si="70"/>
        <v>0</v>
      </c>
      <c r="S1028" s="610">
        <f t="shared" si="71"/>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72"/>
        <v>0</v>
      </c>
      <c r="M1029" s="610">
        <f t="shared" si="68"/>
        <v>0</v>
      </c>
      <c r="N1029" s="611">
        <f>+IF(OR($Q1029=Parametres!$G$2,$Q1029=Parametres!$G$3),I1029,C1029)</f>
        <v>0</v>
      </c>
      <c r="O1029" s="611">
        <f>+IF(OR($Q1029=Parametres!$G$2,$Q1029=Parametres!$G$3),J1029,D1029)</f>
        <v>0</v>
      </c>
      <c r="P1029" s="611">
        <f>+IF(OR($Q1029=Parametres!$G$2,$Q1029=Parametres!$G$3),K1029,E1029)</f>
        <v>0</v>
      </c>
      <c r="Q1029" s="610">
        <f t="shared" si="69"/>
        <v>0</v>
      </c>
      <c r="R1029" s="609">
        <f t="shared" si="70"/>
        <v>0</v>
      </c>
      <c r="S1029" s="610">
        <f t="shared" si="71"/>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72"/>
        <v>0</v>
      </c>
      <c r="M1030" s="610">
        <f t="shared" si="68"/>
        <v>0</v>
      </c>
      <c r="N1030" s="611">
        <f>+IF(OR($Q1030=Parametres!$G$2,$Q1030=Parametres!$G$3),I1030,C1030)</f>
        <v>0</v>
      </c>
      <c r="O1030" s="611">
        <f>+IF(OR($Q1030=Parametres!$G$2,$Q1030=Parametres!$G$3),J1030,D1030)</f>
        <v>0</v>
      </c>
      <c r="P1030" s="611">
        <f>+IF(OR($Q1030=Parametres!$G$2,$Q1030=Parametres!$G$3),K1030,E1030)</f>
        <v>0</v>
      </c>
      <c r="Q1030" s="610">
        <f t="shared" si="69"/>
        <v>0</v>
      </c>
      <c r="R1030" s="609">
        <f t="shared" si="70"/>
        <v>0</v>
      </c>
      <c r="S1030" s="610">
        <f t="shared" si="71"/>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72"/>
        <v>0</v>
      </c>
      <c r="M1031" s="610">
        <f t="shared" si="68"/>
        <v>0</v>
      </c>
      <c r="N1031" s="611">
        <f>+IF(OR($Q1031=Parametres!$G$2,$Q1031=Parametres!$G$3),I1031,C1031)</f>
        <v>0</v>
      </c>
      <c r="O1031" s="611">
        <f>+IF(OR($Q1031=Parametres!$G$2,$Q1031=Parametres!$G$3),J1031,D1031)</f>
        <v>0</v>
      </c>
      <c r="P1031" s="611">
        <f>+IF(OR($Q1031=Parametres!$G$2,$Q1031=Parametres!$G$3),K1031,E1031)</f>
        <v>0</v>
      </c>
      <c r="Q1031" s="610">
        <f t="shared" si="69"/>
        <v>0</v>
      </c>
      <c r="R1031" s="609">
        <f t="shared" si="70"/>
        <v>0</v>
      </c>
      <c r="S1031" s="610">
        <f t="shared" si="7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72"/>
        <v>0</v>
      </c>
      <c r="M1032" s="610">
        <f t="shared" si="68"/>
        <v>0</v>
      </c>
      <c r="N1032" s="611">
        <f>+IF(OR($Q1032=Parametres!$G$2,$Q1032=Parametres!$G$3),I1032,C1032)</f>
        <v>0</v>
      </c>
      <c r="O1032" s="611">
        <f>+IF(OR($Q1032=Parametres!$G$2,$Q1032=Parametres!$G$3),J1032,D1032)</f>
        <v>0</v>
      </c>
      <c r="P1032" s="611">
        <f>+IF(OR($Q1032=Parametres!$G$2,$Q1032=Parametres!$G$3),K1032,E1032)</f>
        <v>0</v>
      </c>
      <c r="Q1032" s="610">
        <f t="shared" si="69"/>
        <v>0</v>
      </c>
      <c r="R1032" s="609">
        <f t="shared" si="70"/>
        <v>0</v>
      </c>
      <c r="S1032" s="610">
        <f t="shared" si="71"/>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72"/>
        <v>0</v>
      </c>
      <c r="M1033" s="610">
        <f t="shared" si="68"/>
        <v>0</v>
      </c>
      <c r="N1033" s="611">
        <f>+IF(OR($Q1033=Parametres!$G$2,$Q1033=Parametres!$G$3),I1033,C1033)</f>
        <v>0</v>
      </c>
      <c r="O1033" s="611">
        <f>+IF(OR($Q1033=Parametres!$G$2,$Q1033=Parametres!$G$3),J1033,D1033)</f>
        <v>0</v>
      </c>
      <c r="P1033" s="611">
        <f>+IF(OR($Q1033=Parametres!$G$2,$Q1033=Parametres!$G$3),K1033,E1033)</f>
        <v>0</v>
      </c>
      <c r="Q1033" s="610">
        <f t="shared" si="69"/>
        <v>0</v>
      </c>
      <c r="R1033" s="609">
        <f t="shared" si="70"/>
        <v>0</v>
      </c>
      <c r="S1033" s="610">
        <f t="shared" si="71"/>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72"/>
        <v>0</v>
      </c>
      <c r="M1034" s="610">
        <f t="shared" si="68"/>
        <v>0</v>
      </c>
      <c r="N1034" s="611">
        <f>+IF(OR($Q1034=Parametres!$G$2,$Q1034=Parametres!$G$3),I1034,C1034)</f>
        <v>0</v>
      </c>
      <c r="O1034" s="611">
        <f>+IF(OR($Q1034=Parametres!$G$2,$Q1034=Parametres!$G$3),J1034,D1034)</f>
        <v>0</v>
      </c>
      <c r="P1034" s="611">
        <f>+IF(OR($Q1034=Parametres!$G$2,$Q1034=Parametres!$G$3),K1034,E1034)</f>
        <v>0</v>
      </c>
      <c r="Q1034" s="610">
        <f t="shared" si="69"/>
        <v>0</v>
      </c>
      <c r="R1034" s="609">
        <f t="shared" si="70"/>
        <v>0</v>
      </c>
      <c r="S1034" s="610">
        <f t="shared" si="71"/>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72"/>
        <v>0</v>
      </c>
      <c r="M1035" s="610">
        <f t="shared" si="68"/>
        <v>0</v>
      </c>
      <c r="N1035" s="611">
        <f>+IF(OR($Q1035=Parametres!$G$2,$Q1035=Parametres!$G$3),I1035,C1035)</f>
        <v>0</v>
      </c>
      <c r="O1035" s="611">
        <f>+IF(OR($Q1035=Parametres!$G$2,$Q1035=Parametres!$G$3),J1035,D1035)</f>
        <v>0</v>
      </c>
      <c r="P1035" s="611">
        <f>+IF(OR($Q1035=Parametres!$G$2,$Q1035=Parametres!$G$3),K1035,E1035)</f>
        <v>0</v>
      </c>
      <c r="Q1035" s="610">
        <f t="shared" si="69"/>
        <v>0</v>
      </c>
      <c r="R1035" s="609">
        <f t="shared" si="70"/>
        <v>0</v>
      </c>
      <c r="S1035" s="610">
        <f t="shared" si="71"/>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72"/>
        <v>0</v>
      </c>
      <c r="M1036" s="610">
        <f t="shared" si="68"/>
        <v>0</v>
      </c>
      <c r="N1036" s="611">
        <f>+IF(OR($Q1036=Parametres!$G$2,$Q1036=Parametres!$G$3),I1036,C1036)</f>
        <v>0</v>
      </c>
      <c r="O1036" s="611">
        <f>+IF(OR($Q1036=Parametres!$G$2,$Q1036=Parametres!$G$3),J1036,D1036)</f>
        <v>0</v>
      </c>
      <c r="P1036" s="611">
        <f>+IF(OR($Q1036=Parametres!$G$2,$Q1036=Parametres!$G$3),K1036,E1036)</f>
        <v>0</v>
      </c>
      <c r="Q1036" s="610">
        <f t="shared" si="69"/>
        <v>0</v>
      </c>
      <c r="R1036" s="609">
        <f t="shared" si="70"/>
        <v>0</v>
      </c>
      <c r="S1036" s="610">
        <f t="shared" si="71"/>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72"/>
        <v>0</v>
      </c>
      <c r="M1037" s="610">
        <f t="shared" si="68"/>
        <v>0</v>
      </c>
      <c r="N1037" s="611">
        <f>+IF(OR($Q1037=Parametres!$G$2,$Q1037=Parametres!$G$3),I1037,C1037)</f>
        <v>0</v>
      </c>
      <c r="O1037" s="611">
        <f>+IF(OR($Q1037=Parametres!$G$2,$Q1037=Parametres!$G$3),J1037,D1037)</f>
        <v>0</v>
      </c>
      <c r="P1037" s="611">
        <f>+IF(OR($Q1037=Parametres!$G$2,$Q1037=Parametres!$G$3),K1037,E1037)</f>
        <v>0</v>
      </c>
      <c r="Q1037" s="610">
        <f t="shared" si="69"/>
        <v>0</v>
      </c>
      <c r="R1037" s="609">
        <f t="shared" si="70"/>
        <v>0</v>
      </c>
      <c r="S1037" s="610">
        <f t="shared" si="71"/>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72"/>
        <v>0</v>
      </c>
      <c r="M1038" s="610">
        <f t="shared" si="68"/>
        <v>0</v>
      </c>
      <c r="N1038" s="611">
        <f>+IF(OR($Q1038=Parametres!$G$2,$Q1038=Parametres!$G$3),I1038,C1038)</f>
        <v>0</v>
      </c>
      <c r="O1038" s="611">
        <f>+IF(OR($Q1038=Parametres!$G$2,$Q1038=Parametres!$G$3),J1038,D1038)</f>
        <v>0</v>
      </c>
      <c r="P1038" s="611">
        <f>+IF(OR($Q1038=Parametres!$G$2,$Q1038=Parametres!$G$3),K1038,E1038)</f>
        <v>0</v>
      </c>
      <c r="Q1038" s="610">
        <f t="shared" si="69"/>
        <v>0</v>
      </c>
      <c r="R1038" s="609">
        <f t="shared" si="70"/>
        <v>0</v>
      </c>
      <c r="S1038" s="610">
        <f t="shared" si="71"/>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72"/>
        <v>0</v>
      </c>
      <c r="M1039" s="610">
        <f t="shared" si="68"/>
        <v>0</v>
      </c>
      <c r="N1039" s="611">
        <f>+IF(OR($Q1039=Parametres!$G$2,$Q1039=Parametres!$G$3),I1039,C1039)</f>
        <v>0</v>
      </c>
      <c r="O1039" s="611">
        <f>+IF(OR($Q1039=Parametres!$G$2,$Q1039=Parametres!$G$3),J1039,D1039)</f>
        <v>0</v>
      </c>
      <c r="P1039" s="611">
        <f>+IF(OR($Q1039=Parametres!$G$2,$Q1039=Parametres!$G$3),K1039,E1039)</f>
        <v>0</v>
      </c>
      <c r="Q1039" s="610">
        <f t="shared" si="69"/>
        <v>0</v>
      </c>
      <c r="R1039" s="609">
        <f t="shared" si="70"/>
        <v>0</v>
      </c>
      <c r="S1039" s="610">
        <f t="shared" si="71"/>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72"/>
        <v>0</v>
      </c>
      <c r="M1040" s="610">
        <f t="shared" si="68"/>
        <v>0</v>
      </c>
      <c r="N1040" s="611">
        <f>+IF(OR($Q1040=Parametres!$G$2,$Q1040=Parametres!$G$3),I1040,C1040)</f>
        <v>0</v>
      </c>
      <c r="O1040" s="611">
        <f>+IF(OR($Q1040=Parametres!$G$2,$Q1040=Parametres!$G$3),J1040,D1040)</f>
        <v>0</v>
      </c>
      <c r="P1040" s="611">
        <f>+IF(OR($Q1040=Parametres!$G$2,$Q1040=Parametres!$G$3),K1040,E1040)</f>
        <v>0</v>
      </c>
      <c r="Q1040" s="610">
        <f t="shared" si="69"/>
        <v>0</v>
      </c>
      <c r="R1040" s="609">
        <f t="shared" si="70"/>
        <v>0</v>
      </c>
      <c r="S1040" s="610">
        <f t="shared" si="71"/>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72"/>
        <v>0</v>
      </c>
      <c r="M1041" s="610">
        <f t="shared" si="68"/>
        <v>0</v>
      </c>
      <c r="N1041" s="611">
        <f>+IF(OR($Q1041=Parametres!$G$2,$Q1041=Parametres!$G$3),I1041,C1041)</f>
        <v>0</v>
      </c>
      <c r="O1041" s="611">
        <f>+IF(OR($Q1041=Parametres!$G$2,$Q1041=Parametres!$G$3),J1041,D1041)</f>
        <v>0</v>
      </c>
      <c r="P1041" s="611">
        <f>+IF(OR($Q1041=Parametres!$G$2,$Q1041=Parametres!$G$3),K1041,E1041)</f>
        <v>0</v>
      </c>
      <c r="Q1041" s="610">
        <f t="shared" si="69"/>
        <v>0</v>
      </c>
      <c r="R1041" s="609">
        <f t="shared" si="70"/>
        <v>0</v>
      </c>
      <c r="S1041" s="610">
        <f t="shared" si="7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72"/>
        <v>0</v>
      </c>
      <c r="M1042" s="610">
        <f t="shared" si="68"/>
        <v>0</v>
      </c>
      <c r="N1042" s="611">
        <f>+IF(OR($Q1042=Parametres!$G$2,$Q1042=Parametres!$G$3),I1042,C1042)</f>
        <v>0</v>
      </c>
      <c r="O1042" s="611">
        <f>+IF(OR($Q1042=Parametres!$G$2,$Q1042=Parametres!$G$3),J1042,D1042)</f>
        <v>0</v>
      </c>
      <c r="P1042" s="611">
        <f>+IF(OR($Q1042=Parametres!$G$2,$Q1042=Parametres!$G$3),K1042,E1042)</f>
        <v>0</v>
      </c>
      <c r="Q1042" s="610">
        <f t="shared" si="69"/>
        <v>0</v>
      </c>
      <c r="R1042" s="609">
        <f t="shared" si="70"/>
        <v>0</v>
      </c>
      <c r="S1042" s="610">
        <f t="shared" si="71"/>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72"/>
        <v>0</v>
      </c>
      <c r="M1043" s="610">
        <f t="shared" si="68"/>
        <v>0</v>
      </c>
      <c r="N1043" s="611">
        <f>+IF(OR($Q1043=Parametres!$G$2,$Q1043=Parametres!$G$3),I1043,C1043)</f>
        <v>0</v>
      </c>
      <c r="O1043" s="611">
        <f>+IF(OR($Q1043=Parametres!$G$2,$Q1043=Parametres!$G$3),J1043,D1043)</f>
        <v>0</v>
      </c>
      <c r="P1043" s="611">
        <f>+IF(OR($Q1043=Parametres!$G$2,$Q1043=Parametres!$G$3),K1043,E1043)</f>
        <v>0</v>
      </c>
      <c r="Q1043" s="610">
        <f t="shared" si="69"/>
        <v>0</v>
      </c>
      <c r="R1043" s="609">
        <f t="shared" si="70"/>
        <v>0</v>
      </c>
      <c r="S1043" s="610">
        <f t="shared" si="71"/>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72"/>
        <v>0</v>
      </c>
      <c r="M1044" s="610">
        <f t="shared" si="68"/>
        <v>0</v>
      </c>
      <c r="N1044" s="611">
        <f>+IF(OR($Q1044=Parametres!$G$2,$Q1044=Parametres!$G$3),I1044,C1044)</f>
        <v>0</v>
      </c>
      <c r="O1044" s="611">
        <f>+IF(OR($Q1044=Parametres!$G$2,$Q1044=Parametres!$G$3),J1044,D1044)</f>
        <v>0</v>
      </c>
      <c r="P1044" s="611">
        <f>+IF(OR($Q1044=Parametres!$G$2,$Q1044=Parametres!$G$3),K1044,E1044)</f>
        <v>0</v>
      </c>
      <c r="Q1044" s="610">
        <f t="shared" si="69"/>
        <v>0</v>
      </c>
      <c r="R1044" s="609">
        <f t="shared" si="70"/>
        <v>0</v>
      </c>
      <c r="S1044" s="610">
        <f t="shared" si="71"/>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72"/>
        <v>0</v>
      </c>
      <c r="M1045" s="610">
        <f t="shared" si="68"/>
        <v>0</v>
      </c>
      <c r="N1045" s="611">
        <f>+IF(OR($Q1045=Parametres!$G$2,$Q1045=Parametres!$G$3),I1045,C1045)</f>
        <v>0</v>
      </c>
      <c r="O1045" s="611">
        <f>+IF(OR($Q1045=Parametres!$G$2,$Q1045=Parametres!$G$3),J1045,D1045)</f>
        <v>0</v>
      </c>
      <c r="P1045" s="611">
        <f>+IF(OR($Q1045=Parametres!$G$2,$Q1045=Parametres!$G$3),K1045,E1045)</f>
        <v>0</v>
      </c>
      <c r="Q1045" s="610">
        <f t="shared" si="69"/>
        <v>0</v>
      </c>
      <c r="R1045" s="609">
        <f t="shared" si="70"/>
        <v>0</v>
      </c>
      <c r="S1045" s="610">
        <f t="shared" si="71"/>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72"/>
        <v>0</v>
      </c>
      <c r="M1046" s="610">
        <f t="shared" si="68"/>
        <v>0</v>
      </c>
      <c r="N1046" s="611">
        <f>+IF(OR($Q1046=Parametres!$G$2,$Q1046=Parametres!$G$3),I1046,C1046)</f>
        <v>0</v>
      </c>
      <c r="O1046" s="611">
        <f>+IF(OR($Q1046=Parametres!$G$2,$Q1046=Parametres!$G$3),J1046,D1046)</f>
        <v>0</v>
      </c>
      <c r="P1046" s="611">
        <f>+IF(OR($Q1046=Parametres!$G$2,$Q1046=Parametres!$G$3),K1046,E1046)</f>
        <v>0</v>
      </c>
      <c r="Q1046" s="610">
        <f t="shared" si="69"/>
        <v>0</v>
      </c>
      <c r="R1046" s="609">
        <f t="shared" si="70"/>
        <v>0</v>
      </c>
      <c r="S1046" s="610">
        <f t="shared" si="71"/>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72"/>
        <v>0</v>
      </c>
      <c r="M1047" s="610">
        <f t="shared" si="68"/>
        <v>0</v>
      </c>
      <c r="N1047" s="611">
        <f>+IF(OR($Q1047=Parametres!$G$2,$Q1047=Parametres!$G$3),I1047,C1047)</f>
        <v>0</v>
      </c>
      <c r="O1047" s="611">
        <f>+IF(OR($Q1047=Parametres!$G$2,$Q1047=Parametres!$G$3),J1047,D1047)</f>
        <v>0</v>
      </c>
      <c r="P1047" s="611">
        <f>+IF(OR($Q1047=Parametres!$G$2,$Q1047=Parametres!$G$3),K1047,E1047)</f>
        <v>0</v>
      </c>
      <c r="Q1047" s="610">
        <f t="shared" si="69"/>
        <v>0</v>
      </c>
      <c r="R1047" s="609">
        <f t="shared" si="70"/>
        <v>0</v>
      </c>
      <c r="S1047" s="610">
        <f t="shared" si="71"/>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72"/>
        <v>0</v>
      </c>
      <c r="M1048" s="610">
        <f t="shared" si="68"/>
        <v>0</v>
      </c>
      <c r="N1048" s="611">
        <f>+IF(OR($Q1048=Parametres!$G$2,$Q1048=Parametres!$G$3),I1048,C1048)</f>
        <v>0</v>
      </c>
      <c r="O1048" s="611">
        <f>+IF(OR($Q1048=Parametres!$G$2,$Q1048=Parametres!$G$3),J1048,D1048)</f>
        <v>0</v>
      </c>
      <c r="P1048" s="611">
        <f>+IF(OR($Q1048=Parametres!$G$2,$Q1048=Parametres!$G$3),K1048,E1048)</f>
        <v>0</v>
      </c>
      <c r="Q1048" s="610">
        <f t="shared" si="69"/>
        <v>0</v>
      </c>
      <c r="R1048" s="609">
        <f t="shared" si="70"/>
        <v>0</v>
      </c>
      <c r="S1048" s="610">
        <f t="shared" si="71"/>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72"/>
        <v>0</v>
      </c>
      <c r="M1049" s="610">
        <f t="shared" si="68"/>
        <v>0</v>
      </c>
      <c r="N1049" s="611">
        <f>+IF(OR($Q1049=Parametres!$G$2,$Q1049=Parametres!$G$3),I1049,C1049)</f>
        <v>0</v>
      </c>
      <c r="O1049" s="611">
        <f>+IF(OR($Q1049=Parametres!$G$2,$Q1049=Parametres!$G$3),J1049,D1049)</f>
        <v>0</v>
      </c>
      <c r="P1049" s="611">
        <f>+IF(OR($Q1049=Parametres!$G$2,$Q1049=Parametres!$G$3),K1049,E1049)</f>
        <v>0</v>
      </c>
      <c r="Q1049" s="610">
        <f t="shared" si="69"/>
        <v>0</v>
      </c>
      <c r="R1049" s="609">
        <f t="shared" si="70"/>
        <v>0</v>
      </c>
      <c r="S1049" s="610">
        <f t="shared" si="71"/>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72"/>
        <v>0</v>
      </c>
      <c r="M1050" s="610">
        <f t="shared" si="68"/>
        <v>0</v>
      </c>
      <c r="N1050" s="611">
        <f>+IF(OR($Q1050=Parametres!$G$2,$Q1050=Parametres!$G$3),I1050,C1050)</f>
        <v>0</v>
      </c>
      <c r="O1050" s="611">
        <f>+IF(OR($Q1050=Parametres!$G$2,$Q1050=Parametres!$G$3),J1050,D1050)</f>
        <v>0</v>
      </c>
      <c r="P1050" s="611">
        <f>+IF(OR($Q1050=Parametres!$G$2,$Q1050=Parametres!$G$3),K1050,E1050)</f>
        <v>0</v>
      </c>
      <c r="Q1050" s="610">
        <f t="shared" si="69"/>
        <v>0</v>
      </c>
      <c r="R1050" s="609">
        <f t="shared" si="70"/>
        <v>0</v>
      </c>
      <c r="S1050" s="610">
        <f t="shared" si="71"/>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72"/>
        <v>0</v>
      </c>
      <c r="M1051" s="610">
        <f t="shared" si="68"/>
        <v>0</v>
      </c>
      <c r="N1051" s="611">
        <f>+IF(OR($Q1051=Parametres!$G$2,$Q1051=Parametres!$G$3),I1051,C1051)</f>
        <v>0</v>
      </c>
      <c r="O1051" s="611">
        <f>+IF(OR($Q1051=Parametres!$G$2,$Q1051=Parametres!$G$3),J1051,D1051)</f>
        <v>0</v>
      </c>
      <c r="P1051" s="611">
        <f>+IF(OR($Q1051=Parametres!$G$2,$Q1051=Parametres!$G$3),K1051,E1051)</f>
        <v>0</v>
      </c>
      <c r="Q1051" s="610">
        <f t="shared" si="69"/>
        <v>0</v>
      </c>
      <c r="R1051" s="609">
        <f t="shared" si="70"/>
        <v>0</v>
      </c>
      <c r="S1051" s="610">
        <f t="shared" si="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72"/>
        <v>0</v>
      </c>
      <c r="M1052" s="610">
        <f t="shared" si="68"/>
        <v>0</v>
      </c>
      <c r="N1052" s="611">
        <f>+IF(OR($Q1052=Parametres!$G$2,$Q1052=Parametres!$G$3),I1052,C1052)</f>
        <v>0</v>
      </c>
      <c r="O1052" s="611">
        <f>+IF(OR($Q1052=Parametres!$G$2,$Q1052=Parametres!$G$3),J1052,D1052)</f>
        <v>0</v>
      </c>
      <c r="P1052" s="611">
        <f>+IF(OR($Q1052=Parametres!$G$2,$Q1052=Parametres!$G$3),K1052,E1052)</f>
        <v>0</v>
      </c>
      <c r="Q1052" s="610">
        <f t="shared" si="69"/>
        <v>0</v>
      </c>
      <c r="R1052" s="609">
        <f t="shared" si="70"/>
        <v>0</v>
      </c>
      <c r="S1052" s="610">
        <f t="shared" si="71"/>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72"/>
        <v>0</v>
      </c>
      <c r="M1053" s="610">
        <f t="shared" si="68"/>
        <v>0</v>
      </c>
      <c r="N1053" s="611">
        <f>+IF(OR($Q1053=Parametres!$G$2,$Q1053=Parametres!$G$3),I1053,C1053)</f>
        <v>0</v>
      </c>
      <c r="O1053" s="611">
        <f>+IF(OR($Q1053=Parametres!$G$2,$Q1053=Parametres!$G$3),J1053,D1053)</f>
        <v>0</v>
      </c>
      <c r="P1053" s="611">
        <f>+IF(OR($Q1053=Parametres!$G$2,$Q1053=Parametres!$G$3),K1053,E1053)</f>
        <v>0</v>
      </c>
      <c r="Q1053" s="610">
        <f t="shared" si="69"/>
        <v>0</v>
      </c>
      <c r="R1053" s="609">
        <f t="shared" si="70"/>
        <v>0</v>
      </c>
      <c r="S1053" s="610">
        <f t="shared" si="71"/>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72"/>
        <v>0</v>
      </c>
      <c r="M1054" s="610">
        <f t="shared" si="68"/>
        <v>0</v>
      </c>
      <c r="N1054" s="611">
        <f>+IF(OR($Q1054=Parametres!$G$2,$Q1054=Parametres!$G$3),I1054,C1054)</f>
        <v>0</v>
      </c>
      <c r="O1054" s="611">
        <f>+IF(OR($Q1054=Parametres!$G$2,$Q1054=Parametres!$G$3),J1054,D1054)</f>
        <v>0</v>
      </c>
      <c r="P1054" s="611">
        <f>+IF(OR($Q1054=Parametres!$G$2,$Q1054=Parametres!$G$3),K1054,E1054)</f>
        <v>0</v>
      </c>
      <c r="Q1054" s="610">
        <f t="shared" si="69"/>
        <v>0</v>
      </c>
      <c r="R1054" s="609">
        <f t="shared" si="70"/>
        <v>0</v>
      </c>
      <c r="S1054" s="610">
        <f t="shared" si="71"/>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72"/>
        <v>0</v>
      </c>
      <c r="M1055" s="610">
        <f t="shared" si="68"/>
        <v>0</v>
      </c>
      <c r="N1055" s="611">
        <f>+IF(OR($Q1055=Parametres!$G$2,$Q1055=Parametres!$G$3),I1055,C1055)</f>
        <v>0</v>
      </c>
      <c r="O1055" s="611">
        <f>+IF(OR($Q1055=Parametres!$G$2,$Q1055=Parametres!$G$3),J1055,D1055)</f>
        <v>0</v>
      </c>
      <c r="P1055" s="611">
        <f>+IF(OR($Q1055=Parametres!$G$2,$Q1055=Parametres!$G$3),K1055,E1055)</f>
        <v>0</v>
      </c>
      <c r="Q1055" s="610">
        <f t="shared" si="69"/>
        <v>0</v>
      </c>
      <c r="R1055" s="609">
        <f t="shared" si="70"/>
        <v>0</v>
      </c>
      <c r="S1055" s="610">
        <f t="shared" si="71"/>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1262</v>
      </c>
      <c r="B1" s="630" t="s">
        <v>251</v>
      </c>
      <c r="C1" s="630" t="s">
        <v>1263</v>
      </c>
      <c r="D1" s="630" t="s">
        <v>663</v>
      </c>
    </row>
    <row r="2" spans="1:8" ht="14.25" customHeight="1">
      <c r="A2" s="645" t="s">
        <v>1381</v>
      </c>
      <c r="B2" s="634" t="s">
        <v>1382</v>
      </c>
      <c r="C2" s="635" t="s">
        <v>92</v>
      </c>
      <c r="D2" s="635" t="s">
        <v>46</v>
      </c>
      <c r="G2" s="606" t="s">
        <v>665</v>
      </c>
      <c r="H2" s="606" t="s">
        <v>1383</v>
      </c>
    </row>
    <row r="3" spans="1:8" ht="14.25" customHeight="1">
      <c r="A3" s="645" t="s">
        <v>1384</v>
      </c>
      <c r="B3" s="634" t="s">
        <v>1385</v>
      </c>
      <c r="C3" s="635" t="s">
        <v>152</v>
      </c>
      <c r="D3" s="635" t="s">
        <v>48</v>
      </c>
      <c r="G3" s="606" t="s">
        <v>674</v>
      </c>
      <c r="H3" s="606" t="s">
        <v>1386</v>
      </c>
    </row>
    <row r="4" spans="1:8" ht="14.25" customHeight="1">
      <c r="A4" s="645" t="s">
        <v>1387</v>
      </c>
      <c r="B4" s="634" t="s">
        <v>1388</v>
      </c>
      <c r="C4" s="635" t="s">
        <v>92</v>
      </c>
      <c r="D4" s="635" t="s">
        <v>46</v>
      </c>
      <c r="G4" s="606" t="s">
        <v>675</v>
      </c>
      <c r="H4" s="606" t="s">
        <v>1389</v>
      </c>
    </row>
    <row r="5" spans="1:8" ht="14.25" customHeight="1">
      <c r="A5" s="645" t="s">
        <v>1390</v>
      </c>
      <c r="B5" s="634" t="s">
        <v>1391</v>
      </c>
      <c r="C5" s="635" t="s">
        <v>152</v>
      </c>
      <c r="D5" s="635" t="s">
        <v>48</v>
      </c>
      <c r="G5" s="606" t="s">
        <v>760</v>
      </c>
      <c r="H5" s="606" t="s">
        <v>762</v>
      </c>
    </row>
    <row r="6" spans="1:8" ht="14.25" customHeight="1">
      <c r="A6" s="645" t="s">
        <v>1392</v>
      </c>
      <c r="B6" s="634" t="s">
        <v>1393</v>
      </c>
      <c r="C6" s="635" t="s">
        <v>92</v>
      </c>
      <c r="D6" s="635" t="s">
        <v>46</v>
      </c>
      <c r="G6" s="606" t="s">
        <v>1287</v>
      </c>
      <c r="H6" s="606" t="s">
        <v>1394</v>
      </c>
    </row>
    <row r="7" spans="1:8" ht="14.25" customHeight="1">
      <c r="A7" s="645" t="s">
        <v>1395</v>
      </c>
      <c r="B7" s="634" t="s">
        <v>1396</v>
      </c>
      <c r="C7" s="635" t="s">
        <v>152</v>
      </c>
      <c r="D7" s="635" t="s">
        <v>48</v>
      </c>
      <c r="G7" s="606" t="s">
        <v>765</v>
      </c>
      <c r="H7" s="606" t="s">
        <v>1397</v>
      </c>
    </row>
    <row r="8" spans="1:8" ht="14.25" customHeight="1">
      <c r="A8" s="645" t="s">
        <v>1398</v>
      </c>
      <c r="B8" s="634" t="s">
        <v>1399</v>
      </c>
      <c r="C8" s="635" t="s">
        <v>92</v>
      </c>
      <c r="D8" s="635" t="s">
        <v>46</v>
      </c>
      <c r="G8" s="606" t="s">
        <v>767</v>
      </c>
      <c r="H8" s="606" t="s">
        <v>768</v>
      </c>
    </row>
    <row r="9" spans="1:8" ht="14.25" customHeight="1">
      <c r="A9" s="645" t="s">
        <v>1400</v>
      </c>
      <c r="B9" s="634" t="s">
        <v>1401</v>
      </c>
      <c r="C9" s="635" t="s">
        <v>152</v>
      </c>
      <c r="D9" s="635" t="s">
        <v>48</v>
      </c>
      <c r="G9" s="606" t="s">
        <v>769</v>
      </c>
      <c r="H9" s="606" t="s">
        <v>770</v>
      </c>
    </row>
    <row r="10" spans="1:8" ht="14.25" customHeight="1">
      <c r="A10" s="645" t="s">
        <v>1402</v>
      </c>
      <c r="B10" s="634" t="s">
        <v>1403</v>
      </c>
      <c r="C10" s="635" t="s">
        <v>92</v>
      </c>
      <c r="D10" s="635" t="s">
        <v>46</v>
      </c>
      <c r="G10" s="606" t="s">
        <v>771</v>
      </c>
      <c r="H10" s="606" t="s">
        <v>1404</v>
      </c>
    </row>
    <row r="11" spans="1:8" ht="14.25" customHeight="1">
      <c r="A11" s="645" t="s">
        <v>1405</v>
      </c>
      <c r="B11" s="634" t="s">
        <v>1406</v>
      </c>
      <c r="C11" s="635" t="s">
        <v>152</v>
      </c>
      <c r="D11" s="635" t="s">
        <v>48</v>
      </c>
      <c r="G11" s="606" t="s">
        <v>772</v>
      </c>
      <c r="H11" s="606" t="s">
        <v>773</v>
      </c>
    </row>
    <row r="12" spans="1:8" ht="14.25" customHeight="1">
      <c r="A12" s="645" t="s">
        <v>1407</v>
      </c>
      <c r="B12" s="634" t="s">
        <v>1408</v>
      </c>
      <c r="C12" s="635" t="s">
        <v>92</v>
      </c>
      <c r="D12" s="635" t="s">
        <v>46</v>
      </c>
      <c r="G12" s="606" t="s">
        <v>774</v>
      </c>
      <c r="H12" s="606" t="s">
        <v>1409</v>
      </c>
    </row>
    <row r="13" spans="1:8" ht="14.25" customHeight="1">
      <c r="A13" s="645" t="s">
        <v>1410</v>
      </c>
      <c r="B13" s="634" t="s">
        <v>1411</v>
      </c>
      <c r="C13" s="635" t="s">
        <v>152</v>
      </c>
      <c r="D13" s="635" t="s">
        <v>48</v>
      </c>
      <c r="G13" s="606" t="s">
        <v>777</v>
      </c>
      <c r="H13" s="606" t="s">
        <v>1412</v>
      </c>
    </row>
    <row r="14" spans="1:8" ht="14.25" customHeight="1">
      <c r="A14" s="645" t="s">
        <v>1413</v>
      </c>
      <c r="B14" s="634" t="s">
        <v>1414</v>
      </c>
      <c r="C14" s="635" t="s">
        <v>92</v>
      </c>
      <c r="D14" s="635" t="s">
        <v>46</v>
      </c>
      <c r="G14" s="606" t="s">
        <v>779</v>
      </c>
      <c r="H14" s="606" t="s">
        <v>780</v>
      </c>
    </row>
    <row r="15" spans="1:8" ht="14.25" customHeight="1">
      <c r="A15" s="645" t="s">
        <v>1415</v>
      </c>
      <c r="B15" s="634" t="s">
        <v>1416</v>
      </c>
      <c r="C15" s="635" t="s">
        <v>152</v>
      </c>
      <c r="D15" s="635" t="s">
        <v>48</v>
      </c>
      <c r="G15" s="606" t="s">
        <v>781</v>
      </c>
      <c r="H15" s="606" t="s">
        <v>1417</v>
      </c>
    </row>
    <row r="16" spans="1:8" ht="14.25" customHeight="1">
      <c r="A16" s="645" t="s">
        <v>1418</v>
      </c>
      <c r="B16" s="634" t="s">
        <v>1419</v>
      </c>
      <c r="C16" s="635" t="s">
        <v>92</v>
      </c>
      <c r="D16" s="635" t="s">
        <v>46</v>
      </c>
      <c r="G16" s="606" t="s">
        <v>782</v>
      </c>
      <c r="H16" s="606" t="s">
        <v>1420</v>
      </c>
    </row>
    <row r="17" spans="1:8" ht="14.25" customHeight="1">
      <c r="A17" s="645" t="s">
        <v>1421</v>
      </c>
      <c r="B17" s="634" t="s">
        <v>1422</v>
      </c>
      <c r="C17" s="635" t="s">
        <v>152</v>
      </c>
      <c r="D17" s="635" t="s">
        <v>48</v>
      </c>
      <c r="G17" s="606" t="s">
        <v>1291</v>
      </c>
      <c r="H17" s="606" t="s">
        <v>1423</v>
      </c>
    </row>
    <row r="18" spans="1:8" ht="14.25" customHeight="1">
      <c r="A18" s="645" t="s">
        <v>1424</v>
      </c>
      <c r="B18" s="634" t="s">
        <v>1425</v>
      </c>
      <c r="C18" s="635" t="s">
        <v>1266</v>
      </c>
      <c r="D18" s="635"/>
      <c r="G18" s="606" t="s">
        <v>1292</v>
      </c>
      <c r="H18" s="606" t="s">
        <v>1374</v>
      </c>
    </row>
    <row r="19" spans="1:8" ht="14.25" customHeight="1">
      <c r="A19" s="645" t="s">
        <v>1426</v>
      </c>
      <c r="B19" s="634" t="s">
        <v>1427</v>
      </c>
      <c r="C19" s="635" t="s">
        <v>1266</v>
      </c>
      <c r="D19" s="635"/>
      <c r="G19" s="606" t="s">
        <v>785</v>
      </c>
      <c r="H19" s="606" t="s">
        <v>786</v>
      </c>
    </row>
    <row r="20" spans="1:8" ht="14.25" customHeight="1">
      <c r="A20" s="645" t="s">
        <v>1428</v>
      </c>
      <c r="B20" s="634" t="s">
        <v>1429</v>
      </c>
      <c r="C20" s="635" t="s">
        <v>1266</v>
      </c>
      <c r="D20" s="635"/>
      <c r="G20" s="606" t="s">
        <v>787</v>
      </c>
      <c r="H20" s="606" t="s">
        <v>788</v>
      </c>
    </row>
    <row r="21" spans="1:8" ht="14.25" customHeight="1">
      <c r="A21" s="645" t="s">
        <v>1430</v>
      </c>
      <c r="B21" s="634" t="s">
        <v>1431</v>
      </c>
      <c r="C21" s="635" t="s">
        <v>1266</v>
      </c>
      <c r="D21" s="635"/>
      <c r="G21" s="606" t="s">
        <v>789</v>
      </c>
      <c r="H21" s="606" t="s">
        <v>1432</v>
      </c>
    </row>
    <row r="22" spans="1:8" ht="14.25" customHeight="1">
      <c r="A22" s="645" t="s">
        <v>1433</v>
      </c>
      <c r="B22" s="634" t="s">
        <v>1434</v>
      </c>
      <c r="C22" s="635" t="s">
        <v>1266</v>
      </c>
      <c r="D22" s="635"/>
      <c r="G22" s="606" t="s">
        <v>790</v>
      </c>
      <c r="H22" s="606" t="s">
        <v>791</v>
      </c>
    </row>
    <row r="23" spans="1:8" ht="14.25" customHeight="1">
      <c r="A23" s="645" t="s">
        <v>1435</v>
      </c>
      <c r="B23" s="634" t="s">
        <v>1436</v>
      </c>
      <c r="C23" s="635" t="s">
        <v>1266</v>
      </c>
      <c r="D23" s="635"/>
      <c r="G23" s="606" t="s">
        <v>792</v>
      </c>
      <c r="H23" s="606" t="s">
        <v>793</v>
      </c>
    </row>
    <row r="24" spans="1:8" ht="14.25" customHeight="1">
      <c r="A24" s="645" t="s">
        <v>1437</v>
      </c>
      <c r="B24" s="634" t="s">
        <v>1438</v>
      </c>
      <c r="C24" s="635" t="s">
        <v>1266</v>
      </c>
      <c r="D24" s="635"/>
      <c r="G24" s="606" t="s">
        <v>794</v>
      </c>
      <c r="H24" s="606" t="s">
        <v>795</v>
      </c>
    </row>
    <row r="25" spans="1:8" ht="14.25" customHeight="1">
      <c r="A25" s="645" t="s">
        <v>1439</v>
      </c>
      <c r="B25" s="634" t="s">
        <v>1440</v>
      </c>
      <c r="C25" s="635" t="s">
        <v>1266</v>
      </c>
      <c r="D25" s="635"/>
      <c r="G25" s="606" t="s">
        <v>800</v>
      </c>
      <c r="H25" s="606" t="s">
        <v>801</v>
      </c>
    </row>
    <row r="26" spans="1:8" ht="14.25" customHeight="1">
      <c r="A26" s="645" t="s">
        <v>1441</v>
      </c>
      <c r="B26" s="634" t="s">
        <v>1442</v>
      </c>
      <c r="C26" s="635" t="s">
        <v>1266</v>
      </c>
      <c r="D26" s="635"/>
      <c r="G26" s="606" t="s">
        <v>803</v>
      </c>
      <c r="H26" s="606" t="s">
        <v>1443</v>
      </c>
    </row>
    <row r="27" spans="1:8" ht="14.25" customHeight="1">
      <c r="A27" s="645" t="s">
        <v>1444</v>
      </c>
      <c r="B27" s="634" t="s">
        <v>1445</v>
      </c>
      <c r="C27" s="635" t="s">
        <v>1266</v>
      </c>
      <c r="D27" s="635"/>
      <c r="G27" s="606" t="s">
        <v>804</v>
      </c>
      <c r="H27" s="606" t="s">
        <v>805</v>
      </c>
    </row>
    <row r="28" spans="1:8" ht="14.25" customHeight="1">
      <c r="A28" s="645" t="s">
        <v>1446</v>
      </c>
      <c r="B28" s="634" t="s">
        <v>1447</v>
      </c>
      <c r="C28" s="635" t="s">
        <v>1266</v>
      </c>
      <c r="D28" s="635"/>
      <c r="G28" s="606" t="s">
        <v>806</v>
      </c>
      <c r="H28" s="606" t="s">
        <v>807</v>
      </c>
    </row>
    <row r="29" spans="1:8" ht="14.25" customHeight="1">
      <c r="A29" s="645" t="s">
        <v>1448</v>
      </c>
      <c r="B29" s="634" t="s">
        <v>1449</v>
      </c>
      <c r="C29" s="635" t="s">
        <v>1266</v>
      </c>
      <c r="D29" s="635"/>
      <c r="G29" s="606" t="s">
        <v>808</v>
      </c>
      <c r="H29" s="606" t="s">
        <v>1450</v>
      </c>
    </row>
    <row r="30" spans="1:8" ht="14.25" customHeight="1">
      <c r="A30" s="645" t="s">
        <v>1451</v>
      </c>
      <c r="B30" s="634" t="s">
        <v>1452</v>
      </c>
      <c r="C30" s="635" t="s">
        <v>1266</v>
      </c>
      <c r="D30" s="635"/>
      <c r="G30" s="606" t="s">
        <v>809</v>
      </c>
      <c r="H30" s="606" t="s">
        <v>1453</v>
      </c>
    </row>
    <row r="31" spans="1:8" ht="14.25" customHeight="1">
      <c r="A31" s="645" t="s">
        <v>1454</v>
      </c>
      <c r="B31" s="634" t="s">
        <v>1455</v>
      </c>
      <c r="C31" s="635" t="s">
        <v>1266</v>
      </c>
      <c r="D31" s="635"/>
      <c r="G31" s="606" t="s">
        <v>810</v>
      </c>
      <c r="H31" s="606" t="s">
        <v>811</v>
      </c>
    </row>
    <row r="32" spans="1:8" ht="14.25" customHeight="1">
      <c r="A32" s="645" t="s">
        <v>1456</v>
      </c>
      <c r="B32" s="634" t="s">
        <v>1457</v>
      </c>
      <c r="C32" s="635" t="s">
        <v>1266</v>
      </c>
      <c r="D32" s="635"/>
      <c r="G32" s="606" t="s">
        <v>812</v>
      </c>
      <c r="H32" s="606" t="s">
        <v>1458</v>
      </c>
    </row>
    <row r="33" spans="1:8" ht="14.25" customHeight="1">
      <c r="A33" s="645" t="s">
        <v>1459</v>
      </c>
      <c r="B33" s="634" t="s">
        <v>1460</v>
      </c>
      <c r="C33" s="635" t="s">
        <v>1266</v>
      </c>
      <c r="D33" s="635"/>
      <c r="G33" s="606" t="s">
        <v>814</v>
      </c>
      <c r="H33" s="606" t="s">
        <v>1461</v>
      </c>
    </row>
    <row r="34" spans="1:8" ht="14.25" customHeight="1">
      <c r="A34" s="644" t="s">
        <v>1462</v>
      </c>
      <c r="B34" s="644" t="s">
        <v>1463</v>
      </c>
      <c r="C34" s="635" t="s">
        <v>1270</v>
      </c>
      <c r="D34" s="635"/>
      <c r="G34" s="606" t="s">
        <v>815</v>
      </c>
      <c r="H34" s="606" t="s">
        <v>1464</v>
      </c>
    </row>
    <row r="35" spans="1:8" ht="14.25" customHeight="1">
      <c r="A35" s="644" t="s">
        <v>1465</v>
      </c>
      <c r="B35" s="644" t="s">
        <v>1466</v>
      </c>
      <c r="C35" s="635" t="s">
        <v>1270</v>
      </c>
      <c r="D35" s="635"/>
      <c r="G35" s="606" t="s">
        <v>1296</v>
      </c>
      <c r="H35" s="606" t="s">
        <v>1467</v>
      </c>
    </row>
    <row r="36" spans="1:8" ht="14.25" customHeight="1">
      <c r="A36" s="644" t="s">
        <v>1468</v>
      </c>
      <c r="B36" s="644" t="s">
        <v>1469</v>
      </c>
      <c r="C36" s="635" t="s">
        <v>1270</v>
      </c>
      <c r="D36" s="635"/>
      <c r="G36" s="606" t="s">
        <v>816</v>
      </c>
      <c r="H36" s="606" t="s">
        <v>1470</v>
      </c>
    </row>
    <row r="37" spans="1:8" ht="14.25" customHeight="1">
      <c r="A37" s="645" t="s">
        <v>1471</v>
      </c>
      <c r="B37" s="634" t="s">
        <v>1472</v>
      </c>
      <c r="C37" s="635" t="s">
        <v>1270</v>
      </c>
      <c r="D37" s="635"/>
      <c r="G37" s="606" t="s">
        <v>817</v>
      </c>
      <c r="H37" s="606" t="s">
        <v>1473</v>
      </c>
    </row>
    <row r="38" spans="1:8" ht="14.25" customHeight="1">
      <c r="A38" s="645" t="s">
        <v>1474</v>
      </c>
      <c r="B38" s="634" t="s">
        <v>1475</v>
      </c>
      <c r="C38" s="635" t="s">
        <v>1270</v>
      </c>
      <c r="D38" s="635"/>
      <c r="G38" s="606" t="s">
        <v>1297</v>
      </c>
      <c r="H38" s="606" t="s">
        <v>1476</v>
      </c>
    </row>
    <row r="39" spans="1:8" ht="14.25" customHeight="1">
      <c r="A39" s="645" t="s">
        <v>1477</v>
      </c>
      <c r="B39" s="634" t="s">
        <v>1478</v>
      </c>
      <c r="C39" s="635" t="s">
        <v>1270</v>
      </c>
      <c r="D39" s="635"/>
      <c r="G39" s="606" t="s">
        <v>1299</v>
      </c>
      <c r="H39" s="606" t="s">
        <v>1479</v>
      </c>
    </row>
    <row r="40" spans="1:8" ht="14.25" customHeight="1">
      <c r="A40" s="645" t="s">
        <v>1480</v>
      </c>
      <c r="B40" s="634" t="s">
        <v>1481</v>
      </c>
      <c r="C40" s="635" t="s">
        <v>1270</v>
      </c>
      <c r="D40" s="635"/>
      <c r="G40" s="606" t="s">
        <v>1300</v>
      </c>
      <c r="H40" s="606" t="s">
        <v>1482</v>
      </c>
    </row>
    <row r="41" spans="1:8" ht="14.25" customHeight="1">
      <c r="A41" s="645" t="s">
        <v>1483</v>
      </c>
      <c r="B41" s="634" t="s">
        <v>1484</v>
      </c>
      <c r="C41" s="635" t="s">
        <v>1270</v>
      </c>
      <c r="D41" s="635"/>
      <c r="G41" s="606" t="s">
        <v>818</v>
      </c>
      <c r="H41" s="606" t="s">
        <v>1485</v>
      </c>
    </row>
    <row r="42" spans="1:8" ht="14.25" customHeight="1">
      <c r="A42" s="645" t="s">
        <v>1486</v>
      </c>
      <c r="B42" s="634" t="s">
        <v>1487</v>
      </c>
      <c r="C42" s="635" t="s">
        <v>161</v>
      </c>
      <c r="D42" s="635"/>
      <c r="G42" s="606" t="s">
        <v>819</v>
      </c>
      <c r="H42" s="606" t="s">
        <v>1488</v>
      </c>
    </row>
    <row r="43" spans="1:8" ht="14.25" customHeight="1">
      <c r="A43" s="645" t="s">
        <v>1489</v>
      </c>
      <c r="B43" s="634" t="s">
        <v>1490</v>
      </c>
      <c r="C43" s="635" t="s">
        <v>161</v>
      </c>
      <c r="D43" s="635"/>
      <c r="G43" s="606" t="s">
        <v>1301</v>
      </c>
      <c r="H43" s="606" t="s">
        <v>1491</v>
      </c>
    </row>
    <row r="44" spans="1:8" ht="14.25" customHeight="1">
      <c r="A44" s="645" t="s">
        <v>1492</v>
      </c>
      <c r="B44" s="634" t="s">
        <v>1493</v>
      </c>
      <c r="C44" s="635" t="s">
        <v>161</v>
      </c>
      <c r="D44" s="635"/>
      <c r="G44" s="606" t="s">
        <v>1302</v>
      </c>
      <c r="H44" s="606" t="s">
        <v>1494</v>
      </c>
    </row>
    <row r="45" spans="1:8" ht="14.25" customHeight="1">
      <c r="A45" s="645" t="s">
        <v>1495</v>
      </c>
      <c r="B45" s="634" t="s">
        <v>1496</v>
      </c>
      <c r="C45" s="635" t="s">
        <v>1270</v>
      </c>
      <c r="D45" s="635" t="s">
        <v>164</v>
      </c>
      <c r="G45" s="606" t="s">
        <v>820</v>
      </c>
      <c r="H45" s="606" t="s">
        <v>1497</v>
      </c>
    </row>
    <row r="46" spans="1:8" ht="14.25" customHeight="1">
      <c r="A46" s="645" t="s">
        <v>1498</v>
      </c>
      <c r="B46" s="634" t="s">
        <v>1499</v>
      </c>
      <c r="C46" s="635" t="s">
        <v>1270</v>
      </c>
      <c r="D46" s="635" t="s">
        <v>166</v>
      </c>
      <c r="G46" s="606" t="s">
        <v>821</v>
      </c>
      <c r="H46" s="606" t="s">
        <v>1500</v>
      </c>
    </row>
    <row r="47" spans="1:8" ht="14.25" customHeight="1">
      <c r="A47" s="645" t="s">
        <v>1501</v>
      </c>
      <c r="B47" s="634" t="s">
        <v>1502</v>
      </c>
      <c r="C47" s="635" t="s">
        <v>161</v>
      </c>
      <c r="D47" s="635" t="s">
        <v>167</v>
      </c>
      <c r="G47" s="606" t="s">
        <v>822</v>
      </c>
      <c r="H47" s="606" t="s">
        <v>1503</v>
      </c>
    </row>
    <row r="48" spans="1:8" ht="14.25" customHeight="1">
      <c r="A48" s="645" t="s">
        <v>1504</v>
      </c>
      <c r="B48" s="634" t="s">
        <v>1505</v>
      </c>
      <c r="C48" s="635" t="s">
        <v>176</v>
      </c>
      <c r="D48" s="635" t="s">
        <v>178</v>
      </c>
      <c r="G48" s="606" t="s">
        <v>823</v>
      </c>
      <c r="H48" s="606" t="s">
        <v>1506</v>
      </c>
    </row>
    <row r="49" spans="1:8" ht="14.25" customHeight="1">
      <c r="A49" s="645" t="s">
        <v>1507</v>
      </c>
      <c r="B49" s="634" t="s">
        <v>1508</v>
      </c>
      <c r="C49" s="635" t="s">
        <v>161</v>
      </c>
      <c r="D49" s="635"/>
      <c r="G49" s="606" t="s">
        <v>825</v>
      </c>
      <c r="H49" s="606" t="s">
        <v>1509</v>
      </c>
    </row>
    <row r="50" spans="1:8" ht="14.25" customHeight="1">
      <c r="A50" s="645" t="s">
        <v>1510</v>
      </c>
      <c r="B50" s="634" t="s">
        <v>1511</v>
      </c>
      <c r="C50" s="635" t="s">
        <v>1270</v>
      </c>
      <c r="D50" s="635"/>
      <c r="G50" s="606" t="s">
        <v>1303</v>
      </c>
      <c r="H50" s="606" t="s">
        <v>1512</v>
      </c>
    </row>
    <row r="51" spans="1:8" ht="14.25" customHeight="1">
      <c r="A51" s="645" t="s">
        <v>1513</v>
      </c>
      <c r="B51" s="634" t="s">
        <v>1514</v>
      </c>
      <c r="C51" s="635" t="s">
        <v>1266</v>
      </c>
      <c r="D51" s="635"/>
      <c r="G51" s="606" t="s">
        <v>826</v>
      </c>
      <c r="H51" s="606" t="s">
        <v>1515</v>
      </c>
    </row>
    <row r="52" spans="1:8" ht="14.25" customHeight="1">
      <c r="A52" s="645" t="s">
        <v>1516</v>
      </c>
      <c r="B52" s="634" t="s">
        <v>1517</v>
      </c>
      <c r="C52" s="635" t="s">
        <v>1266</v>
      </c>
      <c r="D52" s="635"/>
      <c r="G52" s="606" t="s">
        <v>828</v>
      </c>
      <c r="H52" s="606" t="s">
        <v>1518</v>
      </c>
    </row>
    <row r="53" spans="1:8" ht="14.25" customHeight="1">
      <c r="A53" s="645" t="s">
        <v>1519</v>
      </c>
      <c r="B53" s="634" t="s">
        <v>1520</v>
      </c>
      <c r="C53" s="635" t="s">
        <v>1270</v>
      </c>
      <c r="D53" s="635"/>
      <c r="G53" s="606" t="s">
        <v>1304</v>
      </c>
      <c r="H53" s="606" t="s">
        <v>1521</v>
      </c>
    </row>
    <row r="54" spans="1:8" ht="14.25" customHeight="1">
      <c r="A54" s="645" t="s">
        <v>1522</v>
      </c>
      <c r="B54" s="634" t="s">
        <v>1523</v>
      </c>
      <c r="C54" s="635" t="s">
        <v>1266</v>
      </c>
      <c r="D54" s="635"/>
      <c r="G54" s="606" t="s">
        <v>1305</v>
      </c>
      <c r="H54" s="606" t="s">
        <v>1524</v>
      </c>
    </row>
    <row r="55" spans="1:8" ht="14.25" customHeight="1">
      <c r="A55" s="645" t="s">
        <v>1525</v>
      </c>
      <c r="B55" s="634" t="s">
        <v>1526</v>
      </c>
      <c r="C55" s="635" t="s">
        <v>1266</v>
      </c>
      <c r="D55" s="635"/>
      <c r="G55" s="606" t="s">
        <v>1306</v>
      </c>
      <c r="H55" s="606" t="s">
        <v>1527</v>
      </c>
    </row>
    <row r="56" spans="1:8" ht="14.25" customHeight="1">
      <c r="A56" s="645" t="s">
        <v>1528</v>
      </c>
      <c r="B56" s="634" t="s">
        <v>1529</v>
      </c>
      <c r="C56" s="635" t="s">
        <v>1270</v>
      </c>
      <c r="D56" s="635"/>
      <c r="G56" s="606" t="s">
        <v>829</v>
      </c>
      <c r="H56" s="606" t="s">
        <v>1530</v>
      </c>
    </row>
    <row r="57" spans="1:8" ht="14.25" customHeight="1">
      <c r="A57" s="645" t="s">
        <v>1531</v>
      </c>
      <c r="B57" s="634" t="s">
        <v>1532</v>
      </c>
      <c r="C57" s="635" t="s">
        <v>1266</v>
      </c>
      <c r="D57" s="635"/>
      <c r="G57" s="606" t="s">
        <v>831</v>
      </c>
      <c r="H57" s="606" t="s">
        <v>1533</v>
      </c>
    </row>
    <row r="58" spans="1:8" ht="14.25" customHeight="1">
      <c r="A58" s="645" t="s">
        <v>1534</v>
      </c>
      <c r="B58" s="634" t="s">
        <v>1535</v>
      </c>
      <c r="C58" s="635" t="s">
        <v>152</v>
      </c>
      <c r="D58" s="635"/>
      <c r="G58" s="606" t="s">
        <v>832</v>
      </c>
      <c r="H58" s="606" t="s">
        <v>1536</v>
      </c>
    </row>
    <row r="59" spans="1:8" ht="14.25" customHeight="1">
      <c r="A59" s="645" t="s">
        <v>1537</v>
      </c>
      <c r="B59" s="634" t="s">
        <v>1538</v>
      </c>
      <c r="C59" s="635" t="s">
        <v>152</v>
      </c>
      <c r="D59" s="635"/>
      <c r="G59" s="606" t="s">
        <v>833</v>
      </c>
      <c r="H59" s="606" t="s">
        <v>1539</v>
      </c>
    </row>
    <row r="60" spans="1:8" ht="14.25" customHeight="1">
      <c r="A60" s="645" t="s">
        <v>1540</v>
      </c>
      <c r="B60" s="634" t="s">
        <v>1541</v>
      </c>
      <c r="C60" s="635" t="s">
        <v>1270</v>
      </c>
      <c r="D60" s="635"/>
      <c r="G60" s="606" t="s">
        <v>834</v>
      </c>
      <c r="H60" s="606" t="s">
        <v>1542</v>
      </c>
    </row>
    <row r="61" spans="1:8" ht="14.25" customHeight="1">
      <c r="A61" s="645" t="s">
        <v>1543</v>
      </c>
      <c r="B61" s="634" t="s">
        <v>1544</v>
      </c>
      <c r="C61" s="635" t="s">
        <v>1270</v>
      </c>
      <c r="D61" s="635"/>
      <c r="G61" s="606" t="s">
        <v>835</v>
      </c>
      <c r="H61" s="606" t="s">
        <v>1545</v>
      </c>
    </row>
    <row r="62" spans="1:8" ht="14.25" customHeight="1">
      <c r="A62" s="645" t="s">
        <v>1546</v>
      </c>
      <c r="B62" s="634" t="s">
        <v>1547</v>
      </c>
      <c r="C62" s="635" t="s">
        <v>92</v>
      </c>
      <c r="D62" s="635" t="s">
        <v>186</v>
      </c>
      <c r="G62" s="606" t="s">
        <v>1307</v>
      </c>
      <c r="H62" s="606" t="s">
        <v>1548</v>
      </c>
    </row>
    <row r="63" spans="1:8" ht="14.25" customHeight="1">
      <c r="A63" s="645" t="s">
        <v>1549</v>
      </c>
      <c r="B63" s="634" t="s">
        <v>1550</v>
      </c>
      <c r="C63" s="635" t="s">
        <v>92</v>
      </c>
      <c r="D63" s="635" t="s">
        <v>186</v>
      </c>
      <c r="G63" s="606" t="s">
        <v>1308</v>
      </c>
      <c r="H63" s="606" t="s">
        <v>1551</v>
      </c>
    </row>
    <row r="64" spans="1:8" ht="14.25" customHeight="1">
      <c r="A64" s="645" t="s">
        <v>1552</v>
      </c>
      <c r="B64" s="634" t="s">
        <v>1553</v>
      </c>
      <c r="C64" s="635" t="s">
        <v>92</v>
      </c>
      <c r="D64" s="635" t="s">
        <v>186</v>
      </c>
      <c r="G64" s="606" t="s">
        <v>836</v>
      </c>
      <c r="H64" s="606" t="s">
        <v>1554</v>
      </c>
    </row>
    <row r="65" spans="1:8" ht="14.25" customHeight="1">
      <c r="A65" s="645" t="s">
        <v>1555</v>
      </c>
      <c r="B65" s="634" t="s">
        <v>1556</v>
      </c>
      <c r="C65" s="635" t="s">
        <v>92</v>
      </c>
      <c r="D65" s="635" t="s">
        <v>186</v>
      </c>
      <c r="G65" s="606" t="s">
        <v>837</v>
      </c>
      <c r="H65" s="606" t="s">
        <v>1557</v>
      </c>
    </row>
    <row r="66" spans="1:8" ht="14.25" customHeight="1">
      <c r="A66" s="645" t="s">
        <v>1558</v>
      </c>
      <c r="B66" s="634" t="s">
        <v>1559</v>
      </c>
      <c r="C66" s="635" t="s">
        <v>92</v>
      </c>
      <c r="D66" s="635" t="s">
        <v>186</v>
      </c>
      <c r="G66" s="606" t="s">
        <v>838</v>
      </c>
      <c r="H66" s="606" t="s">
        <v>1560</v>
      </c>
    </row>
    <row r="67" spans="1:8" ht="14.25" customHeight="1">
      <c r="A67" s="645" t="s">
        <v>1561</v>
      </c>
      <c r="B67" s="634" t="s">
        <v>1562</v>
      </c>
      <c r="C67" s="635" t="s">
        <v>92</v>
      </c>
      <c r="D67" s="635" t="s">
        <v>186</v>
      </c>
      <c r="G67" s="606" t="s">
        <v>839</v>
      </c>
      <c r="H67" s="606" t="s">
        <v>1563</v>
      </c>
    </row>
    <row r="68" spans="1:8" ht="14.25" customHeight="1">
      <c r="A68" s="645" t="s">
        <v>1564</v>
      </c>
      <c r="B68" s="634" t="s">
        <v>1565</v>
      </c>
      <c r="C68" s="635" t="s">
        <v>92</v>
      </c>
      <c r="D68" s="635" t="s">
        <v>186</v>
      </c>
      <c r="G68" s="606" t="s">
        <v>840</v>
      </c>
      <c r="H68" s="606" t="s">
        <v>1566</v>
      </c>
    </row>
    <row r="69" spans="1:8" ht="14.25" customHeight="1">
      <c r="A69" s="645" t="s">
        <v>1567</v>
      </c>
      <c r="B69" s="634" t="s">
        <v>1568</v>
      </c>
      <c r="C69" s="635" t="s">
        <v>92</v>
      </c>
      <c r="D69" s="635" t="s">
        <v>186</v>
      </c>
      <c r="G69" s="606" t="s">
        <v>841</v>
      </c>
      <c r="H69" s="606" t="s">
        <v>1569</v>
      </c>
    </row>
    <row r="70" spans="1:8" ht="14.25" customHeight="1">
      <c r="A70" s="645" t="s">
        <v>1570</v>
      </c>
      <c r="B70" s="634" t="s">
        <v>1571</v>
      </c>
      <c r="C70" s="635" t="s">
        <v>152</v>
      </c>
      <c r="D70" s="635" t="s">
        <v>186</v>
      </c>
      <c r="G70" s="606" t="s">
        <v>842</v>
      </c>
      <c r="H70" s="606" t="s">
        <v>1572</v>
      </c>
    </row>
    <row r="71" spans="1:8" ht="14.25" customHeight="1">
      <c r="A71" s="645" t="s">
        <v>1573</v>
      </c>
      <c r="B71" s="634" t="s">
        <v>1574</v>
      </c>
      <c r="C71" s="635" t="s">
        <v>152</v>
      </c>
      <c r="D71" s="635" t="s">
        <v>186</v>
      </c>
      <c r="G71" s="606" t="s">
        <v>843</v>
      </c>
      <c r="H71" s="606" t="s">
        <v>1575</v>
      </c>
    </row>
    <row r="72" spans="1:8" ht="14.25" customHeight="1">
      <c r="A72" s="645" t="s">
        <v>1576</v>
      </c>
      <c r="B72" s="634" t="s">
        <v>1577</v>
      </c>
      <c r="C72" s="635" t="s">
        <v>152</v>
      </c>
      <c r="D72" s="635" t="s">
        <v>186</v>
      </c>
      <c r="G72" s="606" t="s">
        <v>1309</v>
      </c>
      <c r="H72" s="606" t="s">
        <v>844</v>
      </c>
    </row>
    <row r="73" spans="1:8" ht="14.25" customHeight="1">
      <c r="A73" s="645" t="s">
        <v>1578</v>
      </c>
      <c r="B73" s="634" t="s">
        <v>1579</v>
      </c>
      <c r="C73" s="635" t="s">
        <v>152</v>
      </c>
      <c r="D73" s="635" t="s">
        <v>186</v>
      </c>
      <c r="G73" s="606" t="s">
        <v>845</v>
      </c>
      <c r="H73" s="606" t="s">
        <v>1580</v>
      </c>
    </row>
    <row r="74" spans="1:8" ht="14.25" customHeight="1">
      <c r="A74" s="645" t="s">
        <v>1581</v>
      </c>
      <c r="B74" s="634" t="s">
        <v>1582</v>
      </c>
      <c r="C74" s="635" t="s">
        <v>152</v>
      </c>
      <c r="D74" s="635" t="s">
        <v>186</v>
      </c>
      <c r="G74" s="606" t="s">
        <v>666</v>
      </c>
      <c r="H74" s="606" t="s">
        <v>1583</v>
      </c>
    </row>
    <row r="75" spans="1:8" ht="14.25" customHeight="1">
      <c r="A75" s="645" t="s">
        <v>1584</v>
      </c>
      <c r="B75" s="634" t="s">
        <v>1585</v>
      </c>
      <c r="C75" s="635" t="s">
        <v>152</v>
      </c>
      <c r="D75" s="635" t="s">
        <v>186</v>
      </c>
      <c r="G75" s="606" t="s">
        <v>846</v>
      </c>
      <c r="H75" s="606" t="s">
        <v>848</v>
      </c>
    </row>
    <row r="76" spans="1:8" ht="14.25" customHeight="1">
      <c r="A76" s="645" t="s">
        <v>1586</v>
      </c>
      <c r="B76" s="634" t="s">
        <v>1587</v>
      </c>
      <c r="C76" s="635" t="s">
        <v>152</v>
      </c>
      <c r="D76" s="635" t="s">
        <v>186</v>
      </c>
      <c r="G76" s="606" t="s">
        <v>849</v>
      </c>
      <c r="H76" s="606" t="s">
        <v>850</v>
      </c>
    </row>
    <row r="77" spans="1:8" ht="14.25" customHeight="1">
      <c r="A77" s="645" t="s">
        <v>1588</v>
      </c>
      <c r="B77" s="634" t="s">
        <v>1589</v>
      </c>
      <c r="C77" s="635" t="s">
        <v>152</v>
      </c>
      <c r="D77" s="635" t="s">
        <v>186</v>
      </c>
      <c r="G77" s="606" t="s">
        <v>851</v>
      </c>
      <c r="H77" s="606" t="s">
        <v>852</v>
      </c>
    </row>
    <row r="78" spans="1:8" ht="14.25" customHeight="1">
      <c r="A78" s="634" t="s">
        <v>1590</v>
      </c>
      <c r="B78" s="634" t="s">
        <v>1591</v>
      </c>
      <c r="C78" s="635" t="s">
        <v>92</v>
      </c>
      <c r="D78" s="635" t="s">
        <v>1592</v>
      </c>
      <c r="G78" s="606" t="s">
        <v>853</v>
      </c>
      <c r="H78" s="606" t="s">
        <v>854</v>
      </c>
    </row>
    <row r="79" spans="1:8" ht="14.25" customHeight="1">
      <c r="A79" s="634" t="s">
        <v>1593</v>
      </c>
      <c r="B79" s="634" t="s">
        <v>1594</v>
      </c>
      <c r="C79" s="635" t="s">
        <v>92</v>
      </c>
      <c r="D79" s="635" t="s">
        <v>1592</v>
      </c>
      <c r="G79" s="606" t="s">
        <v>855</v>
      </c>
      <c r="H79" s="606" t="s">
        <v>856</v>
      </c>
    </row>
    <row r="80" spans="1:8" ht="14.25" customHeight="1">
      <c r="A80" s="634" t="s">
        <v>1595</v>
      </c>
      <c r="B80" s="634" t="s">
        <v>1596</v>
      </c>
      <c r="C80" s="635" t="s">
        <v>92</v>
      </c>
      <c r="D80" s="635" t="s">
        <v>1592</v>
      </c>
      <c r="G80" s="606" t="s">
        <v>857</v>
      </c>
      <c r="H80" s="606" t="s">
        <v>1597</v>
      </c>
    </row>
    <row r="81" spans="1:8" ht="14.25" customHeight="1">
      <c r="A81" s="634" t="s">
        <v>1598</v>
      </c>
      <c r="B81" s="634" t="s">
        <v>1599</v>
      </c>
      <c r="C81" s="635" t="s">
        <v>92</v>
      </c>
      <c r="D81" s="635" t="s">
        <v>1592</v>
      </c>
      <c r="G81" s="606" t="s">
        <v>858</v>
      </c>
      <c r="H81" s="606" t="s">
        <v>859</v>
      </c>
    </row>
    <row r="82" spans="1:8" ht="14.25" customHeight="1">
      <c r="A82" s="634" t="s">
        <v>1600</v>
      </c>
      <c r="B82" s="634" t="s">
        <v>1601</v>
      </c>
      <c r="C82" s="635" t="s">
        <v>92</v>
      </c>
      <c r="D82" s="635" t="s">
        <v>1592</v>
      </c>
      <c r="G82" s="606" t="s">
        <v>860</v>
      </c>
      <c r="H82" s="606" t="s">
        <v>1602</v>
      </c>
    </row>
    <row r="83" spans="1:8" ht="14.25" customHeight="1">
      <c r="A83" s="634" t="s">
        <v>1603</v>
      </c>
      <c r="B83" s="634" t="s">
        <v>1604</v>
      </c>
      <c r="C83" s="635" t="s">
        <v>92</v>
      </c>
      <c r="D83" s="635" t="s">
        <v>1592</v>
      </c>
      <c r="G83" s="606" t="s">
        <v>861</v>
      </c>
      <c r="H83" s="606" t="s">
        <v>1605</v>
      </c>
    </row>
    <row r="84" spans="1:8" ht="14.25" customHeight="1">
      <c r="A84" s="634" t="s">
        <v>1606</v>
      </c>
      <c r="B84" s="634" t="s">
        <v>1607</v>
      </c>
      <c r="C84" s="635" t="s">
        <v>92</v>
      </c>
      <c r="D84" s="635" t="s">
        <v>1592</v>
      </c>
      <c r="G84" s="606" t="s">
        <v>862</v>
      </c>
      <c r="H84" s="606" t="s">
        <v>1608</v>
      </c>
    </row>
    <row r="85" spans="1:8" ht="14.25" customHeight="1">
      <c r="A85" s="634" t="s">
        <v>1609</v>
      </c>
      <c r="B85" s="634" t="s">
        <v>1610</v>
      </c>
      <c r="C85" s="635" t="s">
        <v>92</v>
      </c>
      <c r="D85" s="635" t="s">
        <v>1592</v>
      </c>
      <c r="G85" s="606" t="s">
        <v>864</v>
      </c>
      <c r="H85" s="606" t="s">
        <v>863</v>
      </c>
    </row>
    <row r="86" spans="1:8" ht="14.25" customHeight="1">
      <c r="A86" s="645" t="s">
        <v>1611</v>
      </c>
      <c r="B86" s="634" t="s">
        <v>1612</v>
      </c>
      <c r="C86" s="635" t="s">
        <v>92</v>
      </c>
      <c r="D86" s="635"/>
      <c r="G86" s="606" t="s">
        <v>865</v>
      </c>
      <c r="H86" s="606" t="s">
        <v>1613</v>
      </c>
    </row>
    <row r="87" spans="1:8" ht="14.25" customHeight="1">
      <c r="A87" s="645" t="s">
        <v>1614</v>
      </c>
      <c r="B87" s="634" t="s">
        <v>1615</v>
      </c>
      <c r="C87" s="635" t="s">
        <v>152</v>
      </c>
      <c r="D87" s="635"/>
      <c r="G87" s="606" t="s">
        <v>866</v>
      </c>
      <c r="H87" s="606" t="s">
        <v>1616</v>
      </c>
    </row>
    <row r="88" spans="1:8" ht="14.25" customHeight="1">
      <c r="A88" s="645" t="s">
        <v>1617</v>
      </c>
      <c r="B88" s="634" t="s">
        <v>1618</v>
      </c>
      <c r="C88" s="635" t="s">
        <v>161</v>
      </c>
      <c r="D88" s="635"/>
      <c r="G88" s="606" t="s">
        <v>677</v>
      </c>
      <c r="H88" s="606" t="s">
        <v>1619</v>
      </c>
    </row>
    <row r="89" spans="1:8" ht="14.25" customHeight="1">
      <c r="A89" s="645" t="s">
        <v>1620</v>
      </c>
      <c r="B89" s="634" t="s">
        <v>1621</v>
      </c>
      <c r="C89" s="635" t="s">
        <v>176</v>
      </c>
      <c r="D89" s="635"/>
      <c r="G89" s="606" t="s">
        <v>867</v>
      </c>
      <c r="H89" s="606" t="s">
        <v>868</v>
      </c>
    </row>
    <row r="90" spans="1:8" ht="14.25" customHeight="1">
      <c r="A90" s="645" t="s">
        <v>1622</v>
      </c>
      <c r="B90" s="634" t="s">
        <v>1623</v>
      </c>
      <c r="C90" s="635" t="s">
        <v>180</v>
      </c>
      <c r="D90" s="635"/>
      <c r="G90" s="606" t="s">
        <v>869</v>
      </c>
      <c r="H90" s="606" t="s">
        <v>1624</v>
      </c>
    </row>
    <row r="91" spans="1:8" ht="14.25" customHeight="1">
      <c r="A91" s="645" t="s">
        <v>1625</v>
      </c>
      <c r="B91" s="634" t="s">
        <v>1626</v>
      </c>
      <c r="C91" s="635" t="s">
        <v>92</v>
      </c>
      <c r="D91" s="635"/>
      <c r="G91" s="606" t="s">
        <v>870</v>
      </c>
      <c r="H91" s="606" t="s">
        <v>873</v>
      </c>
    </row>
    <row r="92" spans="1:8" ht="14.25" customHeight="1">
      <c r="A92" s="645" t="s">
        <v>1627</v>
      </c>
      <c r="B92" s="634" t="s">
        <v>1628</v>
      </c>
      <c r="C92" s="635" t="s">
        <v>152</v>
      </c>
      <c r="D92" s="635"/>
      <c r="G92" s="606" t="s">
        <v>872</v>
      </c>
      <c r="H92" s="606" t="s">
        <v>1629</v>
      </c>
    </row>
    <row r="93" spans="1:8" ht="14.25" customHeight="1">
      <c r="A93" s="645" t="s">
        <v>1630</v>
      </c>
      <c r="B93" s="634" t="s">
        <v>1631</v>
      </c>
      <c r="C93" s="635" t="s">
        <v>161</v>
      </c>
      <c r="D93" s="635"/>
      <c r="G93" s="606" t="s">
        <v>875</v>
      </c>
      <c r="H93" s="606" t="s">
        <v>1632</v>
      </c>
    </row>
    <row r="94" spans="1:8" ht="14.25" customHeight="1">
      <c r="A94" s="645" t="s">
        <v>1633</v>
      </c>
      <c r="B94" s="634" t="s">
        <v>1634</v>
      </c>
      <c r="C94" s="635" t="s">
        <v>180</v>
      </c>
      <c r="D94" s="635"/>
      <c r="G94" s="606" t="s">
        <v>678</v>
      </c>
      <c r="H94" s="606" t="s">
        <v>1635</v>
      </c>
    </row>
    <row r="95" spans="1:8" ht="14.25" customHeight="1">
      <c r="A95" s="645" t="s">
        <v>1636</v>
      </c>
      <c r="B95" s="634" t="s">
        <v>1637</v>
      </c>
      <c r="C95" s="635" t="s">
        <v>152</v>
      </c>
      <c r="D95" s="635"/>
      <c r="G95" s="606" t="s">
        <v>876</v>
      </c>
      <c r="H95" s="606" t="s">
        <v>877</v>
      </c>
    </row>
    <row r="96" spans="1:8" ht="14.25" customHeight="1">
      <c r="A96" s="645" t="s">
        <v>1638</v>
      </c>
      <c r="B96" s="634" t="s">
        <v>1639</v>
      </c>
      <c r="C96" s="635" t="s">
        <v>92</v>
      </c>
      <c r="D96" s="635" t="s">
        <v>168</v>
      </c>
      <c r="G96" s="606" t="s">
        <v>878</v>
      </c>
      <c r="H96" s="606" t="s">
        <v>1640</v>
      </c>
    </row>
    <row r="97" spans="1:8" ht="14.25" customHeight="1">
      <c r="A97" s="645" t="s">
        <v>1641</v>
      </c>
      <c r="B97" s="634" t="s">
        <v>1642</v>
      </c>
      <c r="C97" s="635" t="s">
        <v>92</v>
      </c>
      <c r="D97" s="635"/>
      <c r="G97" s="606" t="s">
        <v>679</v>
      </c>
      <c r="H97" s="606" t="s">
        <v>1643</v>
      </c>
    </row>
    <row r="98" spans="1:8" ht="14.25" customHeight="1">
      <c r="A98" s="645" t="s">
        <v>1644</v>
      </c>
      <c r="B98" s="634" t="s">
        <v>1645</v>
      </c>
      <c r="C98" s="635" t="s">
        <v>152</v>
      </c>
      <c r="D98" s="635"/>
      <c r="G98" s="606" t="s">
        <v>879</v>
      </c>
      <c r="H98" s="606" t="s">
        <v>1646</v>
      </c>
    </row>
    <row r="99" spans="1:8" ht="14.25" customHeight="1">
      <c r="A99" s="645" t="s">
        <v>1647</v>
      </c>
      <c r="B99" s="634" t="s">
        <v>1648</v>
      </c>
      <c r="C99" s="635" t="s">
        <v>92</v>
      </c>
      <c r="D99" s="635"/>
      <c r="G99" s="606" t="s">
        <v>880</v>
      </c>
      <c r="H99" s="606" t="s">
        <v>1649</v>
      </c>
    </row>
    <row r="100" spans="1:8" ht="14.25" customHeight="1">
      <c r="A100" s="645" t="s">
        <v>1650</v>
      </c>
      <c r="B100" s="634" t="s">
        <v>1651</v>
      </c>
      <c r="C100" s="635" t="s">
        <v>152</v>
      </c>
      <c r="D100" s="635"/>
      <c r="G100" s="606" t="s">
        <v>881</v>
      </c>
      <c r="H100" s="606" t="s">
        <v>1652</v>
      </c>
    </row>
    <row r="101" spans="1:8" ht="14.25" customHeight="1">
      <c r="A101" s="645" t="s">
        <v>1653</v>
      </c>
      <c r="B101" s="634" t="s">
        <v>1654</v>
      </c>
      <c r="C101" s="635" t="s">
        <v>161</v>
      </c>
      <c r="D101" s="635"/>
      <c r="G101" s="606" t="s">
        <v>680</v>
      </c>
      <c r="H101" s="606" t="s">
        <v>1655</v>
      </c>
    </row>
    <row r="102" spans="1:8" ht="14.25" customHeight="1">
      <c r="A102" s="645" t="s">
        <v>1656</v>
      </c>
      <c r="B102" s="634" t="s">
        <v>1657</v>
      </c>
      <c r="C102" s="635" t="s">
        <v>180</v>
      </c>
      <c r="D102" s="635"/>
      <c r="G102" s="606" t="s">
        <v>681</v>
      </c>
      <c r="H102" s="606" t="s">
        <v>1658</v>
      </c>
    </row>
    <row r="103" spans="1:8" ht="14.25" customHeight="1">
      <c r="A103" s="645" t="s">
        <v>1659</v>
      </c>
      <c r="B103" s="634" t="s">
        <v>1660</v>
      </c>
      <c r="C103" s="635" t="s">
        <v>92</v>
      </c>
      <c r="D103" s="635"/>
      <c r="G103" s="606" t="s">
        <v>882</v>
      </c>
      <c r="H103" s="606" t="s">
        <v>883</v>
      </c>
    </row>
    <row r="104" spans="1:8" ht="14.25" customHeight="1">
      <c r="A104" s="645" t="s">
        <v>1661</v>
      </c>
      <c r="B104" s="634" t="s">
        <v>1662</v>
      </c>
      <c r="C104" s="635" t="s">
        <v>152</v>
      </c>
      <c r="D104" s="635"/>
      <c r="G104" s="606" t="s">
        <v>682</v>
      </c>
      <c r="H104" s="606" t="s">
        <v>1663</v>
      </c>
    </row>
    <row r="105" spans="1:8" ht="14.25" customHeight="1">
      <c r="A105" s="645" t="s">
        <v>1664</v>
      </c>
      <c r="B105" s="634" t="s">
        <v>1665</v>
      </c>
      <c r="C105" s="635" t="s">
        <v>161</v>
      </c>
      <c r="D105" s="635"/>
      <c r="G105" s="606" t="s">
        <v>683</v>
      </c>
      <c r="H105" s="606" t="s">
        <v>1666</v>
      </c>
    </row>
    <row r="106" spans="1:8" ht="14.25" customHeight="1">
      <c r="A106" s="645" t="s">
        <v>1667</v>
      </c>
      <c r="B106" s="634" t="s">
        <v>1668</v>
      </c>
      <c r="C106" s="635" t="s">
        <v>161</v>
      </c>
      <c r="D106" s="635" t="s">
        <v>168</v>
      </c>
      <c r="G106" s="606" t="s">
        <v>684</v>
      </c>
      <c r="H106" s="606" t="s">
        <v>1669</v>
      </c>
    </row>
    <row r="107" spans="1:8" ht="14.25" customHeight="1">
      <c r="A107" s="645" t="s">
        <v>1670</v>
      </c>
      <c r="B107" s="634" t="s">
        <v>1671</v>
      </c>
      <c r="C107" s="635" t="s">
        <v>161</v>
      </c>
      <c r="D107" s="635"/>
      <c r="G107" s="606" t="s">
        <v>685</v>
      </c>
      <c r="H107" s="606" t="s">
        <v>1672</v>
      </c>
    </row>
    <row r="108" spans="1:8" ht="14.25" customHeight="1">
      <c r="A108" s="645" t="s">
        <v>1673</v>
      </c>
      <c r="B108" s="634" t="s">
        <v>1674</v>
      </c>
      <c r="C108" s="635" t="s">
        <v>92</v>
      </c>
      <c r="D108" s="635"/>
      <c r="G108" s="606" t="s">
        <v>884</v>
      </c>
      <c r="H108" s="606" t="s">
        <v>885</v>
      </c>
    </row>
    <row r="109" spans="1:8" ht="14.25" customHeight="1">
      <c r="A109" s="645" t="s">
        <v>1675</v>
      </c>
      <c r="B109" s="634" t="s">
        <v>1676</v>
      </c>
      <c r="C109" s="635" t="s">
        <v>152</v>
      </c>
      <c r="D109" s="635"/>
      <c r="G109" s="606" t="s">
        <v>888</v>
      </c>
      <c r="H109" s="606" t="s">
        <v>889</v>
      </c>
    </row>
    <row r="110" spans="1:8" ht="14.25" customHeight="1">
      <c r="A110" s="645" t="s">
        <v>1677</v>
      </c>
      <c r="B110" s="634" t="s">
        <v>1678</v>
      </c>
      <c r="C110" s="635" t="s">
        <v>161</v>
      </c>
      <c r="D110" s="635"/>
      <c r="G110" s="606" t="s">
        <v>890</v>
      </c>
      <c r="H110" s="606" t="s">
        <v>1679</v>
      </c>
    </row>
    <row r="111" spans="1:8" ht="14.25" customHeight="1">
      <c r="A111" s="645" t="s">
        <v>1680</v>
      </c>
      <c r="B111" s="634" t="s">
        <v>1681</v>
      </c>
      <c r="C111" s="635" t="s">
        <v>176</v>
      </c>
      <c r="D111" s="635"/>
      <c r="G111" s="606" t="s">
        <v>1312</v>
      </c>
      <c r="H111" s="606" t="s">
        <v>1682</v>
      </c>
    </row>
    <row r="112" spans="1:8" ht="14.25" customHeight="1">
      <c r="A112" s="645" t="s">
        <v>1683</v>
      </c>
      <c r="B112" s="634" t="s">
        <v>1684</v>
      </c>
      <c r="C112" s="635" t="s">
        <v>180</v>
      </c>
      <c r="D112" s="635"/>
      <c r="G112" s="606" t="s">
        <v>891</v>
      </c>
      <c r="H112" s="606" t="s">
        <v>1685</v>
      </c>
    </row>
    <row r="113" spans="1:8" ht="14.25" customHeight="1">
      <c r="A113" s="645" t="s">
        <v>1686</v>
      </c>
      <c r="B113" s="634" t="s">
        <v>1687</v>
      </c>
      <c r="C113" s="635" t="s">
        <v>1270</v>
      </c>
      <c r="D113" s="635" t="s">
        <v>121</v>
      </c>
      <c r="G113" s="606" t="s">
        <v>892</v>
      </c>
      <c r="H113" s="606" t="s">
        <v>1688</v>
      </c>
    </row>
    <row r="114" spans="1:8" ht="14.25" customHeight="1">
      <c r="A114" s="645" t="s">
        <v>1689</v>
      </c>
      <c r="B114" s="634" t="s">
        <v>1690</v>
      </c>
      <c r="C114" s="635" t="s">
        <v>1270</v>
      </c>
      <c r="D114" s="635" t="s">
        <v>121</v>
      </c>
      <c r="G114" s="606" t="s">
        <v>686</v>
      </c>
      <c r="H114" s="606" t="s">
        <v>687</v>
      </c>
    </row>
    <row r="115" spans="1:8" ht="14.25" customHeight="1">
      <c r="A115" s="645" t="s">
        <v>1691</v>
      </c>
      <c r="B115" s="634" t="s">
        <v>1692</v>
      </c>
      <c r="C115" s="635" t="s">
        <v>161</v>
      </c>
      <c r="D115" s="635" t="s">
        <v>121</v>
      </c>
      <c r="G115" s="606" t="s">
        <v>688</v>
      </c>
      <c r="H115" s="606" t="s">
        <v>689</v>
      </c>
    </row>
    <row r="116" spans="1:8" ht="14.25" customHeight="1">
      <c r="A116" s="645" t="s">
        <v>1693</v>
      </c>
      <c r="B116" s="634" t="s">
        <v>1694</v>
      </c>
      <c r="C116" s="635" t="s">
        <v>176</v>
      </c>
      <c r="D116" s="635" t="s">
        <v>121</v>
      </c>
      <c r="G116" s="606" t="s">
        <v>690</v>
      </c>
      <c r="H116" s="606" t="s">
        <v>1695</v>
      </c>
    </row>
    <row r="117" spans="1:8" ht="14.25" customHeight="1">
      <c r="A117" s="645" t="s">
        <v>1696</v>
      </c>
      <c r="B117" s="634" t="s">
        <v>1697</v>
      </c>
      <c r="C117" s="635" t="s">
        <v>180</v>
      </c>
      <c r="D117" s="635" t="s">
        <v>121</v>
      </c>
      <c r="G117" s="606" t="s">
        <v>691</v>
      </c>
      <c r="H117" s="606" t="s">
        <v>1698</v>
      </c>
    </row>
    <row r="118" spans="1:8" ht="14.25" customHeight="1">
      <c r="A118" s="645" t="s">
        <v>1699</v>
      </c>
      <c r="B118" s="634" t="s">
        <v>1700</v>
      </c>
      <c r="C118" s="635" t="s">
        <v>180</v>
      </c>
      <c r="D118" s="635"/>
      <c r="G118" s="606" t="s">
        <v>897</v>
      </c>
      <c r="H118" s="606" t="s">
        <v>898</v>
      </c>
    </row>
    <row r="119" spans="1:8" ht="14.25" customHeight="1">
      <c r="A119" s="645" t="s">
        <v>1701</v>
      </c>
      <c r="B119" s="634" t="s">
        <v>1702</v>
      </c>
      <c r="C119" s="635" t="s">
        <v>1266</v>
      </c>
      <c r="D119" s="635" t="s">
        <v>25</v>
      </c>
      <c r="G119" s="606" t="s">
        <v>899</v>
      </c>
      <c r="H119" s="606" t="s">
        <v>900</v>
      </c>
    </row>
    <row r="120" spans="1:8" ht="14.25" customHeight="1">
      <c r="A120" s="645" t="s">
        <v>1703</v>
      </c>
      <c r="B120" s="634" t="s">
        <v>1704</v>
      </c>
      <c r="C120" s="635" t="s">
        <v>1266</v>
      </c>
      <c r="D120" s="635" t="s">
        <v>25</v>
      </c>
      <c r="G120" s="606" t="s">
        <v>667</v>
      </c>
      <c r="H120" s="606" t="s">
        <v>693</v>
      </c>
    </row>
    <row r="121" spans="1:8" ht="14.25" customHeight="1">
      <c r="A121" s="645" t="s">
        <v>1705</v>
      </c>
      <c r="B121" s="634" t="s">
        <v>1706</v>
      </c>
      <c r="C121" s="635" t="s">
        <v>1266</v>
      </c>
      <c r="D121" s="635" t="s">
        <v>1707</v>
      </c>
      <c r="G121" s="606" t="s">
        <v>692</v>
      </c>
      <c r="H121" s="606" t="s">
        <v>1708</v>
      </c>
    </row>
    <row r="122" spans="1:8" ht="14.25" customHeight="1">
      <c r="A122" s="645" t="s">
        <v>1709</v>
      </c>
      <c r="B122" s="634" t="s">
        <v>1710</v>
      </c>
      <c r="C122" s="635" t="s">
        <v>1266</v>
      </c>
      <c r="D122" s="635" t="s">
        <v>25</v>
      </c>
      <c r="G122" s="606" t="s">
        <v>901</v>
      </c>
      <c r="H122" s="606" t="s">
        <v>903</v>
      </c>
    </row>
    <row r="123" spans="1:8" ht="14.25" customHeight="1">
      <c r="A123" s="645" t="s">
        <v>1711</v>
      </c>
      <c r="B123" s="634" t="s">
        <v>1712</v>
      </c>
      <c r="C123" s="635" t="s">
        <v>1266</v>
      </c>
      <c r="D123" s="635" t="s">
        <v>25</v>
      </c>
      <c r="G123" s="606" t="s">
        <v>904</v>
      </c>
      <c r="H123" s="606" t="s">
        <v>1713</v>
      </c>
    </row>
    <row r="124" spans="1:8" ht="14.25" customHeight="1">
      <c r="A124" s="645" t="s">
        <v>1714</v>
      </c>
      <c r="B124" s="634" t="s">
        <v>1715</v>
      </c>
      <c r="C124" s="635" t="s">
        <v>1266</v>
      </c>
      <c r="D124" s="635" t="s">
        <v>25</v>
      </c>
      <c r="G124" s="606" t="s">
        <v>905</v>
      </c>
      <c r="H124" s="606" t="s">
        <v>1716</v>
      </c>
    </row>
    <row r="125" spans="1:8" ht="14.25" customHeight="1">
      <c r="A125" s="645" t="s">
        <v>1717</v>
      </c>
      <c r="B125" s="634" t="s">
        <v>1718</v>
      </c>
      <c r="C125" s="635" t="s">
        <v>1266</v>
      </c>
      <c r="D125" s="635" t="s">
        <v>25</v>
      </c>
      <c r="G125" s="606" t="s">
        <v>694</v>
      </c>
      <c r="H125" s="606" t="s">
        <v>1719</v>
      </c>
    </row>
    <row r="126" spans="1:8" ht="14.25" customHeight="1">
      <c r="A126" s="645" t="s">
        <v>1720</v>
      </c>
      <c r="B126" s="634" t="s">
        <v>1721</v>
      </c>
      <c r="C126" s="635" t="s">
        <v>1266</v>
      </c>
      <c r="D126" s="635" t="s">
        <v>29</v>
      </c>
      <c r="G126" s="606" t="s">
        <v>695</v>
      </c>
      <c r="H126" s="606" t="s">
        <v>1722</v>
      </c>
    </row>
    <row r="127" spans="1:8" ht="14.25" customHeight="1">
      <c r="A127" s="645" t="s">
        <v>1723</v>
      </c>
      <c r="B127" s="634" t="s">
        <v>1724</v>
      </c>
      <c r="C127" s="635" t="s">
        <v>1266</v>
      </c>
      <c r="D127" s="635" t="s">
        <v>30</v>
      </c>
      <c r="G127" s="606" t="s">
        <v>696</v>
      </c>
      <c r="H127" s="606" t="s">
        <v>1725</v>
      </c>
    </row>
    <row r="128" spans="1:8" ht="14.25" customHeight="1">
      <c r="A128" s="645" t="s">
        <v>1726</v>
      </c>
      <c r="B128" s="634" t="s">
        <v>1727</v>
      </c>
      <c r="C128" s="635" t="s">
        <v>1266</v>
      </c>
      <c r="D128" s="635" t="s">
        <v>30</v>
      </c>
      <c r="G128" s="606" t="s">
        <v>697</v>
      </c>
      <c r="H128" s="606" t="s">
        <v>1728</v>
      </c>
    </row>
    <row r="129" spans="1:8" ht="14.25" customHeight="1">
      <c r="A129" s="645" t="s">
        <v>1729</v>
      </c>
      <c r="B129" s="634" t="s">
        <v>1730</v>
      </c>
      <c r="C129" s="635" t="s">
        <v>1266</v>
      </c>
      <c r="D129" s="635" t="s">
        <v>34</v>
      </c>
      <c r="G129" s="606" t="s">
        <v>698</v>
      </c>
      <c r="H129" s="606" t="s">
        <v>1731</v>
      </c>
    </row>
    <row r="130" spans="1:8" ht="14.25" customHeight="1">
      <c r="A130" s="645" t="s">
        <v>1732</v>
      </c>
      <c r="B130" s="634" t="s">
        <v>1733</v>
      </c>
      <c r="C130" s="635" t="s">
        <v>1266</v>
      </c>
      <c r="D130" s="635" t="s">
        <v>38</v>
      </c>
      <c r="G130" s="606" t="s">
        <v>699</v>
      </c>
      <c r="H130" s="606" t="s">
        <v>1734</v>
      </c>
    </row>
    <row r="131" spans="1:8" ht="14.25" customHeight="1">
      <c r="A131" s="645" t="s">
        <v>1735</v>
      </c>
      <c r="B131" s="634" t="s">
        <v>1736</v>
      </c>
      <c r="C131" s="635" t="s">
        <v>1266</v>
      </c>
      <c r="D131" s="635" t="s">
        <v>32</v>
      </c>
      <c r="G131" s="606" t="s">
        <v>700</v>
      </c>
      <c r="H131" s="606" t="s">
        <v>1737</v>
      </c>
    </row>
    <row r="132" spans="1:8" ht="14.25" customHeight="1">
      <c r="A132" s="645" t="s">
        <v>1738</v>
      </c>
      <c r="B132" s="634" t="s">
        <v>1739</v>
      </c>
      <c r="C132" s="635" t="s">
        <v>1266</v>
      </c>
      <c r="D132" s="635" t="s">
        <v>36</v>
      </c>
      <c r="G132" s="606" t="s">
        <v>906</v>
      </c>
      <c r="H132" s="606" t="s">
        <v>1740</v>
      </c>
    </row>
    <row r="133" spans="1:8" ht="14.25" customHeight="1">
      <c r="A133" s="645" t="s">
        <v>1741</v>
      </c>
      <c r="B133" s="634" t="s">
        <v>1742</v>
      </c>
      <c r="C133" s="635" t="s">
        <v>1266</v>
      </c>
      <c r="D133" s="635" t="s">
        <v>1289</v>
      </c>
      <c r="G133" s="606" t="s">
        <v>701</v>
      </c>
      <c r="H133" s="606" t="s">
        <v>1743</v>
      </c>
    </row>
    <row r="134" spans="1:8" ht="14.25" customHeight="1">
      <c r="A134" s="634" t="s">
        <v>1744</v>
      </c>
      <c r="B134" s="634" t="s">
        <v>1745</v>
      </c>
      <c r="C134" s="635" t="s">
        <v>1266</v>
      </c>
      <c r="D134" s="635" t="s">
        <v>1289</v>
      </c>
      <c r="G134" s="606" t="s">
        <v>702</v>
      </c>
      <c r="H134" s="606" t="s">
        <v>1746</v>
      </c>
    </row>
    <row r="135" spans="1:8" ht="14.25" customHeight="1">
      <c r="A135" s="645" t="s">
        <v>1747</v>
      </c>
      <c r="B135" s="634" t="s">
        <v>1748</v>
      </c>
      <c r="C135" s="635" t="s">
        <v>1266</v>
      </c>
      <c r="D135" s="635" t="s">
        <v>57</v>
      </c>
      <c r="G135" s="606" t="s">
        <v>703</v>
      </c>
      <c r="H135" s="606" t="s">
        <v>1749</v>
      </c>
    </row>
    <row r="136" spans="1:8" ht="14.25" customHeight="1">
      <c r="A136" s="645" t="s">
        <v>1750</v>
      </c>
      <c r="B136" s="634" t="s">
        <v>1751</v>
      </c>
      <c r="C136" s="635" t="s">
        <v>1266</v>
      </c>
      <c r="D136" s="635" t="s">
        <v>32</v>
      </c>
      <c r="G136" s="606" t="s">
        <v>704</v>
      </c>
      <c r="H136" s="606" t="s">
        <v>1752</v>
      </c>
    </row>
    <row r="137" spans="1:8" ht="14.25" customHeight="1">
      <c r="A137" s="645" t="s">
        <v>1753</v>
      </c>
      <c r="B137" s="634" t="s">
        <v>1754</v>
      </c>
      <c r="C137" s="635" t="s">
        <v>1266</v>
      </c>
      <c r="D137" s="635" t="s">
        <v>1289</v>
      </c>
      <c r="G137" s="606" t="s">
        <v>668</v>
      </c>
      <c r="H137" s="606" t="s">
        <v>706</v>
      </c>
    </row>
    <row r="138" spans="1:8" ht="14.25" customHeight="1">
      <c r="A138" s="645" t="s">
        <v>1755</v>
      </c>
      <c r="B138" s="634" t="s">
        <v>1756</v>
      </c>
      <c r="C138" s="635" t="s">
        <v>1266</v>
      </c>
      <c r="D138" s="635" t="s">
        <v>42</v>
      </c>
      <c r="G138" s="606" t="s">
        <v>705</v>
      </c>
      <c r="H138" s="606" t="s">
        <v>1757</v>
      </c>
    </row>
    <row r="139" spans="1:8" ht="14.25" customHeight="1">
      <c r="A139" s="645" t="s">
        <v>1758</v>
      </c>
      <c r="B139" s="634" t="s">
        <v>1759</v>
      </c>
      <c r="C139" s="635" t="s">
        <v>1266</v>
      </c>
      <c r="D139" s="635" t="s">
        <v>1289</v>
      </c>
      <c r="G139" s="606" t="s">
        <v>707</v>
      </c>
      <c r="H139" s="606" t="s">
        <v>1760</v>
      </c>
    </row>
    <row r="140" spans="1:8" ht="14.25" customHeight="1">
      <c r="A140" s="645" t="s">
        <v>1761</v>
      </c>
      <c r="B140" s="634" t="s">
        <v>1762</v>
      </c>
      <c r="C140" s="635" t="s">
        <v>1266</v>
      </c>
      <c r="D140" s="635" t="s">
        <v>46</v>
      </c>
      <c r="G140" s="606" t="s">
        <v>708</v>
      </c>
      <c r="H140" s="606" t="s">
        <v>1763</v>
      </c>
    </row>
    <row r="141" spans="1:8" ht="14.25" customHeight="1">
      <c r="A141" s="645" t="s">
        <v>1764</v>
      </c>
      <c r="B141" s="634" t="s">
        <v>1765</v>
      </c>
      <c r="C141" s="635" t="s">
        <v>1266</v>
      </c>
      <c r="D141" s="635">
        <v>0</v>
      </c>
      <c r="G141" s="606" t="s">
        <v>709</v>
      </c>
      <c r="H141" s="606" t="s">
        <v>1766</v>
      </c>
    </row>
    <row r="142" spans="1:8" ht="14.25" customHeight="1">
      <c r="A142" s="645" t="s">
        <v>1767</v>
      </c>
      <c r="B142" s="634" t="s">
        <v>1768</v>
      </c>
      <c r="C142" s="635" t="s">
        <v>1266</v>
      </c>
      <c r="D142" s="635" t="s">
        <v>46</v>
      </c>
      <c r="G142" s="606" t="s">
        <v>710</v>
      </c>
      <c r="H142" s="606" t="s">
        <v>1769</v>
      </c>
    </row>
    <row r="143" spans="1:8" ht="14.25" customHeight="1">
      <c r="A143" s="645" t="s">
        <v>1770</v>
      </c>
      <c r="B143" s="634" t="s">
        <v>1771</v>
      </c>
      <c r="C143" s="635" t="s">
        <v>1266</v>
      </c>
      <c r="D143" s="635" t="s">
        <v>48</v>
      </c>
      <c r="G143" s="606" t="s">
        <v>711</v>
      </c>
      <c r="H143" s="606" t="s">
        <v>1772</v>
      </c>
    </row>
    <row r="144" spans="1:8" ht="14.25" customHeight="1">
      <c r="A144" s="645" t="s">
        <v>1773</v>
      </c>
      <c r="B144" s="634" t="s">
        <v>1774</v>
      </c>
      <c r="C144" s="635" t="s">
        <v>1266</v>
      </c>
      <c r="D144" s="635" t="s">
        <v>48</v>
      </c>
      <c r="G144" s="606" t="s">
        <v>712</v>
      </c>
      <c r="H144" s="606" t="s">
        <v>1775</v>
      </c>
    </row>
    <row r="145" spans="1:8" ht="14.25" customHeight="1">
      <c r="A145" s="645" t="s">
        <v>1776</v>
      </c>
      <c r="B145" s="634" t="s">
        <v>1777</v>
      </c>
      <c r="C145" s="635" t="s">
        <v>1266</v>
      </c>
      <c r="D145" s="635" t="s">
        <v>154</v>
      </c>
      <c r="G145" s="606" t="s">
        <v>713</v>
      </c>
      <c r="H145" s="606" t="s">
        <v>1778</v>
      </c>
    </row>
    <row r="146" spans="1:8" ht="14.25" customHeight="1">
      <c r="A146" s="645" t="s">
        <v>1779</v>
      </c>
      <c r="B146" s="634" t="s">
        <v>1780</v>
      </c>
      <c r="C146" s="635" t="s">
        <v>1266</v>
      </c>
      <c r="D146" s="635" t="s">
        <v>46</v>
      </c>
      <c r="G146" s="606" t="s">
        <v>714</v>
      </c>
      <c r="H146" s="606" t="s">
        <v>1781</v>
      </c>
    </row>
    <row r="147" spans="1:8" ht="14.25" customHeight="1">
      <c r="A147" s="645" t="s">
        <v>1782</v>
      </c>
      <c r="B147" s="634" t="s">
        <v>1783</v>
      </c>
      <c r="C147" s="635" t="s">
        <v>1266</v>
      </c>
      <c r="D147" s="635">
        <v>0</v>
      </c>
      <c r="G147" s="606" t="s">
        <v>715</v>
      </c>
      <c r="H147" s="606" t="s">
        <v>1784</v>
      </c>
    </row>
    <row r="148" spans="1:8" ht="14.25" customHeight="1">
      <c r="A148" s="645" t="s">
        <v>1785</v>
      </c>
      <c r="B148" s="634" t="s">
        <v>1786</v>
      </c>
      <c r="C148" s="635" t="s">
        <v>1266</v>
      </c>
      <c r="D148" s="635" t="s">
        <v>46</v>
      </c>
      <c r="G148" s="606" t="s">
        <v>907</v>
      </c>
      <c r="H148" s="606" t="s">
        <v>909</v>
      </c>
    </row>
    <row r="149" spans="1:8" ht="14.25" customHeight="1">
      <c r="A149" s="645" t="s">
        <v>1787</v>
      </c>
      <c r="B149" s="634" t="s">
        <v>1788</v>
      </c>
      <c r="C149" s="635" t="s">
        <v>1266</v>
      </c>
      <c r="D149" s="635">
        <v>0</v>
      </c>
      <c r="G149" s="606" t="s">
        <v>910</v>
      </c>
      <c r="H149" s="606" t="s">
        <v>911</v>
      </c>
    </row>
    <row r="150" spans="1:8" ht="14.25" customHeight="1">
      <c r="A150" s="645" t="s">
        <v>1789</v>
      </c>
      <c r="B150" s="634" t="s">
        <v>1790</v>
      </c>
      <c r="C150" s="635" t="s">
        <v>1266</v>
      </c>
      <c r="D150" s="635" t="s">
        <v>50</v>
      </c>
      <c r="G150" s="606" t="s">
        <v>1314</v>
      </c>
      <c r="H150" s="606" t="s">
        <v>1791</v>
      </c>
    </row>
    <row r="151" spans="1:8" ht="14.25" customHeight="1">
      <c r="A151" s="645" t="s">
        <v>1792</v>
      </c>
      <c r="B151" s="634" t="s">
        <v>1793</v>
      </c>
      <c r="C151" s="635" t="s">
        <v>1266</v>
      </c>
      <c r="D151" s="635" t="s">
        <v>50</v>
      </c>
      <c r="G151" s="606" t="s">
        <v>1354</v>
      </c>
      <c r="H151" s="606" t="s">
        <v>1353</v>
      </c>
    </row>
    <row r="152" spans="1:8" ht="14.25" customHeight="1">
      <c r="A152" s="645" t="s">
        <v>1794</v>
      </c>
      <c r="B152" s="634" t="s">
        <v>1795</v>
      </c>
      <c r="C152" s="635" t="s">
        <v>1266</v>
      </c>
      <c r="D152" s="635" t="s">
        <v>50</v>
      </c>
      <c r="G152" s="606" t="s">
        <v>1315</v>
      </c>
      <c r="H152" s="606" t="s">
        <v>1376</v>
      </c>
    </row>
    <row r="153" spans="1:8" ht="14.25" customHeight="1">
      <c r="A153" s="645" t="s">
        <v>1796</v>
      </c>
      <c r="B153" s="634" t="s">
        <v>1797</v>
      </c>
      <c r="C153" s="635" t="s">
        <v>1266</v>
      </c>
      <c r="D153" s="635" t="s">
        <v>56</v>
      </c>
      <c r="G153" s="606" t="s">
        <v>1356</v>
      </c>
      <c r="H153" s="606" t="s">
        <v>1355</v>
      </c>
    </row>
    <row r="154" spans="1:8" ht="14.25" customHeight="1">
      <c r="A154" s="645" t="s">
        <v>1798</v>
      </c>
      <c r="B154" s="634" t="s">
        <v>1799</v>
      </c>
      <c r="C154" s="635" t="s">
        <v>1266</v>
      </c>
      <c r="D154" s="635" t="s">
        <v>58</v>
      </c>
      <c r="G154" s="606" t="s">
        <v>1316</v>
      </c>
      <c r="H154" s="606" t="s">
        <v>1377</v>
      </c>
    </row>
    <row r="155" spans="1:8" ht="14.25" customHeight="1">
      <c r="A155" s="645" t="s">
        <v>1800</v>
      </c>
      <c r="B155" s="634" t="s">
        <v>1801</v>
      </c>
      <c r="C155" s="635" t="s">
        <v>1266</v>
      </c>
      <c r="D155" s="635" t="s">
        <v>50</v>
      </c>
      <c r="G155" s="606" t="s">
        <v>1358</v>
      </c>
      <c r="H155" s="606" t="s">
        <v>1357</v>
      </c>
    </row>
    <row r="156" spans="1:8" ht="14.25" customHeight="1">
      <c r="A156" s="645" t="s">
        <v>1802</v>
      </c>
      <c r="B156" s="634" t="s">
        <v>1803</v>
      </c>
      <c r="C156" s="635" t="s">
        <v>1266</v>
      </c>
      <c r="D156" s="635" t="s">
        <v>50</v>
      </c>
      <c r="G156" s="606" t="s">
        <v>912</v>
      </c>
      <c r="H156" s="606" t="s">
        <v>913</v>
      </c>
    </row>
    <row r="157" spans="1:8" ht="14.25" customHeight="1">
      <c r="A157" s="645" t="s">
        <v>1804</v>
      </c>
      <c r="B157" s="634" t="s">
        <v>1805</v>
      </c>
      <c r="C157" s="635" t="s">
        <v>1266</v>
      </c>
      <c r="D157" s="635" t="s">
        <v>60</v>
      </c>
      <c r="G157" s="606" t="s">
        <v>914</v>
      </c>
      <c r="H157" s="606" t="s">
        <v>915</v>
      </c>
    </row>
    <row r="158" spans="1:8" ht="14.25" customHeight="1">
      <c r="A158" s="645" t="s">
        <v>1806</v>
      </c>
      <c r="B158" s="634" t="s">
        <v>1807</v>
      </c>
      <c r="C158" s="635" t="s">
        <v>1266</v>
      </c>
      <c r="D158" s="635" t="s">
        <v>60</v>
      </c>
      <c r="G158" s="606" t="s">
        <v>716</v>
      </c>
      <c r="H158" s="606" t="s">
        <v>923</v>
      </c>
    </row>
    <row r="159" spans="1:8" ht="14.25" customHeight="1">
      <c r="A159" s="645" t="s">
        <v>1808</v>
      </c>
      <c r="B159" s="634" t="s">
        <v>1809</v>
      </c>
      <c r="C159" s="635" t="s">
        <v>1266</v>
      </c>
      <c r="D159" s="635" t="s">
        <v>60</v>
      </c>
      <c r="G159" s="606" t="s">
        <v>1317</v>
      </c>
      <c r="H159" s="606" t="s">
        <v>917</v>
      </c>
    </row>
    <row r="160" spans="1:8" ht="14.25" customHeight="1">
      <c r="A160" s="645" t="s">
        <v>1810</v>
      </c>
      <c r="B160" s="634" t="s">
        <v>1811</v>
      </c>
      <c r="C160" s="635" t="s">
        <v>1266</v>
      </c>
      <c r="D160" s="635" t="s">
        <v>60</v>
      </c>
      <c r="G160" s="606" t="s">
        <v>1359</v>
      </c>
      <c r="H160" s="606" t="s">
        <v>918</v>
      </c>
    </row>
    <row r="161" spans="1:8" ht="14.25" customHeight="1">
      <c r="A161" s="645" t="s">
        <v>1812</v>
      </c>
      <c r="B161" s="634" t="s">
        <v>1813</v>
      </c>
      <c r="C161" s="635" t="s">
        <v>1266</v>
      </c>
      <c r="D161" s="635" t="s">
        <v>60</v>
      </c>
      <c r="G161" s="606" t="s">
        <v>1318</v>
      </c>
      <c r="H161" s="606" t="s">
        <v>1814</v>
      </c>
    </row>
    <row r="162" spans="1:8" ht="14.25" customHeight="1">
      <c r="A162" s="645" t="s">
        <v>1815</v>
      </c>
      <c r="B162" s="634" t="s">
        <v>1816</v>
      </c>
      <c r="C162" s="635" t="s">
        <v>1266</v>
      </c>
      <c r="D162" s="635" t="s">
        <v>57</v>
      </c>
      <c r="G162" s="606" t="s">
        <v>1361</v>
      </c>
      <c r="H162" s="606" t="s">
        <v>1360</v>
      </c>
    </row>
    <row r="163" spans="1:8" ht="14.25" customHeight="1">
      <c r="A163" s="645" t="s">
        <v>1817</v>
      </c>
      <c r="B163" s="634" t="s">
        <v>1818</v>
      </c>
      <c r="C163" s="635" t="s">
        <v>1266</v>
      </c>
      <c r="D163" s="635" t="s">
        <v>60</v>
      </c>
      <c r="G163" s="606" t="s">
        <v>1319</v>
      </c>
      <c r="H163" s="606" t="s">
        <v>1380</v>
      </c>
    </row>
    <row r="164" spans="1:8" ht="14.25" customHeight="1">
      <c r="A164" s="645" t="s">
        <v>1819</v>
      </c>
      <c r="B164" s="634" t="s">
        <v>1820</v>
      </c>
      <c r="C164" s="635" t="s">
        <v>1266</v>
      </c>
      <c r="D164" s="635" t="s">
        <v>60</v>
      </c>
      <c r="G164" s="606" t="s">
        <v>1363</v>
      </c>
      <c r="H164" s="606" t="s">
        <v>1362</v>
      </c>
    </row>
    <row r="165" spans="1:8" ht="14.25" customHeight="1">
      <c r="A165" s="634" t="s">
        <v>1821</v>
      </c>
      <c r="B165" s="634" t="s">
        <v>1822</v>
      </c>
      <c r="C165" s="635" t="s">
        <v>1266</v>
      </c>
      <c r="D165" s="635" t="s">
        <v>60</v>
      </c>
      <c r="G165" s="606" t="s">
        <v>924</v>
      </c>
      <c r="H165" s="606" t="s">
        <v>925</v>
      </c>
    </row>
    <row r="166" spans="1:8" ht="14.25" customHeight="1">
      <c r="A166" s="645" t="s">
        <v>1823</v>
      </c>
      <c r="B166" s="634" t="s">
        <v>1824</v>
      </c>
      <c r="C166" s="635" t="s">
        <v>1266</v>
      </c>
      <c r="D166" s="635" t="s">
        <v>60</v>
      </c>
      <c r="G166" s="606" t="s">
        <v>926</v>
      </c>
      <c r="H166" s="606" t="s">
        <v>927</v>
      </c>
    </row>
    <row r="167" spans="1:8" ht="14.25" customHeight="1">
      <c r="A167" s="645" t="s">
        <v>1825</v>
      </c>
      <c r="B167" s="634" t="s">
        <v>1826</v>
      </c>
      <c r="C167" s="635" t="s">
        <v>1266</v>
      </c>
      <c r="D167" s="635" t="s">
        <v>60</v>
      </c>
      <c r="G167" s="606" t="s">
        <v>931</v>
      </c>
      <c r="H167" s="606" t="s">
        <v>932</v>
      </c>
    </row>
    <row r="168" spans="1:8" ht="14.25" customHeight="1">
      <c r="A168" s="645" t="s">
        <v>1827</v>
      </c>
      <c r="B168" s="634" t="s">
        <v>1828</v>
      </c>
      <c r="C168" s="635" t="s">
        <v>1266</v>
      </c>
      <c r="D168" s="635" t="s">
        <v>60</v>
      </c>
      <c r="G168" s="606" t="s">
        <v>933</v>
      </c>
      <c r="H168" s="606" t="s">
        <v>934</v>
      </c>
    </row>
    <row r="169" spans="1:8" ht="14.25" customHeight="1">
      <c r="A169" s="645" t="s">
        <v>1829</v>
      </c>
      <c r="B169" s="634" t="s">
        <v>1830</v>
      </c>
      <c r="C169" s="635" t="s">
        <v>1266</v>
      </c>
      <c r="D169" s="635" t="s">
        <v>57</v>
      </c>
      <c r="G169" s="606" t="s">
        <v>935</v>
      </c>
      <c r="H169" s="606" t="s">
        <v>936</v>
      </c>
    </row>
    <row r="170" spans="1:8" ht="14.25" customHeight="1">
      <c r="A170" s="634" t="s">
        <v>1831</v>
      </c>
      <c r="B170" s="634" t="s">
        <v>1832</v>
      </c>
      <c r="C170" s="635" t="s">
        <v>1266</v>
      </c>
      <c r="D170" s="635" t="s">
        <v>57</v>
      </c>
      <c r="G170" s="606" t="s">
        <v>937</v>
      </c>
      <c r="H170" s="606" t="s">
        <v>938</v>
      </c>
    </row>
    <row r="171" spans="1:8" ht="14.25" customHeight="1">
      <c r="A171" s="645" t="s">
        <v>1833</v>
      </c>
      <c r="B171" s="634" t="s">
        <v>1834</v>
      </c>
      <c r="C171" s="635" t="s">
        <v>1266</v>
      </c>
      <c r="D171" s="635" t="s">
        <v>60</v>
      </c>
      <c r="G171" s="606" t="s">
        <v>1321</v>
      </c>
      <c r="H171" s="606" t="s">
        <v>1378</v>
      </c>
    </row>
    <row r="172" spans="1:8" ht="14.25" customHeight="1">
      <c r="A172" s="645" t="s">
        <v>1835</v>
      </c>
      <c r="B172" s="634" t="s">
        <v>1836</v>
      </c>
      <c r="C172" s="635" t="s">
        <v>1266</v>
      </c>
      <c r="D172" s="635" t="s">
        <v>60</v>
      </c>
      <c r="G172" s="606" t="s">
        <v>1366</v>
      </c>
      <c r="H172" s="606" t="s">
        <v>1365</v>
      </c>
    </row>
    <row r="173" spans="1:8" ht="14.25" customHeight="1">
      <c r="A173" s="645" t="s">
        <v>1837</v>
      </c>
      <c r="B173" s="634" t="s">
        <v>1838</v>
      </c>
      <c r="C173" s="635" t="s">
        <v>1266</v>
      </c>
      <c r="D173" s="635" t="s">
        <v>60</v>
      </c>
      <c r="G173" s="606" t="s">
        <v>939</v>
      </c>
      <c r="H173" s="606" t="s">
        <v>940</v>
      </c>
    </row>
    <row r="174" spans="1:8" ht="14.25" customHeight="1">
      <c r="A174" s="645" t="s">
        <v>1839</v>
      </c>
      <c r="B174" s="634" t="s">
        <v>1840</v>
      </c>
      <c r="C174" s="635" t="s">
        <v>1266</v>
      </c>
      <c r="D174" s="635" t="s">
        <v>60</v>
      </c>
      <c r="G174" s="606" t="s">
        <v>941</v>
      </c>
      <c r="H174" s="606" t="s">
        <v>942</v>
      </c>
    </row>
    <row r="175" spans="1:8" ht="14.25" customHeight="1">
      <c r="A175" s="645" t="s">
        <v>1841</v>
      </c>
      <c r="B175" s="634" t="s">
        <v>1304</v>
      </c>
      <c r="C175" s="635" t="s">
        <v>1266</v>
      </c>
      <c r="D175" s="635" t="s">
        <v>60</v>
      </c>
      <c r="G175" s="606" t="s">
        <v>943</v>
      </c>
      <c r="H175" s="606" t="s">
        <v>944</v>
      </c>
    </row>
    <row r="176" spans="1:8" ht="14.25" customHeight="1">
      <c r="A176" s="634" t="s">
        <v>1842</v>
      </c>
      <c r="B176" s="634" t="s">
        <v>1843</v>
      </c>
      <c r="C176" s="635" t="s">
        <v>1266</v>
      </c>
      <c r="D176" s="635" t="s">
        <v>60</v>
      </c>
      <c r="G176" s="606" t="s">
        <v>945</v>
      </c>
      <c r="H176" s="606" t="s">
        <v>946</v>
      </c>
    </row>
    <row r="177" spans="1:8" ht="14.25" customHeight="1">
      <c r="A177" s="645" t="s">
        <v>1844</v>
      </c>
      <c r="B177" s="634" t="s">
        <v>1845</v>
      </c>
      <c r="C177" s="635" t="s">
        <v>1266</v>
      </c>
      <c r="D177" s="635" t="s">
        <v>60</v>
      </c>
      <c r="G177" s="606" t="s">
        <v>951</v>
      </c>
      <c r="H177" s="606" t="s">
        <v>952</v>
      </c>
    </row>
    <row r="178" spans="1:8" ht="14.25" customHeight="1">
      <c r="A178" s="645" t="s">
        <v>1846</v>
      </c>
      <c r="B178" s="634" t="s">
        <v>1847</v>
      </c>
      <c r="C178" s="635" t="s">
        <v>1266</v>
      </c>
      <c r="D178" s="635" t="s">
        <v>70</v>
      </c>
      <c r="G178" s="606" t="s">
        <v>953</v>
      </c>
      <c r="H178" s="606" t="s">
        <v>954</v>
      </c>
    </row>
    <row r="179" spans="1:8" ht="14.25" customHeight="1">
      <c r="A179" s="645" t="s">
        <v>1848</v>
      </c>
      <c r="B179" s="634" t="s">
        <v>1849</v>
      </c>
      <c r="C179" s="635" t="s">
        <v>1266</v>
      </c>
      <c r="D179" s="635" t="s">
        <v>70</v>
      </c>
      <c r="G179" s="606" t="s">
        <v>718</v>
      </c>
      <c r="H179" s="606" t="s">
        <v>1850</v>
      </c>
    </row>
    <row r="180" spans="1:8" ht="14.25" customHeight="1">
      <c r="A180" s="645" t="s">
        <v>1851</v>
      </c>
      <c r="B180" s="634" t="s">
        <v>1852</v>
      </c>
      <c r="C180" s="635" t="s">
        <v>1266</v>
      </c>
      <c r="D180" s="635" t="s">
        <v>70</v>
      </c>
      <c r="G180" s="606" t="s">
        <v>955</v>
      </c>
      <c r="H180" s="606" t="s">
        <v>956</v>
      </c>
    </row>
    <row r="181" spans="1:8" ht="14.25" customHeight="1">
      <c r="A181" s="645" t="s">
        <v>1853</v>
      </c>
      <c r="B181" s="634" t="s">
        <v>1854</v>
      </c>
      <c r="C181" s="635" t="s">
        <v>1266</v>
      </c>
      <c r="D181" s="635" t="s">
        <v>70</v>
      </c>
      <c r="G181" s="606" t="s">
        <v>957</v>
      </c>
      <c r="H181" s="606" t="s">
        <v>958</v>
      </c>
    </row>
    <row r="182" spans="1:8" ht="14.25" customHeight="1">
      <c r="A182" s="645" t="s">
        <v>1855</v>
      </c>
      <c r="B182" s="634" t="s">
        <v>1856</v>
      </c>
      <c r="C182" s="635" t="s">
        <v>1266</v>
      </c>
      <c r="D182" s="635" t="s">
        <v>74</v>
      </c>
      <c r="G182" s="606" t="s">
        <v>719</v>
      </c>
      <c r="H182" s="606" t="s">
        <v>1857</v>
      </c>
    </row>
    <row r="183" spans="1:8" ht="14.25" customHeight="1">
      <c r="A183" s="645" t="s">
        <v>1858</v>
      </c>
      <c r="B183" s="634" t="s">
        <v>1859</v>
      </c>
      <c r="C183" s="635" t="s">
        <v>1266</v>
      </c>
      <c r="D183" s="635" t="s">
        <v>74</v>
      </c>
      <c r="G183" s="606" t="s">
        <v>720</v>
      </c>
      <c r="H183" s="606" t="s">
        <v>1860</v>
      </c>
    </row>
    <row r="184" spans="1:8" ht="14.25" customHeight="1">
      <c r="A184" s="645" t="s">
        <v>1861</v>
      </c>
      <c r="B184" s="634" t="s">
        <v>1862</v>
      </c>
      <c r="C184" s="635" t="s">
        <v>1266</v>
      </c>
      <c r="D184" s="635" t="s">
        <v>74</v>
      </c>
      <c r="G184" s="606" t="s">
        <v>721</v>
      </c>
      <c r="H184" s="606" t="s">
        <v>1863</v>
      </c>
    </row>
    <row r="185" spans="1:8" ht="14.25" customHeight="1">
      <c r="A185" s="645" t="s">
        <v>1864</v>
      </c>
      <c r="B185" s="634" t="s">
        <v>1865</v>
      </c>
      <c r="C185" s="635" t="s">
        <v>1266</v>
      </c>
      <c r="D185" s="635" t="s">
        <v>74</v>
      </c>
      <c r="G185" s="606" t="s">
        <v>722</v>
      </c>
      <c r="H185" s="606" t="s">
        <v>1866</v>
      </c>
    </row>
    <row r="186" spans="1:8" ht="14.25" customHeight="1">
      <c r="A186" s="645" t="s">
        <v>1867</v>
      </c>
      <c r="B186" s="634" t="s">
        <v>1868</v>
      </c>
      <c r="C186" s="635" t="s">
        <v>1266</v>
      </c>
      <c r="D186" s="635" t="s">
        <v>74</v>
      </c>
      <c r="G186" s="606" t="s">
        <v>723</v>
      </c>
      <c r="H186" s="606" t="s">
        <v>1869</v>
      </c>
    </row>
    <row r="187" spans="1:8" ht="14.25" customHeight="1">
      <c r="A187" s="645" t="s">
        <v>1870</v>
      </c>
      <c r="B187" s="634" t="s">
        <v>1871</v>
      </c>
      <c r="C187" s="635" t="s">
        <v>1266</v>
      </c>
      <c r="D187" s="635" t="s">
        <v>74</v>
      </c>
      <c r="G187" s="606" t="s">
        <v>724</v>
      </c>
      <c r="H187" s="606" t="s">
        <v>1872</v>
      </c>
    </row>
    <row r="188" spans="1:8" ht="14.25" customHeight="1">
      <c r="A188" s="645" t="s">
        <v>1873</v>
      </c>
      <c r="B188" s="634" t="s">
        <v>1874</v>
      </c>
      <c r="C188" s="635" t="s">
        <v>1266</v>
      </c>
      <c r="D188" s="635" t="s">
        <v>77</v>
      </c>
      <c r="G188" s="606" t="s">
        <v>725</v>
      </c>
      <c r="H188" s="606" t="s">
        <v>1875</v>
      </c>
    </row>
    <row r="189" spans="1:8" ht="14.25" customHeight="1">
      <c r="A189" s="645" t="s">
        <v>1876</v>
      </c>
      <c r="B189" s="634" t="s">
        <v>1877</v>
      </c>
      <c r="C189" s="635" t="s">
        <v>1266</v>
      </c>
      <c r="D189" s="635" t="s">
        <v>77</v>
      </c>
      <c r="G189" s="606" t="s">
        <v>959</v>
      </c>
      <c r="H189" s="606" t="s">
        <v>1878</v>
      </c>
    </row>
    <row r="190" spans="1:8" ht="14.25" customHeight="1">
      <c r="A190" s="645" t="s">
        <v>1879</v>
      </c>
      <c r="B190" s="634" t="s">
        <v>1880</v>
      </c>
      <c r="C190" s="635" t="s">
        <v>1266</v>
      </c>
      <c r="D190" s="635" t="s">
        <v>1881</v>
      </c>
      <c r="G190" s="606" t="s">
        <v>961</v>
      </c>
      <c r="H190" s="606" t="s">
        <v>962</v>
      </c>
    </row>
    <row r="191" spans="1:8" ht="14.25" customHeight="1">
      <c r="A191" s="645" t="s">
        <v>1882</v>
      </c>
      <c r="B191" s="634" t="s">
        <v>1883</v>
      </c>
      <c r="C191" s="635" t="s">
        <v>1266</v>
      </c>
      <c r="D191" s="635" t="s">
        <v>1881</v>
      </c>
      <c r="G191" s="606" t="s">
        <v>726</v>
      </c>
      <c r="H191" s="606" t="s">
        <v>1884</v>
      </c>
    </row>
    <row r="192" spans="1:8" ht="14.25" customHeight="1">
      <c r="A192" s="645" t="s">
        <v>1885</v>
      </c>
      <c r="B192" s="634" t="s">
        <v>1886</v>
      </c>
      <c r="C192" s="635" t="s">
        <v>1266</v>
      </c>
      <c r="D192" s="635" t="s">
        <v>77</v>
      </c>
      <c r="G192" s="606" t="s">
        <v>963</v>
      </c>
      <c r="H192" s="606" t="s">
        <v>1887</v>
      </c>
    </row>
    <row r="193" spans="1:8" ht="14.25" customHeight="1">
      <c r="A193" s="645" t="s">
        <v>1888</v>
      </c>
      <c r="B193" s="634" t="s">
        <v>1889</v>
      </c>
      <c r="C193" s="635" t="s">
        <v>1266</v>
      </c>
      <c r="D193" s="635" t="s">
        <v>77</v>
      </c>
      <c r="G193" s="606" t="s">
        <v>965</v>
      </c>
      <c r="H193" s="606" t="s">
        <v>966</v>
      </c>
    </row>
    <row r="194" spans="1:8" ht="14.25" customHeight="1">
      <c r="A194" s="645" t="s">
        <v>1890</v>
      </c>
      <c r="B194" s="634" t="s">
        <v>1891</v>
      </c>
      <c r="C194" s="635" t="s">
        <v>1266</v>
      </c>
      <c r="D194" s="635" t="s">
        <v>1881</v>
      </c>
      <c r="G194" s="606" t="s">
        <v>727</v>
      </c>
      <c r="H194" s="606" t="s">
        <v>1892</v>
      </c>
    </row>
    <row r="195" spans="1:8" ht="14.25" customHeight="1">
      <c r="A195" s="645" t="s">
        <v>1893</v>
      </c>
      <c r="B195" s="634" t="s">
        <v>1894</v>
      </c>
      <c r="C195" s="635" t="s">
        <v>1266</v>
      </c>
      <c r="D195" s="635" t="s">
        <v>1881</v>
      </c>
      <c r="G195" s="606" t="s">
        <v>728</v>
      </c>
      <c r="H195" s="606" t="s">
        <v>1895</v>
      </c>
    </row>
    <row r="196" spans="1:8" ht="14.25" customHeight="1">
      <c r="A196" s="645" t="s">
        <v>1896</v>
      </c>
      <c r="B196" s="634" t="s">
        <v>1897</v>
      </c>
      <c r="C196" s="635" t="s">
        <v>1266</v>
      </c>
      <c r="D196" s="635" t="s">
        <v>76</v>
      </c>
      <c r="G196" s="606" t="s">
        <v>967</v>
      </c>
      <c r="H196" s="606" t="s">
        <v>968</v>
      </c>
    </row>
    <row r="197" spans="1:8" ht="14.25" customHeight="1">
      <c r="A197" s="645" t="s">
        <v>1898</v>
      </c>
      <c r="B197" s="634" t="s">
        <v>1899</v>
      </c>
      <c r="C197" s="635" t="s">
        <v>1266</v>
      </c>
      <c r="D197" s="635" t="s">
        <v>76</v>
      </c>
      <c r="G197" s="606" t="s">
        <v>967</v>
      </c>
      <c r="H197" s="606" t="s">
        <v>969</v>
      </c>
    </row>
    <row r="198" spans="1:8" ht="14.25" customHeight="1">
      <c r="A198" s="645" t="s">
        <v>1900</v>
      </c>
      <c r="B198" s="634" t="s">
        <v>1901</v>
      </c>
      <c r="C198" s="635" t="s">
        <v>1266</v>
      </c>
      <c r="D198" s="635" t="s">
        <v>76</v>
      </c>
      <c r="G198" s="606" t="s">
        <v>970</v>
      </c>
      <c r="H198" s="606" t="s">
        <v>971</v>
      </c>
    </row>
    <row r="199" spans="1:8" ht="14.25" customHeight="1">
      <c r="A199" s="645" t="s">
        <v>1902</v>
      </c>
      <c r="B199" s="634" t="s">
        <v>1903</v>
      </c>
      <c r="C199" s="635" t="s">
        <v>1266</v>
      </c>
      <c r="D199" s="635" t="s">
        <v>76</v>
      </c>
      <c r="G199" s="606" t="s">
        <v>1369</v>
      </c>
      <c r="H199" s="606" t="s">
        <v>1368</v>
      </c>
    </row>
    <row r="200" spans="1:8" ht="14.25" customHeight="1">
      <c r="A200" s="645" t="s">
        <v>1904</v>
      </c>
      <c r="B200" s="634" t="s">
        <v>842</v>
      </c>
      <c r="C200" s="635" t="s">
        <v>1266</v>
      </c>
      <c r="D200" s="635" t="s">
        <v>79</v>
      </c>
      <c r="G200" s="606" t="s">
        <v>972</v>
      </c>
      <c r="H200" s="606" t="s">
        <v>973</v>
      </c>
    </row>
    <row r="201" spans="1:8" ht="14.25" customHeight="1">
      <c r="A201" s="645" t="s">
        <v>1905</v>
      </c>
      <c r="B201" s="634" t="s">
        <v>1906</v>
      </c>
      <c r="C201" s="635" t="s">
        <v>1266</v>
      </c>
      <c r="D201" s="635" t="s">
        <v>1907</v>
      </c>
      <c r="G201" s="606" t="s">
        <v>972</v>
      </c>
      <c r="H201" s="606" t="s">
        <v>974</v>
      </c>
    </row>
    <row r="202" spans="1:8" ht="14.25" customHeight="1">
      <c r="A202" s="634" t="s">
        <v>1908</v>
      </c>
      <c r="B202" s="634" t="s">
        <v>1909</v>
      </c>
      <c r="C202" s="635" t="s">
        <v>1266</v>
      </c>
      <c r="D202" s="635" t="s">
        <v>1289</v>
      </c>
      <c r="G202" s="606" t="s">
        <v>975</v>
      </c>
      <c r="H202" s="606" t="s">
        <v>976</v>
      </c>
    </row>
    <row r="203" spans="1:8" ht="14.25" customHeight="1">
      <c r="A203" s="645" t="s">
        <v>1910</v>
      </c>
      <c r="B203" s="634" t="s">
        <v>1911</v>
      </c>
      <c r="C203" s="635" t="s">
        <v>1266</v>
      </c>
      <c r="D203" s="635" t="s">
        <v>47</v>
      </c>
      <c r="G203" s="606" t="s">
        <v>975</v>
      </c>
      <c r="H203" s="606" t="s">
        <v>977</v>
      </c>
    </row>
    <row r="204" spans="1:8" ht="14.25" customHeight="1">
      <c r="A204" s="644" t="s">
        <v>1912</v>
      </c>
      <c r="B204" s="644" t="s">
        <v>1913</v>
      </c>
      <c r="C204" s="635" t="s">
        <v>1266</v>
      </c>
      <c r="D204" s="635" t="s">
        <v>35</v>
      </c>
      <c r="G204" s="606" t="s">
        <v>1324</v>
      </c>
      <c r="H204" s="606" t="s">
        <v>1914</v>
      </c>
    </row>
    <row r="205" spans="1:8" ht="14.25" customHeight="1">
      <c r="A205" s="645" t="s">
        <v>1915</v>
      </c>
      <c r="B205" s="634" t="s">
        <v>1916</v>
      </c>
      <c r="C205" s="635" t="s">
        <v>1266</v>
      </c>
      <c r="D205" s="635" t="s">
        <v>35</v>
      </c>
      <c r="G205" s="606" t="s">
        <v>1371</v>
      </c>
      <c r="H205" s="606" t="s">
        <v>1370</v>
      </c>
    </row>
    <row r="206" spans="1:8" ht="14.25" customHeight="1">
      <c r="A206" s="645" t="s">
        <v>1917</v>
      </c>
      <c r="B206" s="634" t="s">
        <v>1918</v>
      </c>
      <c r="C206" s="635" t="s">
        <v>1266</v>
      </c>
      <c r="D206" s="635" t="s">
        <v>35</v>
      </c>
      <c r="G206" s="606" t="s">
        <v>978</v>
      </c>
      <c r="H206" s="606" t="s">
        <v>1919</v>
      </c>
    </row>
    <row r="207" spans="1:8" ht="14.25" customHeight="1">
      <c r="A207" s="645" t="s">
        <v>1920</v>
      </c>
      <c r="B207" s="634" t="s">
        <v>1921</v>
      </c>
      <c r="C207" s="635" t="s">
        <v>1266</v>
      </c>
      <c r="D207" s="635" t="s">
        <v>35</v>
      </c>
      <c r="G207" s="606" t="s">
        <v>978</v>
      </c>
      <c r="H207" s="606" t="s">
        <v>980</v>
      </c>
    </row>
    <row r="208" spans="1:8" ht="14.25" customHeight="1">
      <c r="A208" s="645" t="s">
        <v>1922</v>
      </c>
      <c r="B208" s="634" t="s">
        <v>1923</v>
      </c>
      <c r="C208" s="635" t="s">
        <v>1266</v>
      </c>
      <c r="D208" s="635" t="s">
        <v>35</v>
      </c>
      <c r="G208" s="606" t="s">
        <v>981</v>
      </c>
      <c r="H208" s="606" t="s">
        <v>982</v>
      </c>
    </row>
    <row r="209" spans="1:8" ht="14.25" customHeight="1">
      <c r="A209" s="645" t="s">
        <v>1924</v>
      </c>
      <c r="B209" s="634" t="s">
        <v>1925</v>
      </c>
      <c r="C209" s="635" t="s">
        <v>1266</v>
      </c>
      <c r="D209" s="635" t="s">
        <v>35</v>
      </c>
      <c r="G209" s="606" t="s">
        <v>981</v>
      </c>
      <c r="H209" s="606" t="s">
        <v>983</v>
      </c>
    </row>
    <row r="210" spans="1:8" ht="14.25" customHeight="1">
      <c r="A210" s="645" t="s">
        <v>1926</v>
      </c>
      <c r="B210" s="634" t="s">
        <v>1927</v>
      </c>
      <c r="C210" s="635" t="s">
        <v>1266</v>
      </c>
      <c r="D210" s="635" t="s">
        <v>43</v>
      </c>
      <c r="G210" s="606" t="s">
        <v>984</v>
      </c>
      <c r="H210" s="606" t="s">
        <v>985</v>
      </c>
    </row>
    <row r="211" spans="1:8" ht="14.25" customHeight="1">
      <c r="A211" s="645" t="s">
        <v>1928</v>
      </c>
      <c r="B211" s="634" t="s">
        <v>1929</v>
      </c>
      <c r="C211" s="635" t="s">
        <v>1266</v>
      </c>
      <c r="D211" s="635" t="s">
        <v>43</v>
      </c>
      <c r="G211" s="606" t="s">
        <v>986</v>
      </c>
      <c r="H211" s="606" t="s">
        <v>987</v>
      </c>
    </row>
    <row r="212" spans="1:8" ht="14.25" customHeight="1">
      <c r="A212" s="645" t="s">
        <v>1930</v>
      </c>
      <c r="B212" s="634" t="s">
        <v>1931</v>
      </c>
      <c r="C212" s="635" t="s">
        <v>1266</v>
      </c>
      <c r="D212" s="635" t="s">
        <v>43</v>
      </c>
      <c r="G212" s="606" t="s">
        <v>988</v>
      </c>
      <c r="H212" s="606" t="s">
        <v>989</v>
      </c>
    </row>
    <row r="213" spans="1:8" ht="14.25" customHeight="1">
      <c r="A213" s="645" t="s">
        <v>1932</v>
      </c>
      <c r="B213" s="634" t="s">
        <v>1933</v>
      </c>
      <c r="C213" s="635" t="s">
        <v>1266</v>
      </c>
      <c r="D213" s="635" t="s">
        <v>43</v>
      </c>
      <c r="G213" s="606" t="s">
        <v>990</v>
      </c>
      <c r="H213" s="606" t="s">
        <v>991</v>
      </c>
    </row>
    <row r="214" spans="1:8" ht="14.25" customHeight="1">
      <c r="A214" s="645" t="s">
        <v>1934</v>
      </c>
      <c r="B214" s="634" t="s">
        <v>1935</v>
      </c>
      <c r="C214" s="635" t="s">
        <v>1266</v>
      </c>
      <c r="D214" s="635" t="s">
        <v>33</v>
      </c>
      <c r="G214" s="606" t="s">
        <v>995</v>
      </c>
      <c r="H214" s="606" t="s">
        <v>996</v>
      </c>
    </row>
    <row r="215" spans="1:8" ht="14.25" customHeight="1">
      <c r="A215" s="645" t="s">
        <v>1936</v>
      </c>
      <c r="B215" s="634" t="s">
        <v>1937</v>
      </c>
      <c r="C215" s="635" t="s">
        <v>1266</v>
      </c>
      <c r="D215" s="635" t="s">
        <v>43</v>
      </c>
      <c r="G215" s="606" t="s">
        <v>997</v>
      </c>
      <c r="H215" s="606" t="s">
        <v>998</v>
      </c>
    </row>
    <row r="216" spans="1:8" ht="14.25" customHeight="1">
      <c r="A216" s="645" t="s">
        <v>1938</v>
      </c>
      <c r="B216" s="634" t="s">
        <v>1939</v>
      </c>
      <c r="C216" s="635" t="s">
        <v>1266</v>
      </c>
      <c r="D216" s="635" t="s">
        <v>57</v>
      </c>
      <c r="G216" s="606" t="s">
        <v>999</v>
      </c>
      <c r="H216" s="606" t="s">
        <v>1000</v>
      </c>
    </row>
    <row r="217" spans="1:8" ht="14.25" customHeight="1">
      <c r="A217" s="645" t="s">
        <v>1940</v>
      </c>
      <c r="B217" s="634" t="s">
        <v>1941</v>
      </c>
      <c r="C217" s="635" t="s">
        <v>1266</v>
      </c>
      <c r="D217" s="635" t="s">
        <v>57</v>
      </c>
      <c r="G217" s="606" t="s">
        <v>1001</v>
      </c>
      <c r="H217" s="606" t="s">
        <v>1002</v>
      </c>
    </row>
    <row r="218" spans="1:8" ht="14.25" customHeight="1">
      <c r="A218" s="645" t="s">
        <v>1942</v>
      </c>
      <c r="B218" s="634" t="s">
        <v>1943</v>
      </c>
      <c r="C218" s="635" t="s">
        <v>1266</v>
      </c>
      <c r="D218" s="635" t="s">
        <v>28</v>
      </c>
      <c r="G218" s="606" t="s">
        <v>1003</v>
      </c>
      <c r="H218" s="606" t="s">
        <v>1004</v>
      </c>
    </row>
    <row r="219" spans="1:8" ht="14.25" customHeight="1">
      <c r="A219" s="634" t="s">
        <v>1944</v>
      </c>
      <c r="B219" s="634" t="s">
        <v>1945</v>
      </c>
      <c r="C219" s="635" t="s">
        <v>1266</v>
      </c>
      <c r="D219" s="635" t="s">
        <v>55</v>
      </c>
      <c r="G219" s="606" t="s">
        <v>1005</v>
      </c>
      <c r="H219" s="606" t="s">
        <v>1006</v>
      </c>
    </row>
    <row r="220" spans="1:8" ht="14.25" customHeight="1">
      <c r="A220" s="645" t="s">
        <v>1946</v>
      </c>
      <c r="B220" s="634" t="s">
        <v>1947</v>
      </c>
      <c r="C220" s="635" t="s">
        <v>1266</v>
      </c>
      <c r="D220" s="635" t="s">
        <v>55</v>
      </c>
      <c r="G220" s="606" t="s">
        <v>1007</v>
      </c>
      <c r="H220" s="606" t="s">
        <v>1008</v>
      </c>
    </row>
    <row r="221" spans="1:8" ht="14.25" customHeight="1">
      <c r="A221" s="645" t="s">
        <v>1948</v>
      </c>
      <c r="B221" s="634" t="s">
        <v>1949</v>
      </c>
      <c r="C221" s="635" t="s">
        <v>1266</v>
      </c>
      <c r="D221" s="635" t="s">
        <v>55</v>
      </c>
      <c r="G221" s="606" t="s">
        <v>1009</v>
      </c>
      <c r="H221" s="606" t="s">
        <v>1010</v>
      </c>
    </row>
    <row r="222" spans="1:8" ht="14.25" customHeight="1">
      <c r="A222" s="645" t="s">
        <v>1950</v>
      </c>
      <c r="B222" s="634" t="s">
        <v>1951</v>
      </c>
      <c r="C222" s="635" t="s">
        <v>1266</v>
      </c>
      <c r="D222" s="635" t="s">
        <v>55</v>
      </c>
      <c r="G222" s="606" t="s">
        <v>1011</v>
      </c>
      <c r="H222" s="606" t="s">
        <v>1012</v>
      </c>
    </row>
    <row r="223" spans="1:8" ht="14.25" customHeight="1">
      <c r="A223" s="645" t="s">
        <v>1952</v>
      </c>
      <c r="B223" s="634" t="s">
        <v>881</v>
      </c>
      <c r="C223" s="635" t="s">
        <v>1266</v>
      </c>
      <c r="D223" s="635" t="s">
        <v>55</v>
      </c>
      <c r="G223" s="606" t="s">
        <v>1013</v>
      </c>
      <c r="H223" s="606" t="s">
        <v>1014</v>
      </c>
    </row>
    <row r="224" spans="1:8" ht="14.25" customHeight="1">
      <c r="A224" s="645" t="s">
        <v>1953</v>
      </c>
      <c r="B224" s="634" t="s">
        <v>1954</v>
      </c>
      <c r="C224" s="635" t="s">
        <v>1266</v>
      </c>
      <c r="D224" s="635" t="s">
        <v>39</v>
      </c>
      <c r="G224" s="606" t="s">
        <v>1015</v>
      </c>
      <c r="H224" s="606" t="s">
        <v>1016</v>
      </c>
    </row>
    <row r="225" spans="1:8" ht="14.25" customHeight="1">
      <c r="A225" s="645" t="s">
        <v>1955</v>
      </c>
      <c r="B225" s="634" t="s">
        <v>1956</v>
      </c>
      <c r="C225" s="635" t="s">
        <v>1266</v>
      </c>
      <c r="D225" s="635" t="s">
        <v>53</v>
      </c>
      <c r="G225" s="606" t="s">
        <v>1017</v>
      </c>
      <c r="H225" s="606" t="s">
        <v>1018</v>
      </c>
    </row>
    <row r="226" spans="1:8" ht="14.25" customHeight="1">
      <c r="A226" s="645" t="s">
        <v>1957</v>
      </c>
      <c r="B226" s="634" t="s">
        <v>1958</v>
      </c>
      <c r="C226" s="635" t="s">
        <v>1266</v>
      </c>
      <c r="D226" s="635" t="s">
        <v>53</v>
      </c>
      <c r="G226" s="606" t="s">
        <v>1019</v>
      </c>
      <c r="H226" s="606" t="s">
        <v>1020</v>
      </c>
    </row>
    <row r="227" spans="1:8" ht="14.25" customHeight="1">
      <c r="A227" s="645" t="s">
        <v>1959</v>
      </c>
      <c r="B227" s="634" t="s">
        <v>1960</v>
      </c>
      <c r="C227" s="635" t="s">
        <v>1266</v>
      </c>
      <c r="D227" s="635" t="s">
        <v>53</v>
      </c>
      <c r="G227" s="606" t="s">
        <v>1011</v>
      </c>
      <c r="H227" s="606" t="s">
        <v>1021</v>
      </c>
    </row>
    <row r="228" spans="1:8" ht="14.25" customHeight="1">
      <c r="A228" s="645" t="s">
        <v>1961</v>
      </c>
      <c r="B228" s="634" t="s">
        <v>1962</v>
      </c>
      <c r="C228" s="635" t="s">
        <v>1266</v>
      </c>
      <c r="D228" s="635" t="s">
        <v>53</v>
      </c>
      <c r="G228" s="606" t="s">
        <v>1022</v>
      </c>
      <c r="H228" s="606" t="s">
        <v>1087</v>
      </c>
    </row>
    <row r="229" spans="1:8" ht="14.25" customHeight="1">
      <c r="A229" s="634" t="s">
        <v>1963</v>
      </c>
      <c r="B229" s="634" t="s">
        <v>1964</v>
      </c>
      <c r="C229" s="635" t="s">
        <v>1266</v>
      </c>
      <c r="D229" s="635" t="s">
        <v>53</v>
      </c>
      <c r="G229" s="606" t="s">
        <v>1024</v>
      </c>
      <c r="H229" s="606" t="s">
        <v>1025</v>
      </c>
    </row>
    <row r="230" spans="1:8" ht="14.25" customHeight="1">
      <c r="A230" s="634" t="s">
        <v>1965</v>
      </c>
      <c r="B230" s="634" t="s">
        <v>1966</v>
      </c>
      <c r="C230" s="635" t="s">
        <v>1266</v>
      </c>
      <c r="D230" s="635" t="s">
        <v>71</v>
      </c>
      <c r="G230" s="606" t="s">
        <v>1022</v>
      </c>
      <c r="H230" s="606" t="s">
        <v>1967</v>
      </c>
    </row>
    <row r="231" spans="1:8" ht="14.25" customHeight="1">
      <c r="A231" s="645" t="s">
        <v>1968</v>
      </c>
      <c r="B231" s="634" t="s">
        <v>899</v>
      </c>
      <c r="C231" s="635" t="s">
        <v>1266</v>
      </c>
      <c r="D231" s="635" t="s">
        <v>57</v>
      </c>
      <c r="G231" s="606" t="s">
        <v>1373</v>
      </c>
      <c r="H231" s="606" t="s">
        <v>1372</v>
      </c>
    </row>
    <row r="232" spans="1:8" ht="14.25" customHeight="1">
      <c r="A232" s="645" t="s">
        <v>1969</v>
      </c>
      <c r="B232" s="634" t="s">
        <v>1970</v>
      </c>
      <c r="C232" s="635" t="s">
        <v>1266</v>
      </c>
      <c r="D232" s="635" t="s">
        <v>84</v>
      </c>
      <c r="G232" s="606" t="s">
        <v>1030</v>
      </c>
      <c r="H232" s="606" t="s">
        <v>1031</v>
      </c>
    </row>
    <row r="233" spans="1:8" ht="14.25" customHeight="1">
      <c r="A233" s="645" t="s">
        <v>1971</v>
      </c>
      <c r="B233" s="634" t="s">
        <v>1972</v>
      </c>
      <c r="C233" s="635" t="s">
        <v>1266</v>
      </c>
      <c r="D233" s="635" t="s">
        <v>86</v>
      </c>
      <c r="G233" s="606" t="s">
        <v>1032</v>
      </c>
      <c r="H233" s="606" t="s">
        <v>1033</v>
      </c>
    </row>
    <row r="234" spans="1:8" ht="14.25" customHeight="1">
      <c r="A234" s="646" t="s">
        <v>1973</v>
      </c>
      <c r="B234" s="641" t="s">
        <v>1974</v>
      </c>
      <c r="C234" s="635" t="s">
        <v>92</v>
      </c>
      <c r="D234" s="635" t="s">
        <v>97</v>
      </c>
      <c r="G234" s="606" t="s">
        <v>1034</v>
      </c>
      <c r="H234" s="606" t="s">
        <v>1035</v>
      </c>
    </row>
    <row r="235" spans="1:8" ht="14.25" customHeight="1">
      <c r="A235" s="646" t="s">
        <v>1975</v>
      </c>
      <c r="B235" s="641" t="s">
        <v>1976</v>
      </c>
      <c r="C235" s="635" t="s">
        <v>92</v>
      </c>
      <c r="D235" s="635" t="s">
        <v>97</v>
      </c>
      <c r="G235" s="606" t="s">
        <v>1036</v>
      </c>
      <c r="H235" s="606" t="s">
        <v>1037</v>
      </c>
    </row>
    <row r="236" spans="1:8" ht="14.25" customHeight="1">
      <c r="A236" s="641" t="s">
        <v>1977</v>
      </c>
      <c r="B236" s="641" t="s">
        <v>1978</v>
      </c>
      <c r="C236" s="635" t="s">
        <v>92</v>
      </c>
      <c r="D236" s="635" t="s">
        <v>97</v>
      </c>
      <c r="G236" s="606" t="s">
        <v>1038</v>
      </c>
      <c r="H236" s="606" t="s">
        <v>1039</v>
      </c>
    </row>
    <row r="237" spans="1:8" ht="14.25" customHeight="1">
      <c r="A237" s="646" t="s">
        <v>1979</v>
      </c>
      <c r="B237" s="641" t="s">
        <v>1980</v>
      </c>
      <c r="C237" s="635" t="s">
        <v>92</v>
      </c>
      <c r="D237" s="635" t="s">
        <v>97</v>
      </c>
      <c r="G237" s="606" t="s">
        <v>1040</v>
      </c>
      <c r="H237" s="606" t="s">
        <v>1041</v>
      </c>
    </row>
    <row r="238" spans="1:8" ht="14.25" customHeight="1">
      <c r="A238" s="646" t="s">
        <v>1981</v>
      </c>
      <c r="B238" s="641" t="s">
        <v>1982</v>
      </c>
      <c r="C238" s="635" t="s">
        <v>92</v>
      </c>
      <c r="D238" s="635" t="s">
        <v>97</v>
      </c>
      <c r="G238" s="606" t="s">
        <v>1042</v>
      </c>
      <c r="H238" s="606" t="s">
        <v>1043</v>
      </c>
    </row>
    <row r="239" spans="1:8" ht="14.25" customHeight="1">
      <c r="A239" s="646" t="s">
        <v>1983</v>
      </c>
      <c r="B239" s="641" t="s">
        <v>1984</v>
      </c>
      <c r="C239" s="635" t="s">
        <v>92</v>
      </c>
      <c r="D239" s="635" t="s">
        <v>97</v>
      </c>
      <c r="G239" s="606" t="s">
        <v>1044</v>
      </c>
      <c r="H239" s="606" t="s">
        <v>1045</v>
      </c>
    </row>
    <row r="240" spans="1:8" ht="14.25" customHeight="1">
      <c r="A240" s="646" t="s">
        <v>1985</v>
      </c>
      <c r="B240" s="641" t="s">
        <v>1986</v>
      </c>
      <c r="C240" s="635" t="s">
        <v>92</v>
      </c>
      <c r="D240" s="635" t="s">
        <v>97</v>
      </c>
      <c r="G240" s="606" t="s">
        <v>1046</v>
      </c>
      <c r="H240" s="606" t="s">
        <v>1047</v>
      </c>
    </row>
    <row r="241" spans="1:8" ht="14.25" customHeight="1">
      <c r="A241" s="646" t="s">
        <v>1987</v>
      </c>
      <c r="B241" s="641" t="s">
        <v>1988</v>
      </c>
      <c r="C241" s="635" t="s">
        <v>92</v>
      </c>
      <c r="D241" s="635" t="s">
        <v>97</v>
      </c>
      <c r="G241" s="606" t="s">
        <v>1048</v>
      </c>
      <c r="H241" s="606" t="s">
        <v>1049</v>
      </c>
    </row>
    <row r="242" spans="1:8" ht="14.25" customHeight="1">
      <c r="A242" s="633" t="s">
        <v>1989</v>
      </c>
      <c r="B242" s="641" t="s">
        <v>1990</v>
      </c>
      <c r="C242" s="635" t="s">
        <v>92</v>
      </c>
      <c r="D242" s="635" t="s">
        <v>98</v>
      </c>
      <c r="G242" s="606" t="s">
        <v>1050</v>
      </c>
      <c r="H242" s="606" t="s">
        <v>1051</v>
      </c>
    </row>
    <row r="243" spans="1:8" ht="14.25" customHeight="1">
      <c r="A243" s="646" t="s">
        <v>1991</v>
      </c>
      <c r="B243" s="641" t="s">
        <v>1992</v>
      </c>
      <c r="C243" s="635" t="s">
        <v>92</v>
      </c>
      <c r="D243" s="635" t="s">
        <v>97</v>
      </c>
      <c r="G243" s="606" t="s">
        <v>1050</v>
      </c>
      <c r="H243" s="606" t="s">
        <v>1052</v>
      </c>
    </row>
    <row r="244" spans="1:8" ht="14.25" customHeight="1">
      <c r="A244" s="646" t="s">
        <v>1993</v>
      </c>
      <c r="B244" s="641" t="s">
        <v>1994</v>
      </c>
      <c r="C244" s="635" t="s">
        <v>92</v>
      </c>
      <c r="D244" s="635" t="s">
        <v>97</v>
      </c>
      <c r="G244" s="606" t="s">
        <v>1053</v>
      </c>
      <c r="H244" s="606" t="s">
        <v>1995</v>
      </c>
    </row>
    <row r="245" spans="1:8" ht="14.25" customHeight="1">
      <c r="A245" s="646" t="s">
        <v>1996</v>
      </c>
      <c r="B245" s="641" t="s">
        <v>1997</v>
      </c>
      <c r="C245" s="635" t="s">
        <v>92</v>
      </c>
      <c r="D245" s="635" t="s">
        <v>97</v>
      </c>
      <c r="G245" s="606" t="s">
        <v>669</v>
      </c>
      <c r="H245" s="606" t="s">
        <v>730</v>
      </c>
    </row>
    <row r="246" spans="1:8" ht="14.25" customHeight="1">
      <c r="A246" s="646" t="s">
        <v>1998</v>
      </c>
      <c r="B246" s="641" t="s">
        <v>1999</v>
      </c>
      <c r="C246" s="635" t="s">
        <v>92</v>
      </c>
      <c r="D246" s="635" t="s">
        <v>97</v>
      </c>
      <c r="G246" s="606" t="s">
        <v>729</v>
      </c>
      <c r="H246" s="606" t="s">
        <v>2000</v>
      </c>
    </row>
    <row r="247" spans="1:8" ht="14.25" customHeight="1">
      <c r="A247" s="641" t="s">
        <v>2001</v>
      </c>
      <c r="B247" s="641" t="s">
        <v>2002</v>
      </c>
      <c r="C247" s="635" t="s">
        <v>92</v>
      </c>
      <c r="D247" s="635" t="s">
        <v>97</v>
      </c>
      <c r="G247" s="606" t="s">
        <v>1054</v>
      </c>
      <c r="H247" s="606" t="s">
        <v>2003</v>
      </c>
    </row>
    <row r="248" spans="1:8" ht="14.25" customHeight="1">
      <c r="A248" s="646" t="s">
        <v>2004</v>
      </c>
      <c r="B248" s="641" t="s">
        <v>2005</v>
      </c>
      <c r="C248" s="635" t="s">
        <v>92</v>
      </c>
      <c r="D248" s="635" t="s">
        <v>97</v>
      </c>
      <c r="G248" s="606" t="s">
        <v>1325</v>
      </c>
      <c r="H248" s="606" t="s">
        <v>2006</v>
      </c>
    </row>
    <row r="249" spans="1:8" ht="14.25" customHeight="1">
      <c r="A249" s="645" t="s">
        <v>2007</v>
      </c>
      <c r="B249" s="634" t="s">
        <v>2008</v>
      </c>
      <c r="C249" s="635" t="s">
        <v>92</v>
      </c>
      <c r="D249" s="635" t="s">
        <v>97</v>
      </c>
      <c r="G249" s="606" t="s">
        <v>1326</v>
      </c>
      <c r="H249" s="606" t="s">
        <v>2009</v>
      </c>
    </row>
    <row r="250" spans="1:8" ht="14.25" customHeight="1">
      <c r="A250" s="646" t="s">
        <v>2010</v>
      </c>
      <c r="B250" s="641" t="s">
        <v>2011</v>
      </c>
      <c r="C250" s="635" t="s">
        <v>92</v>
      </c>
      <c r="D250" s="635" t="s">
        <v>98</v>
      </c>
      <c r="G250" s="606" t="s">
        <v>1327</v>
      </c>
      <c r="H250" s="606" t="s">
        <v>2012</v>
      </c>
    </row>
    <row r="251" spans="1:8" ht="14.25" customHeight="1">
      <c r="A251" s="645" t="s">
        <v>2013</v>
      </c>
      <c r="B251" s="634" t="s">
        <v>2014</v>
      </c>
      <c r="C251" s="635" t="s">
        <v>92</v>
      </c>
      <c r="D251" s="635" t="s">
        <v>98</v>
      </c>
      <c r="G251" s="606" t="s">
        <v>1056</v>
      </c>
      <c r="H251" s="606" t="s">
        <v>2015</v>
      </c>
    </row>
    <row r="252" spans="1:8" ht="14.25" customHeight="1">
      <c r="A252" s="646" t="s">
        <v>2016</v>
      </c>
      <c r="B252" s="641" t="s">
        <v>2017</v>
      </c>
      <c r="C252" s="635" t="s">
        <v>92</v>
      </c>
      <c r="D252" s="635" t="s">
        <v>98</v>
      </c>
      <c r="G252" s="606" t="s">
        <v>731</v>
      </c>
      <c r="H252" s="606" t="s">
        <v>1058</v>
      </c>
    </row>
    <row r="253" spans="1:8" ht="14.25" customHeight="1">
      <c r="A253" s="674" t="s">
        <v>2018</v>
      </c>
      <c r="B253" s="675" t="s">
        <v>2019</v>
      </c>
      <c r="C253" s="635" t="s">
        <v>92</v>
      </c>
      <c r="D253" s="635" t="s">
        <v>98</v>
      </c>
      <c r="G253" s="606" t="s">
        <v>1328</v>
      </c>
      <c r="H253" s="606" t="s">
        <v>2020</v>
      </c>
    </row>
    <row r="254" spans="1:8" ht="14.25" customHeight="1">
      <c r="A254" s="676" t="s">
        <v>2021</v>
      </c>
      <c r="B254" s="641" t="s">
        <v>2022</v>
      </c>
      <c r="C254" s="635" t="s">
        <v>92</v>
      </c>
      <c r="D254" s="635" t="s">
        <v>97</v>
      </c>
      <c r="G254" s="606" t="s">
        <v>1329</v>
      </c>
      <c r="H254" s="606" t="s">
        <v>2023</v>
      </c>
    </row>
    <row r="255" spans="1:8" ht="14.25" customHeight="1">
      <c r="A255" s="674" t="s">
        <v>2024</v>
      </c>
      <c r="B255" s="634" t="s">
        <v>2025</v>
      </c>
      <c r="C255" s="635" t="s">
        <v>92</v>
      </c>
      <c r="D255" s="635" t="s">
        <v>97</v>
      </c>
      <c r="G255" s="606" t="s">
        <v>1330</v>
      </c>
      <c r="H255" s="606" t="s">
        <v>2026</v>
      </c>
    </row>
    <row r="256" spans="1:8" ht="14.25" customHeight="1">
      <c r="A256" s="676" t="s">
        <v>2027</v>
      </c>
      <c r="B256" s="641" t="s">
        <v>2028</v>
      </c>
      <c r="C256" s="635" t="s">
        <v>92</v>
      </c>
      <c r="D256" s="635" t="s">
        <v>98</v>
      </c>
      <c r="G256" s="606" t="s">
        <v>1059</v>
      </c>
      <c r="H256" s="606" t="s">
        <v>2029</v>
      </c>
    </row>
    <row r="257" spans="1:8" ht="14.25" customHeight="1">
      <c r="A257" s="674" t="s">
        <v>2030</v>
      </c>
      <c r="B257" s="675" t="s">
        <v>2031</v>
      </c>
      <c r="C257" s="635" t="s">
        <v>92</v>
      </c>
      <c r="D257" s="635" t="s">
        <v>98</v>
      </c>
      <c r="G257" s="606" t="s">
        <v>732</v>
      </c>
      <c r="H257" s="606" t="s">
        <v>2032</v>
      </c>
    </row>
    <row r="258" spans="1:8" ht="14.25" customHeight="1">
      <c r="A258" s="677" t="s">
        <v>2033</v>
      </c>
      <c r="B258" s="634" t="s">
        <v>2034</v>
      </c>
      <c r="C258" s="635" t="s">
        <v>92</v>
      </c>
      <c r="D258" s="635" t="s">
        <v>98</v>
      </c>
      <c r="G258" s="606" t="s">
        <v>1061</v>
      </c>
      <c r="H258" s="606" t="s">
        <v>2035</v>
      </c>
    </row>
    <row r="259" spans="1:8" ht="14.25" customHeight="1">
      <c r="A259" s="645" t="s">
        <v>2036</v>
      </c>
      <c r="B259" s="634" t="s">
        <v>2037</v>
      </c>
      <c r="C259" s="635" t="s">
        <v>92</v>
      </c>
      <c r="D259" s="635" t="s">
        <v>98</v>
      </c>
      <c r="G259" s="606" t="s">
        <v>1062</v>
      </c>
      <c r="H259" s="606" t="s">
        <v>2038</v>
      </c>
    </row>
    <row r="260" spans="1:8" ht="14.25" customHeight="1">
      <c r="A260" s="646" t="s">
        <v>2039</v>
      </c>
      <c r="B260" s="641" t="s">
        <v>2040</v>
      </c>
      <c r="C260" s="635" t="s">
        <v>92</v>
      </c>
      <c r="D260" s="635" t="s">
        <v>97</v>
      </c>
      <c r="G260" s="606" t="s">
        <v>1331</v>
      </c>
      <c r="H260" s="606" t="s">
        <v>2041</v>
      </c>
    </row>
    <row r="261" spans="1:8" ht="14.25" customHeight="1">
      <c r="A261" s="645" t="s">
        <v>2042</v>
      </c>
      <c r="B261" s="634" t="s">
        <v>2043</v>
      </c>
      <c r="C261" s="635" t="s">
        <v>92</v>
      </c>
      <c r="D261" s="635" t="s">
        <v>97</v>
      </c>
      <c r="G261" s="606" t="s">
        <v>1063</v>
      </c>
      <c r="H261" s="606" t="s">
        <v>2044</v>
      </c>
    </row>
    <row r="262" spans="1:8" ht="14.25" customHeight="1">
      <c r="A262" s="646" t="s">
        <v>2045</v>
      </c>
      <c r="B262" s="641" t="s">
        <v>2046</v>
      </c>
      <c r="C262" s="635" t="s">
        <v>92</v>
      </c>
      <c r="D262" s="635" t="s">
        <v>97</v>
      </c>
      <c r="G262" s="606" t="s">
        <v>1063</v>
      </c>
      <c r="H262" s="606" t="s">
        <v>2047</v>
      </c>
    </row>
    <row r="263" spans="1:8" ht="14.25" customHeight="1">
      <c r="A263" s="645" t="s">
        <v>2048</v>
      </c>
      <c r="B263" s="634" t="s">
        <v>2049</v>
      </c>
      <c r="C263" s="635" t="s">
        <v>92</v>
      </c>
      <c r="D263" s="635" t="s">
        <v>97</v>
      </c>
      <c r="G263" s="606" t="s">
        <v>733</v>
      </c>
      <c r="H263" s="606" t="s">
        <v>1065</v>
      </c>
    </row>
    <row r="264" spans="1:8" ht="14.25" customHeight="1">
      <c r="A264" s="646" t="s">
        <v>2050</v>
      </c>
      <c r="B264" s="641" t="s">
        <v>2051</v>
      </c>
      <c r="C264" s="635" t="s">
        <v>92</v>
      </c>
      <c r="D264" s="635" t="s">
        <v>97</v>
      </c>
      <c r="G264" s="606" t="s">
        <v>1280</v>
      </c>
      <c r="H264" s="606" t="s">
        <v>2052</v>
      </c>
    </row>
    <row r="265" spans="1:8" ht="14.25" customHeight="1">
      <c r="A265" s="645" t="s">
        <v>2053</v>
      </c>
      <c r="B265" s="634" t="s">
        <v>2054</v>
      </c>
      <c r="C265" s="635" t="s">
        <v>92</v>
      </c>
      <c r="D265" s="635" t="s">
        <v>97</v>
      </c>
      <c r="G265" s="606" t="s">
        <v>734</v>
      </c>
      <c r="H265" s="606" t="s">
        <v>2055</v>
      </c>
    </row>
    <row r="266" spans="1:8" ht="14.25" customHeight="1">
      <c r="A266" s="646" t="s">
        <v>2056</v>
      </c>
      <c r="B266" s="641" t="s">
        <v>2057</v>
      </c>
      <c r="C266" s="635" t="s">
        <v>92</v>
      </c>
      <c r="D266" s="635" t="s">
        <v>97</v>
      </c>
      <c r="G266" s="606" t="s">
        <v>1066</v>
      </c>
      <c r="H266" s="606" t="s">
        <v>2058</v>
      </c>
    </row>
    <row r="267" spans="1:8" ht="14.25" customHeight="1">
      <c r="A267" s="645" t="s">
        <v>2059</v>
      </c>
      <c r="B267" s="634" t="s">
        <v>2060</v>
      </c>
      <c r="C267" s="635" t="s">
        <v>92</v>
      </c>
      <c r="D267" s="635" t="s">
        <v>97</v>
      </c>
      <c r="G267" s="606" t="s">
        <v>1067</v>
      </c>
      <c r="H267" s="606" t="s">
        <v>2061</v>
      </c>
    </row>
    <row r="268" spans="1:8" ht="14.25" customHeight="1">
      <c r="A268" s="646" t="s">
        <v>2062</v>
      </c>
      <c r="B268" s="641" t="s">
        <v>2063</v>
      </c>
      <c r="C268" s="635" t="s">
        <v>92</v>
      </c>
      <c r="D268" s="635" t="s">
        <v>97</v>
      </c>
      <c r="G268" s="606" t="s">
        <v>735</v>
      </c>
      <c r="H268" s="606" t="s">
        <v>2064</v>
      </c>
    </row>
    <row r="269" spans="1:8" ht="14.25" customHeight="1">
      <c r="A269" s="646" t="s">
        <v>2065</v>
      </c>
      <c r="B269" s="641" t="s">
        <v>2066</v>
      </c>
      <c r="C269" s="635" t="s">
        <v>92</v>
      </c>
      <c r="D269" s="635" t="s">
        <v>97</v>
      </c>
      <c r="G269" s="606" t="s">
        <v>1068</v>
      </c>
      <c r="H269" s="606" t="s">
        <v>2067</v>
      </c>
    </row>
    <row r="270" spans="1:8" ht="14.25" customHeight="1">
      <c r="A270" s="645" t="s">
        <v>2068</v>
      </c>
      <c r="B270" s="634" t="s">
        <v>2069</v>
      </c>
      <c r="C270" s="635" t="s">
        <v>92</v>
      </c>
      <c r="D270" s="635" t="s">
        <v>97</v>
      </c>
      <c r="G270" s="606" t="s">
        <v>1069</v>
      </c>
      <c r="H270" s="606" t="s">
        <v>2070</v>
      </c>
    </row>
    <row r="271" spans="1:8" ht="14.25" customHeight="1">
      <c r="A271" s="646" t="s">
        <v>2071</v>
      </c>
      <c r="B271" s="641" t="s">
        <v>2072</v>
      </c>
      <c r="C271" s="635" t="s">
        <v>92</v>
      </c>
      <c r="D271" s="635" t="s">
        <v>97</v>
      </c>
      <c r="G271" s="606" t="s">
        <v>736</v>
      </c>
      <c r="H271" s="606" t="s">
        <v>2073</v>
      </c>
    </row>
    <row r="272" spans="1:8" ht="14.25" customHeight="1">
      <c r="A272" s="646" t="s">
        <v>2074</v>
      </c>
      <c r="B272" s="641" t="s">
        <v>2075</v>
      </c>
      <c r="C272" s="635" t="s">
        <v>92</v>
      </c>
      <c r="D272" s="635" t="s">
        <v>97</v>
      </c>
      <c r="G272" s="606" t="s">
        <v>737</v>
      </c>
      <c r="H272" s="606" t="s">
        <v>2076</v>
      </c>
    </row>
    <row r="273" spans="1:8" ht="14.25" customHeight="1">
      <c r="A273" s="641" t="s">
        <v>2077</v>
      </c>
      <c r="B273" s="641" t="s">
        <v>1978</v>
      </c>
      <c r="C273" s="635" t="s">
        <v>92</v>
      </c>
      <c r="D273" s="635" t="s">
        <v>97</v>
      </c>
      <c r="G273" s="606" t="s">
        <v>738</v>
      </c>
      <c r="H273" s="606" t="s">
        <v>2078</v>
      </c>
    </row>
    <row r="274" spans="1:8" ht="14.25" customHeight="1">
      <c r="A274" s="645" t="s">
        <v>2079</v>
      </c>
      <c r="B274" s="634" t="s">
        <v>2080</v>
      </c>
      <c r="C274" s="635" t="s">
        <v>92</v>
      </c>
      <c r="D274" s="635" t="s">
        <v>97</v>
      </c>
      <c r="G274" s="606" t="s">
        <v>959</v>
      </c>
      <c r="H274" s="606" t="s">
        <v>2081</v>
      </c>
    </row>
    <row r="275" spans="1:8" ht="14.25" customHeight="1">
      <c r="A275" s="641" t="s">
        <v>2082</v>
      </c>
      <c r="B275" s="641" t="s">
        <v>2083</v>
      </c>
      <c r="C275" s="635" t="s">
        <v>92</v>
      </c>
      <c r="D275" s="635" t="s">
        <v>97</v>
      </c>
      <c r="G275" s="606" t="s">
        <v>1070</v>
      </c>
      <c r="H275" s="606" t="s">
        <v>2084</v>
      </c>
    </row>
    <row r="276" spans="1:8" ht="14.25" customHeight="1">
      <c r="A276" s="646" t="s">
        <v>2085</v>
      </c>
      <c r="B276" s="641" t="s">
        <v>2086</v>
      </c>
      <c r="C276" s="635" t="s">
        <v>92</v>
      </c>
      <c r="D276" s="635" t="s">
        <v>97</v>
      </c>
      <c r="G276" s="606" t="s">
        <v>963</v>
      </c>
      <c r="H276" s="606" t="s">
        <v>2087</v>
      </c>
    </row>
    <row r="277" spans="1:8" ht="14.25" customHeight="1">
      <c r="A277" s="645" t="s">
        <v>2088</v>
      </c>
      <c r="B277" s="634" t="s">
        <v>2089</v>
      </c>
      <c r="C277" s="635" t="s">
        <v>92</v>
      </c>
      <c r="D277" s="635" t="s">
        <v>97</v>
      </c>
      <c r="G277" s="606" t="s">
        <v>1071</v>
      </c>
      <c r="H277" s="606" t="s">
        <v>2090</v>
      </c>
    </row>
    <row r="278" spans="1:8" ht="14.25" customHeight="1">
      <c r="A278" s="646" t="s">
        <v>2091</v>
      </c>
      <c r="B278" s="641" t="s">
        <v>2092</v>
      </c>
      <c r="C278" s="635" t="s">
        <v>92</v>
      </c>
      <c r="D278" s="635" t="s">
        <v>97</v>
      </c>
      <c r="G278" s="606" t="s">
        <v>1072</v>
      </c>
      <c r="H278" s="606" t="s">
        <v>2093</v>
      </c>
    </row>
    <row r="279" spans="1:8" ht="14.25" customHeight="1">
      <c r="A279" s="633" t="s">
        <v>2094</v>
      </c>
      <c r="B279" s="641" t="s">
        <v>2095</v>
      </c>
      <c r="C279" s="635" t="s">
        <v>92</v>
      </c>
      <c r="D279" s="635" t="s">
        <v>98</v>
      </c>
      <c r="G279" s="606" t="s">
        <v>1073</v>
      </c>
      <c r="H279" s="606" t="s">
        <v>2096</v>
      </c>
    </row>
    <row r="280" spans="1:8" ht="14.25" customHeight="1">
      <c r="A280" s="646" t="s">
        <v>2097</v>
      </c>
      <c r="B280" s="641" t="s">
        <v>2098</v>
      </c>
      <c r="C280" s="635" t="s">
        <v>92</v>
      </c>
      <c r="D280" s="635" t="s">
        <v>97</v>
      </c>
      <c r="G280" s="606" t="s">
        <v>1074</v>
      </c>
      <c r="H280" s="606" t="s">
        <v>2099</v>
      </c>
    </row>
    <row r="281" spans="1:8" ht="14.25" customHeight="1">
      <c r="A281" s="646" t="s">
        <v>2100</v>
      </c>
      <c r="B281" s="641" t="s">
        <v>2101</v>
      </c>
      <c r="C281" s="635" t="s">
        <v>92</v>
      </c>
      <c r="D281" s="635" t="s">
        <v>97</v>
      </c>
      <c r="G281" s="606" t="s">
        <v>739</v>
      </c>
      <c r="H281" s="606" t="s">
        <v>2102</v>
      </c>
    </row>
    <row r="282" spans="1:8" ht="14.25" customHeight="1">
      <c r="A282" s="646" t="s">
        <v>2103</v>
      </c>
      <c r="B282" s="641" t="s">
        <v>2104</v>
      </c>
      <c r="C282" s="635" t="s">
        <v>92</v>
      </c>
      <c r="D282" s="635" t="s">
        <v>97</v>
      </c>
      <c r="G282" s="606" t="s">
        <v>1075</v>
      </c>
      <c r="H282" s="606" t="s">
        <v>2105</v>
      </c>
    </row>
    <row r="283" spans="1:8" ht="14.25" customHeight="1">
      <c r="A283" s="645" t="s">
        <v>2106</v>
      </c>
      <c r="B283" s="634" t="s">
        <v>2107</v>
      </c>
      <c r="C283" s="635" t="s">
        <v>92</v>
      </c>
      <c r="D283" s="635" t="s">
        <v>97</v>
      </c>
      <c r="G283" s="606" t="s">
        <v>740</v>
      </c>
      <c r="H283" s="606" t="s">
        <v>2108</v>
      </c>
    </row>
    <row r="284" spans="1:8" ht="14.25" customHeight="1">
      <c r="A284" s="646" t="s">
        <v>2109</v>
      </c>
      <c r="B284" s="641" t="s">
        <v>2110</v>
      </c>
      <c r="C284" s="635" t="s">
        <v>92</v>
      </c>
      <c r="D284" s="635" t="s">
        <v>97</v>
      </c>
      <c r="G284" s="606" t="s">
        <v>978</v>
      </c>
      <c r="H284" s="606" t="s">
        <v>2111</v>
      </c>
    </row>
    <row r="285" spans="1:8" ht="14.25" customHeight="1">
      <c r="A285" s="646" t="s">
        <v>2112</v>
      </c>
      <c r="B285" s="641" t="s">
        <v>2113</v>
      </c>
      <c r="C285" s="635" t="s">
        <v>92</v>
      </c>
      <c r="D285" s="635" t="s">
        <v>97</v>
      </c>
      <c r="G285" s="606" t="s">
        <v>981</v>
      </c>
      <c r="H285" s="606" t="s">
        <v>2114</v>
      </c>
    </row>
    <row r="286" spans="1:8" ht="14.25" customHeight="1">
      <c r="A286" s="645" t="s">
        <v>2115</v>
      </c>
      <c r="B286" s="634" t="s">
        <v>2116</v>
      </c>
      <c r="C286" s="635" t="s">
        <v>92</v>
      </c>
      <c r="D286" s="635" t="s">
        <v>97</v>
      </c>
      <c r="G286" s="606" t="s">
        <v>1077</v>
      </c>
      <c r="H286" s="606" t="s">
        <v>2117</v>
      </c>
    </row>
    <row r="287" spans="1:8" ht="14.25" customHeight="1">
      <c r="A287" s="646" t="s">
        <v>2118</v>
      </c>
      <c r="B287" s="641" t="s">
        <v>2119</v>
      </c>
      <c r="C287" s="635" t="s">
        <v>92</v>
      </c>
      <c r="D287" s="635" t="s">
        <v>97</v>
      </c>
      <c r="G287" s="606" t="s">
        <v>1078</v>
      </c>
      <c r="H287" s="606" t="s">
        <v>2120</v>
      </c>
    </row>
    <row r="288" spans="1:8" ht="14.25" customHeight="1">
      <c r="A288" s="646" t="s">
        <v>2121</v>
      </c>
      <c r="B288" s="641" t="s">
        <v>2122</v>
      </c>
      <c r="C288" s="635" t="s">
        <v>92</v>
      </c>
      <c r="D288" s="635" t="s">
        <v>97</v>
      </c>
      <c r="G288" s="606" t="s">
        <v>741</v>
      </c>
      <c r="H288" s="606" t="s">
        <v>2123</v>
      </c>
    </row>
    <row r="289" spans="1:8" ht="14.25" customHeight="1">
      <c r="A289" s="645" t="s">
        <v>2124</v>
      </c>
      <c r="B289" s="634" t="s">
        <v>2125</v>
      </c>
      <c r="C289" s="635" t="s">
        <v>92</v>
      </c>
      <c r="D289" s="635" t="s">
        <v>97</v>
      </c>
      <c r="G289" s="606" t="s">
        <v>742</v>
      </c>
      <c r="H289" s="606" t="s">
        <v>2126</v>
      </c>
    </row>
    <row r="290" spans="1:8" ht="14.25" customHeight="1">
      <c r="A290" s="646" t="s">
        <v>2127</v>
      </c>
      <c r="B290" s="641" t="s">
        <v>2128</v>
      </c>
      <c r="C290" s="635" t="s">
        <v>92</v>
      </c>
      <c r="D290" s="635" t="s">
        <v>97</v>
      </c>
      <c r="G290" s="606" t="s">
        <v>1079</v>
      </c>
      <c r="H290" s="606" t="s">
        <v>2129</v>
      </c>
    </row>
    <row r="291" spans="1:8" ht="14.25" customHeight="1">
      <c r="A291" s="633" t="s">
        <v>2130</v>
      </c>
      <c r="B291" s="641" t="s">
        <v>2131</v>
      </c>
      <c r="C291" s="635" t="s">
        <v>92</v>
      </c>
      <c r="D291" s="635" t="s">
        <v>98</v>
      </c>
      <c r="G291" s="606" t="s">
        <v>1080</v>
      </c>
      <c r="H291" s="606" t="s">
        <v>2132</v>
      </c>
    </row>
    <row r="292" spans="1:8" ht="14.25" customHeight="1">
      <c r="A292" s="646" t="s">
        <v>2133</v>
      </c>
      <c r="B292" s="641" t="s">
        <v>2134</v>
      </c>
      <c r="C292" s="635" t="s">
        <v>92</v>
      </c>
      <c r="D292" s="635" t="s">
        <v>97</v>
      </c>
      <c r="G292" s="606" t="s">
        <v>1081</v>
      </c>
      <c r="H292" s="606" t="s">
        <v>2135</v>
      </c>
    </row>
    <row r="293" spans="1:8" ht="14.25" customHeight="1">
      <c r="A293" s="646" t="s">
        <v>2136</v>
      </c>
      <c r="B293" s="678" t="s">
        <v>2137</v>
      </c>
      <c r="C293" s="635" t="s">
        <v>92</v>
      </c>
      <c r="D293" s="635" t="s">
        <v>97</v>
      </c>
      <c r="G293" s="606" t="s">
        <v>1082</v>
      </c>
      <c r="H293" s="606" t="s">
        <v>2138</v>
      </c>
    </row>
    <row r="294" spans="1:8" ht="14.25" customHeight="1">
      <c r="A294" s="646" t="s">
        <v>2139</v>
      </c>
      <c r="B294" s="678" t="s">
        <v>2140</v>
      </c>
      <c r="C294" s="635" t="s">
        <v>92</v>
      </c>
      <c r="D294" s="635" t="s">
        <v>97</v>
      </c>
      <c r="G294" s="606" t="s">
        <v>1083</v>
      </c>
      <c r="H294" s="606" t="s">
        <v>2141</v>
      </c>
    </row>
    <row r="295" spans="1:8" ht="14.25" customHeight="1">
      <c r="A295" s="645" t="s">
        <v>2142</v>
      </c>
      <c r="B295" s="675" t="s">
        <v>2143</v>
      </c>
      <c r="C295" s="635" t="s">
        <v>92</v>
      </c>
      <c r="D295" s="635" t="s">
        <v>97</v>
      </c>
      <c r="G295" s="606" t="s">
        <v>1084</v>
      </c>
      <c r="H295" s="606" t="s">
        <v>2144</v>
      </c>
    </row>
    <row r="296" spans="1:8" ht="14.25" customHeight="1">
      <c r="A296" s="646" t="s">
        <v>2145</v>
      </c>
      <c r="B296" s="678" t="s">
        <v>2146</v>
      </c>
      <c r="C296" s="635" t="s">
        <v>92</v>
      </c>
      <c r="D296" s="635" t="s">
        <v>97</v>
      </c>
      <c r="G296" s="606" t="s">
        <v>1085</v>
      </c>
      <c r="H296" s="606" t="s">
        <v>2147</v>
      </c>
    </row>
    <row r="297" spans="1:8" ht="14.25" customHeight="1">
      <c r="A297" s="645" t="s">
        <v>2148</v>
      </c>
      <c r="B297" s="675" t="s">
        <v>2149</v>
      </c>
      <c r="C297" s="635" t="s">
        <v>92</v>
      </c>
      <c r="D297" s="635" t="s">
        <v>97</v>
      </c>
      <c r="G297" s="606" t="s">
        <v>1083</v>
      </c>
      <c r="H297" s="606" t="s">
        <v>2150</v>
      </c>
    </row>
    <row r="298" spans="1:8" ht="14.25" customHeight="1">
      <c r="A298" s="646" t="s">
        <v>2151</v>
      </c>
      <c r="B298" s="641" t="s">
        <v>2152</v>
      </c>
      <c r="C298" s="635" t="s">
        <v>92</v>
      </c>
      <c r="D298" s="635" t="s">
        <v>98</v>
      </c>
      <c r="G298" s="606" t="s">
        <v>1086</v>
      </c>
      <c r="H298" s="606" t="s">
        <v>2153</v>
      </c>
    </row>
    <row r="299" spans="1:8" ht="14.25" customHeight="1">
      <c r="A299" s="645" t="s">
        <v>2154</v>
      </c>
      <c r="B299" s="634" t="s">
        <v>2155</v>
      </c>
      <c r="C299" s="635" t="s">
        <v>92</v>
      </c>
      <c r="D299" s="635" t="s">
        <v>98</v>
      </c>
      <c r="G299" s="606" t="s">
        <v>1086</v>
      </c>
      <c r="H299" s="606" t="s">
        <v>2156</v>
      </c>
    </row>
    <row r="300" spans="1:8" ht="14.25" customHeight="1">
      <c r="A300" s="646" t="s">
        <v>2157</v>
      </c>
      <c r="B300" s="641" t="s">
        <v>2158</v>
      </c>
      <c r="C300" s="635" t="s">
        <v>92</v>
      </c>
      <c r="D300" s="635" t="s">
        <v>98</v>
      </c>
      <c r="G300" s="606" t="s">
        <v>1089</v>
      </c>
      <c r="H300" s="606" t="s">
        <v>2159</v>
      </c>
    </row>
    <row r="301" spans="1:8" ht="14.25" customHeight="1">
      <c r="A301" s="645" t="s">
        <v>2160</v>
      </c>
      <c r="B301" s="634" t="s">
        <v>2161</v>
      </c>
      <c r="C301" s="635" t="s">
        <v>92</v>
      </c>
      <c r="D301" s="635" t="s">
        <v>98</v>
      </c>
      <c r="G301" s="606" t="s">
        <v>1090</v>
      </c>
      <c r="H301" s="606" t="s">
        <v>2162</v>
      </c>
    </row>
    <row r="302" spans="1:8" ht="14.25" customHeight="1">
      <c r="A302" s="633" t="s">
        <v>2163</v>
      </c>
      <c r="B302" s="641" t="s">
        <v>2164</v>
      </c>
      <c r="C302" s="635" t="s">
        <v>92</v>
      </c>
      <c r="D302" s="635" t="s">
        <v>98</v>
      </c>
      <c r="G302" s="606" t="s">
        <v>1091</v>
      </c>
      <c r="H302" s="606" t="s">
        <v>2165</v>
      </c>
    </row>
    <row r="303" spans="1:8" ht="14.25" customHeight="1">
      <c r="A303" s="646" t="s">
        <v>2166</v>
      </c>
      <c r="B303" s="641" t="s">
        <v>2167</v>
      </c>
      <c r="C303" s="635" t="s">
        <v>92</v>
      </c>
      <c r="D303" s="635" t="s">
        <v>97</v>
      </c>
      <c r="G303" s="606" t="s">
        <v>1092</v>
      </c>
      <c r="H303" s="606" t="s">
        <v>2168</v>
      </c>
    </row>
    <row r="304" spans="1:8" ht="14.25" customHeight="1">
      <c r="A304" s="646" t="s">
        <v>2169</v>
      </c>
      <c r="B304" s="641" t="s">
        <v>2170</v>
      </c>
      <c r="C304" s="635" t="s">
        <v>92</v>
      </c>
      <c r="D304" s="635" t="s">
        <v>97</v>
      </c>
      <c r="G304" s="606" t="s">
        <v>1093</v>
      </c>
      <c r="H304" s="606" t="s">
        <v>2171</v>
      </c>
    </row>
    <row r="305" spans="1:8" ht="14.25" customHeight="1">
      <c r="A305" s="646" t="s">
        <v>2172</v>
      </c>
      <c r="B305" s="641" t="s">
        <v>2173</v>
      </c>
      <c r="C305" s="635" t="s">
        <v>92</v>
      </c>
      <c r="D305" s="635" t="s">
        <v>97</v>
      </c>
      <c r="G305" s="606" t="s">
        <v>1094</v>
      </c>
      <c r="H305" s="606" t="s">
        <v>2174</v>
      </c>
    </row>
    <row r="306" spans="1:8" ht="14.25" customHeight="1">
      <c r="A306" s="646" t="s">
        <v>2175</v>
      </c>
      <c r="B306" s="641" t="s">
        <v>2176</v>
      </c>
      <c r="C306" s="635" t="s">
        <v>92</v>
      </c>
      <c r="D306" s="635" t="s">
        <v>97</v>
      </c>
      <c r="G306" s="606" t="s">
        <v>1095</v>
      </c>
      <c r="H306" s="606" t="s">
        <v>2177</v>
      </c>
    </row>
    <row r="307" spans="1:8" ht="14.25" customHeight="1">
      <c r="A307" s="645" t="s">
        <v>2178</v>
      </c>
      <c r="B307" s="634" t="s">
        <v>2179</v>
      </c>
      <c r="C307" s="635" t="s">
        <v>92</v>
      </c>
      <c r="D307" s="635" t="s">
        <v>97</v>
      </c>
      <c r="G307" s="606" t="s">
        <v>1332</v>
      </c>
      <c r="H307" s="606" t="s">
        <v>1097</v>
      </c>
    </row>
    <row r="308" spans="1:8" ht="14.25" customHeight="1">
      <c r="A308" s="646" t="s">
        <v>2180</v>
      </c>
      <c r="B308" s="641" t="s">
        <v>2181</v>
      </c>
      <c r="C308" s="635" t="s">
        <v>92</v>
      </c>
      <c r="D308" s="635" t="s">
        <v>97</v>
      </c>
      <c r="G308" s="606" t="s">
        <v>1096</v>
      </c>
      <c r="H308" s="606" t="s">
        <v>2182</v>
      </c>
    </row>
    <row r="309" spans="1:8" ht="14.25" customHeight="1">
      <c r="A309" s="634" t="s">
        <v>2183</v>
      </c>
      <c r="B309" s="634" t="s">
        <v>2184</v>
      </c>
      <c r="C309" s="635" t="s">
        <v>92</v>
      </c>
      <c r="D309" s="635" t="s">
        <v>97</v>
      </c>
      <c r="G309" s="606" t="s">
        <v>670</v>
      </c>
      <c r="H309" s="606" t="s">
        <v>2185</v>
      </c>
    </row>
    <row r="310" spans="1:8" ht="14.25" customHeight="1">
      <c r="A310" s="646" t="s">
        <v>2186</v>
      </c>
      <c r="B310" s="641" t="s">
        <v>2187</v>
      </c>
      <c r="C310" s="635" t="s">
        <v>92</v>
      </c>
      <c r="D310" s="635" t="s">
        <v>97</v>
      </c>
      <c r="G310" s="606" t="s">
        <v>1098</v>
      </c>
      <c r="H310" s="606" t="s">
        <v>1100</v>
      </c>
    </row>
    <row r="311" spans="1:8" ht="14.25" customHeight="1">
      <c r="A311" s="646" t="s">
        <v>2188</v>
      </c>
      <c r="B311" s="641" t="s">
        <v>2189</v>
      </c>
      <c r="C311" s="635" t="s">
        <v>92</v>
      </c>
      <c r="D311" s="635" t="s">
        <v>97</v>
      </c>
      <c r="G311" s="606" t="s">
        <v>1101</v>
      </c>
      <c r="H311" s="606" t="s">
        <v>1102</v>
      </c>
    </row>
    <row r="312" spans="1:8" ht="14.25" customHeight="1">
      <c r="A312" s="646" t="s">
        <v>2190</v>
      </c>
      <c r="B312" s="641" t="s">
        <v>2191</v>
      </c>
      <c r="C312" s="635" t="s">
        <v>92</v>
      </c>
      <c r="D312" s="635" t="s">
        <v>97</v>
      </c>
      <c r="G312" s="606" t="s">
        <v>1103</v>
      </c>
      <c r="H312" s="606" t="s">
        <v>1104</v>
      </c>
    </row>
    <row r="313" spans="1:8" ht="14.25" customHeight="1">
      <c r="A313" s="646" t="s">
        <v>2192</v>
      </c>
      <c r="B313" s="641" t="s">
        <v>2193</v>
      </c>
      <c r="C313" s="635" t="s">
        <v>92</v>
      </c>
      <c r="D313" s="635" t="s">
        <v>97</v>
      </c>
      <c r="G313" s="606" t="s">
        <v>1105</v>
      </c>
      <c r="H313" s="606" t="s">
        <v>1106</v>
      </c>
    </row>
    <row r="314" spans="1:8" ht="14.25" customHeight="1">
      <c r="A314" s="634" t="s">
        <v>2194</v>
      </c>
      <c r="B314" s="634" t="s">
        <v>2195</v>
      </c>
      <c r="C314" s="635" t="s">
        <v>92</v>
      </c>
      <c r="D314" s="635" t="s">
        <v>97</v>
      </c>
      <c r="G314" s="606" t="s">
        <v>1107</v>
      </c>
      <c r="H314" s="606" t="s">
        <v>1108</v>
      </c>
    </row>
    <row r="315" spans="1:8" ht="14.25" customHeight="1">
      <c r="A315" s="646" t="s">
        <v>2196</v>
      </c>
      <c r="B315" s="641" t="s">
        <v>2197</v>
      </c>
      <c r="C315" s="635" t="s">
        <v>92</v>
      </c>
      <c r="D315" s="635" t="s">
        <v>97</v>
      </c>
      <c r="G315" s="606" t="s">
        <v>1109</v>
      </c>
      <c r="H315" s="606" t="s">
        <v>1110</v>
      </c>
    </row>
    <row r="316" spans="1:8" ht="14.25" customHeight="1">
      <c r="A316" s="634" t="s">
        <v>2198</v>
      </c>
      <c r="B316" s="634" t="s">
        <v>2199</v>
      </c>
      <c r="C316" s="635" t="s">
        <v>92</v>
      </c>
      <c r="D316" s="635" t="s">
        <v>97</v>
      </c>
      <c r="G316" s="606" t="s">
        <v>1111</v>
      </c>
      <c r="H316" s="606" t="s">
        <v>1112</v>
      </c>
    </row>
    <row r="317" spans="1:8" ht="14.25" customHeight="1">
      <c r="A317" s="646" t="s">
        <v>2200</v>
      </c>
      <c r="B317" s="641" t="s">
        <v>2201</v>
      </c>
      <c r="C317" s="635" t="s">
        <v>92</v>
      </c>
      <c r="D317" s="635" t="s">
        <v>97</v>
      </c>
      <c r="G317" s="606" t="s">
        <v>1113</v>
      </c>
      <c r="H317" s="606" t="s">
        <v>2202</v>
      </c>
    </row>
    <row r="318" spans="1:8" ht="14.25" customHeight="1">
      <c r="A318" s="646" t="s">
        <v>2203</v>
      </c>
      <c r="B318" s="641" t="s">
        <v>2204</v>
      </c>
      <c r="C318" s="635" t="s">
        <v>92</v>
      </c>
      <c r="D318" s="635" t="s">
        <v>97</v>
      </c>
      <c r="G318" s="606" t="s">
        <v>1114</v>
      </c>
      <c r="H318" s="606" t="s">
        <v>1115</v>
      </c>
    </row>
    <row r="319" spans="1:8" ht="14.25" customHeight="1">
      <c r="A319" s="634" t="s">
        <v>2205</v>
      </c>
      <c r="B319" s="634" t="s">
        <v>2206</v>
      </c>
      <c r="C319" s="635" t="s">
        <v>92</v>
      </c>
      <c r="D319" s="635" t="s">
        <v>97</v>
      </c>
      <c r="G319" s="606" t="s">
        <v>1116</v>
      </c>
      <c r="H319" s="606" t="s">
        <v>1117</v>
      </c>
    </row>
    <row r="320" spans="1:8" ht="14.25" customHeight="1">
      <c r="A320" s="646" t="s">
        <v>2207</v>
      </c>
      <c r="B320" s="641" t="s">
        <v>2208</v>
      </c>
      <c r="C320" s="635" t="s">
        <v>92</v>
      </c>
      <c r="D320" s="635" t="s">
        <v>98</v>
      </c>
      <c r="G320" s="606" t="s">
        <v>1118</v>
      </c>
      <c r="H320" s="606" t="s">
        <v>1119</v>
      </c>
    </row>
    <row r="321" spans="1:8" ht="14.25" customHeight="1">
      <c r="A321" s="634" t="s">
        <v>2209</v>
      </c>
      <c r="B321" s="634" t="s">
        <v>2210</v>
      </c>
      <c r="C321" s="635" t="s">
        <v>92</v>
      </c>
      <c r="D321" s="635" t="s">
        <v>98</v>
      </c>
      <c r="G321" s="606" t="s">
        <v>1120</v>
      </c>
      <c r="H321" s="606" t="s">
        <v>1121</v>
      </c>
    </row>
    <row r="322" spans="1:8" ht="14.25" customHeight="1">
      <c r="A322" s="633" t="s">
        <v>2211</v>
      </c>
      <c r="B322" s="641" t="s">
        <v>2212</v>
      </c>
      <c r="C322" s="635" t="s">
        <v>92</v>
      </c>
      <c r="D322" s="635" t="s">
        <v>98</v>
      </c>
      <c r="G322" s="606" t="s">
        <v>1122</v>
      </c>
      <c r="H322" s="606" t="s">
        <v>1123</v>
      </c>
    </row>
    <row r="323" spans="1:8" ht="14.25" customHeight="1">
      <c r="A323" s="646" t="s">
        <v>2213</v>
      </c>
      <c r="B323" s="641" t="s">
        <v>2214</v>
      </c>
      <c r="C323" s="635" t="s">
        <v>92</v>
      </c>
      <c r="D323" s="635" t="s">
        <v>97</v>
      </c>
      <c r="G323" s="606" t="s">
        <v>1124</v>
      </c>
      <c r="H323" s="606" t="s">
        <v>1125</v>
      </c>
    </row>
    <row r="324" spans="1:8" ht="14.25" customHeight="1">
      <c r="A324" s="646" t="s">
        <v>2215</v>
      </c>
      <c r="B324" s="641" t="s">
        <v>2216</v>
      </c>
      <c r="C324" s="635" t="s">
        <v>92</v>
      </c>
      <c r="D324" s="635" t="s">
        <v>97</v>
      </c>
      <c r="G324" s="606" t="s">
        <v>1126</v>
      </c>
      <c r="H324" s="606" t="s">
        <v>1127</v>
      </c>
    </row>
    <row r="325" spans="1:8" ht="14.25" customHeight="1">
      <c r="A325" s="634" t="s">
        <v>2217</v>
      </c>
      <c r="B325" s="634" t="s">
        <v>2218</v>
      </c>
      <c r="C325" s="635" t="s">
        <v>92</v>
      </c>
      <c r="D325" s="635" t="s">
        <v>97</v>
      </c>
      <c r="G325" s="606" t="s">
        <v>1130</v>
      </c>
      <c r="H325" s="606" t="s">
        <v>1131</v>
      </c>
    </row>
    <row r="326" spans="1:8" ht="14.25" customHeight="1">
      <c r="A326" s="633" t="s">
        <v>2219</v>
      </c>
      <c r="B326" s="644" t="s">
        <v>2220</v>
      </c>
      <c r="C326" s="635" t="s">
        <v>92</v>
      </c>
      <c r="D326" s="635" t="s">
        <v>106</v>
      </c>
      <c r="G326" s="606" t="s">
        <v>744</v>
      </c>
      <c r="H326" s="606" t="s">
        <v>2221</v>
      </c>
    </row>
    <row r="327" spans="1:8" ht="14.25" customHeight="1">
      <c r="A327" s="634" t="s">
        <v>2222</v>
      </c>
      <c r="B327" s="634" t="s">
        <v>2223</v>
      </c>
      <c r="C327" s="635" t="s">
        <v>92</v>
      </c>
      <c r="D327" s="635">
        <v>0</v>
      </c>
      <c r="G327" s="606" t="s">
        <v>1132</v>
      </c>
      <c r="H327" s="606" t="s">
        <v>1133</v>
      </c>
    </row>
    <row r="328" spans="1:8" ht="14.25" customHeight="1">
      <c r="A328" s="641" t="s">
        <v>2224</v>
      </c>
      <c r="B328" s="641" t="s">
        <v>2225</v>
      </c>
      <c r="C328" s="635" t="s">
        <v>92</v>
      </c>
      <c r="D328" s="635" t="s">
        <v>97</v>
      </c>
      <c r="G328" s="606" t="s">
        <v>1134</v>
      </c>
      <c r="H328" s="606" t="s">
        <v>1135</v>
      </c>
    </row>
    <row r="329" spans="1:8" ht="14.25" customHeight="1">
      <c r="A329" s="641" t="s">
        <v>2226</v>
      </c>
      <c r="B329" s="641" t="s">
        <v>2227</v>
      </c>
      <c r="C329" s="635" t="s">
        <v>92</v>
      </c>
      <c r="D329" s="635" t="s">
        <v>97</v>
      </c>
      <c r="G329" s="606" t="s">
        <v>1136</v>
      </c>
      <c r="H329" s="606" t="s">
        <v>1137</v>
      </c>
    </row>
    <row r="330" spans="1:8" ht="14.25" customHeight="1">
      <c r="A330" s="646" t="s">
        <v>2228</v>
      </c>
      <c r="B330" s="641" t="s">
        <v>2229</v>
      </c>
      <c r="C330" s="635" t="s">
        <v>92</v>
      </c>
      <c r="D330" s="635" t="s">
        <v>97</v>
      </c>
      <c r="G330" s="606" t="s">
        <v>1138</v>
      </c>
      <c r="H330" s="606" t="s">
        <v>1139</v>
      </c>
    </row>
    <row r="331" spans="1:8" ht="14.25" customHeight="1">
      <c r="A331" s="634" t="s">
        <v>2230</v>
      </c>
      <c r="B331" s="634" t="s">
        <v>2231</v>
      </c>
      <c r="C331" s="635" t="s">
        <v>92</v>
      </c>
      <c r="D331" s="635" t="s">
        <v>97</v>
      </c>
      <c r="G331" s="606" t="s">
        <v>1140</v>
      </c>
      <c r="H331" s="606" t="s">
        <v>1141</v>
      </c>
    </row>
    <row r="332" spans="1:8" ht="14.25" customHeight="1">
      <c r="A332" s="633" t="s">
        <v>2232</v>
      </c>
      <c r="B332" s="644" t="s">
        <v>2233</v>
      </c>
      <c r="C332" s="635" t="s">
        <v>92</v>
      </c>
      <c r="D332" s="635" t="s">
        <v>103</v>
      </c>
      <c r="G332" s="606" t="s">
        <v>745</v>
      </c>
      <c r="H332" s="606" t="s">
        <v>1153</v>
      </c>
    </row>
    <row r="333" spans="1:8" ht="14.25" customHeight="1">
      <c r="A333" s="634" t="s">
        <v>2234</v>
      </c>
      <c r="B333" s="634" t="s">
        <v>2235</v>
      </c>
      <c r="C333" s="635" t="s">
        <v>92</v>
      </c>
      <c r="D333" s="635" t="s">
        <v>103</v>
      </c>
      <c r="G333" s="606" t="s">
        <v>1142</v>
      </c>
      <c r="H333" s="606" t="s">
        <v>1143</v>
      </c>
    </row>
    <row r="334" spans="1:8" ht="14.25" customHeight="1">
      <c r="A334" s="645" t="s">
        <v>2236</v>
      </c>
      <c r="B334" s="634" t="s">
        <v>2237</v>
      </c>
      <c r="C334" s="635" t="s">
        <v>92</v>
      </c>
      <c r="D334" s="635" t="s">
        <v>102</v>
      </c>
      <c r="G334" s="606" t="s">
        <v>1144</v>
      </c>
      <c r="H334" s="606" t="s">
        <v>1145</v>
      </c>
    </row>
    <row r="335" spans="1:8" ht="14.25" customHeight="1">
      <c r="A335" s="634" t="s">
        <v>2238</v>
      </c>
      <c r="B335" s="634" t="s">
        <v>2239</v>
      </c>
      <c r="C335" s="635" t="s">
        <v>92</v>
      </c>
      <c r="D335" s="635" t="s">
        <v>102</v>
      </c>
      <c r="G335" s="606" t="s">
        <v>1146</v>
      </c>
      <c r="H335" s="606" t="s">
        <v>1147</v>
      </c>
    </row>
    <row r="336" spans="1:8" ht="14.25" customHeight="1">
      <c r="A336" s="645" t="s">
        <v>2240</v>
      </c>
      <c r="B336" s="634" t="s">
        <v>2241</v>
      </c>
      <c r="C336" s="635" t="s">
        <v>92</v>
      </c>
      <c r="D336" s="635" t="s">
        <v>102</v>
      </c>
      <c r="G336" s="606" t="s">
        <v>1148</v>
      </c>
      <c r="H336" s="606" t="s">
        <v>1149</v>
      </c>
    </row>
    <row r="337" spans="1:8" ht="14.25" customHeight="1">
      <c r="A337" s="634" t="s">
        <v>2242</v>
      </c>
      <c r="B337" s="634" t="s">
        <v>2243</v>
      </c>
      <c r="C337" s="635" t="s">
        <v>92</v>
      </c>
      <c r="D337" s="635" t="s">
        <v>102</v>
      </c>
      <c r="G337" s="606" t="s">
        <v>1150</v>
      </c>
      <c r="H337" s="606" t="s">
        <v>1151</v>
      </c>
    </row>
    <row r="338" spans="1:8" ht="14.25" customHeight="1">
      <c r="A338" s="633" t="s">
        <v>2244</v>
      </c>
      <c r="B338" s="641" t="s">
        <v>1997</v>
      </c>
      <c r="C338" s="635" t="s">
        <v>92</v>
      </c>
      <c r="D338" s="635" t="s">
        <v>98</v>
      </c>
      <c r="G338" s="606" t="s">
        <v>1154</v>
      </c>
      <c r="H338" s="606" t="s">
        <v>1155</v>
      </c>
    </row>
    <row r="339" spans="1:8" ht="14.25" customHeight="1">
      <c r="A339" s="646" t="s">
        <v>2245</v>
      </c>
      <c r="B339" s="641" t="s">
        <v>2246</v>
      </c>
      <c r="C339" s="635" t="s">
        <v>92</v>
      </c>
      <c r="D339" s="635" t="s">
        <v>97</v>
      </c>
      <c r="G339" s="606" t="s">
        <v>1156</v>
      </c>
      <c r="H339" s="606" t="s">
        <v>1157</v>
      </c>
    </row>
    <row r="340" spans="1:8" ht="14.25" customHeight="1">
      <c r="A340" s="646" t="s">
        <v>2247</v>
      </c>
      <c r="B340" s="641" t="s">
        <v>2248</v>
      </c>
      <c r="C340" s="635" t="s">
        <v>92</v>
      </c>
      <c r="D340" s="635" t="s">
        <v>97</v>
      </c>
      <c r="G340" s="606" t="s">
        <v>1334</v>
      </c>
      <c r="H340" s="606" t="s">
        <v>2249</v>
      </c>
    </row>
    <row r="341" spans="1:8" ht="14.25" customHeight="1">
      <c r="A341" s="646" t="s">
        <v>2250</v>
      </c>
      <c r="B341" s="641" t="s">
        <v>2251</v>
      </c>
      <c r="C341" s="635" t="s">
        <v>92</v>
      </c>
      <c r="D341" s="635" t="s">
        <v>97</v>
      </c>
      <c r="G341" s="606" t="s">
        <v>1158</v>
      </c>
      <c r="H341" s="606" t="s">
        <v>1159</v>
      </c>
    </row>
    <row r="342" spans="1:8" ht="14.25" customHeight="1">
      <c r="A342" s="634" t="s">
        <v>2252</v>
      </c>
      <c r="B342" s="634" t="s">
        <v>2253</v>
      </c>
      <c r="C342" s="635" t="s">
        <v>92</v>
      </c>
      <c r="D342" s="635" t="s">
        <v>97</v>
      </c>
      <c r="G342" s="606" t="s">
        <v>1160</v>
      </c>
      <c r="H342" s="606" t="s">
        <v>1161</v>
      </c>
    </row>
    <row r="343" spans="1:8" ht="14.25" customHeight="1">
      <c r="A343" s="646" t="s">
        <v>2254</v>
      </c>
      <c r="B343" s="641" t="s">
        <v>2255</v>
      </c>
      <c r="C343" s="635" t="s">
        <v>92</v>
      </c>
      <c r="D343" s="635" t="s">
        <v>98</v>
      </c>
      <c r="G343" s="606" t="s">
        <v>1162</v>
      </c>
      <c r="H343" s="606" t="s">
        <v>1163</v>
      </c>
    </row>
    <row r="344" spans="1:8" ht="14.25" customHeight="1">
      <c r="A344" s="634" t="s">
        <v>2256</v>
      </c>
      <c r="B344" s="634" t="s">
        <v>2257</v>
      </c>
      <c r="C344" s="635" t="s">
        <v>92</v>
      </c>
      <c r="D344" s="635" t="s">
        <v>98</v>
      </c>
      <c r="G344" s="606" t="s">
        <v>1164</v>
      </c>
      <c r="H344" s="606" t="s">
        <v>1165</v>
      </c>
    </row>
    <row r="345" spans="1:8" ht="14.25" customHeight="1">
      <c r="A345" s="645" t="s">
        <v>2258</v>
      </c>
      <c r="B345" s="634" t="s">
        <v>2259</v>
      </c>
      <c r="C345" s="635" t="s">
        <v>92</v>
      </c>
      <c r="D345" s="635" t="s">
        <v>104</v>
      </c>
      <c r="G345" s="606" t="s">
        <v>1166</v>
      </c>
      <c r="H345" s="606" t="s">
        <v>1167</v>
      </c>
    </row>
    <row r="346" spans="1:8" ht="14.25" customHeight="1">
      <c r="A346" s="634" t="s">
        <v>2260</v>
      </c>
      <c r="B346" s="634" t="s">
        <v>2261</v>
      </c>
      <c r="C346" s="635" t="s">
        <v>92</v>
      </c>
      <c r="D346" s="635" t="s">
        <v>97</v>
      </c>
      <c r="G346" s="606" t="s">
        <v>1168</v>
      </c>
      <c r="H346" s="606" t="s">
        <v>1169</v>
      </c>
    </row>
    <row r="347" spans="1:8" ht="14.25" customHeight="1">
      <c r="A347" s="633" t="s">
        <v>2262</v>
      </c>
      <c r="B347" s="644" t="s">
        <v>2263</v>
      </c>
      <c r="C347" s="635" t="s">
        <v>152</v>
      </c>
      <c r="D347" s="635" t="s">
        <v>153</v>
      </c>
      <c r="G347" s="606" t="s">
        <v>1170</v>
      </c>
      <c r="H347" s="606" t="s">
        <v>2264</v>
      </c>
    </row>
    <row r="348" spans="1:8" ht="14.25" customHeight="1">
      <c r="A348" s="633" t="s">
        <v>2265</v>
      </c>
      <c r="B348" s="644" t="s">
        <v>2266</v>
      </c>
      <c r="C348" s="635" t="s">
        <v>152</v>
      </c>
      <c r="D348" s="635" t="s">
        <v>186</v>
      </c>
      <c r="G348" s="606" t="s">
        <v>1101</v>
      </c>
      <c r="H348" s="606" t="s">
        <v>2267</v>
      </c>
    </row>
    <row r="349" spans="1:8" ht="14.25" customHeight="1">
      <c r="A349" s="634" t="s">
        <v>2268</v>
      </c>
      <c r="B349" s="634" t="s">
        <v>2269</v>
      </c>
      <c r="C349" s="635" t="s">
        <v>152</v>
      </c>
      <c r="D349" s="635" t="s">
        <v>153</v>
      </c>
      <c r="G349" s="606" t="s">
        <v>1171</v>
      </c>
      <c r="H349" s="606" t="s">
        <v>2270</v>
      </c>
    </row>
    <row r="350" spans="1:8" ht="14.25" customHeight="1">
      <c r="A350" s="633" t="s">
        <v>2271</v>
      </c>
      <c r="B350" s="644" t="s">
        <v>2272</v>
      </c>
      <c r="C350" s="635" t="s">
        <v>152</v>
      </c>
      <c r="D350" s="635" t="s">
        <v>106</v>
      </c>
      <c r="G350" s="606" t="s">
        <v>1105</v>
      </c>
      <c r="H350" s="606" t="s">
        <v>2273</v>
      </c>
    </row>
    <row r="351" spans="1:8" ht="14.25" customHeight="1">
      <c r="A351" s="634" t="s">
        <v>2274</v>
      </c>
      <c r="B351" s="634" t="s">
        <v>2275</v>
      </c>
      <c r="C351" s="635" t="s">
        <v>152</v>
      </c>
      <c r="D351" s="635" t="s">
        <v>106</v>
      </c>
      <c r="G351" s="606" t="s">
        <v>1107</v>
      </c>
      <c r="H351" s="606" t="s">
        <v>2276</v>
      </c>
    </row>
    <row r="352" spans="1:8" ht="14.25" customHeight="1">
      <c r="A352" s="633" t="s">
        <v>2277</v>
      </c>
      <c r="B352" s="644" t="s">
        <v>2278</v>
      </c>
      <c r="C352" s="635" t="s">
        <v>152</v>
      </c>
      <c r="D352" s="635" t="s">
        <v>156</v>
      </c>
      <c r="G352" s="606" t="s">
        <v>1109</v>
      </c>
      <c r="H352" s="606" t="s">
        <v>2279</v>
      </c>
    </row>
    <row r="353" spans="1:8" ht="14.25" customHeight="1">
      <c r="A353" s="634" t="s">
        <v>2280</v>
      </c>
      <c r="B353" s="634" t="s">
        <v>2281</v>
      </c>
      <c r="C353" s="635" t="s">
        <v>152</v>
      </c>
      <c r="D353" s="635" t="s">
        <v>156</v>
      </c>
      <c r="G353" s="606" t="s">
        <v>746</v>
      </c>
      <c r="H353" s="606" t="s">
        <v>2282</v>
      </c>
    </row>
    <row r="354" spans="1:8" ht="14.25" customHeight="1">
      <c r="A354" s="633" t="s">
        <v>2283</v>
      </c>
      <c r="B354" s="644" t="s">
        <v>2284</v>
      </c>
      <c r="C354" s="635" t="s">
        <v>152</v>
      </c>
      <c r="D354" s="635" t="s">
        <v>156</v>
      </c>
      <c r="G354" s="606" t="s">
        <v>1111</v>
      </c>
      <c r="H354" s="606" t="s">
        <v>2285</v>
      </c>
    </row>
    <row r="355" spans="1:8" ht="14.25" customHeight="1">
      <c r="A355" s="634" t="s">
        <v>2286</v>
      </c>
      <c r="B355" s="634" t="s">
        <v>2287</v>
      </c>
      <c r="C355" s="635" t="s">
        <v>152</v>
      </c>
      <c r="D355" s="635" t="s">
        <v>156</v>
      </c>
      <c r="G355" s="606" t="s">
        <v>1172</v>
      </c>
      <c r="H355" s="606" t="s">
        <v>2288</v>
      </c>
    </row>
    <row r="356" spans="1:8" ht="14.25" customHeight="1">
      <c r="A356" s="633" t="s">
        <v>2289</v>
      </c>
      <c r="B356" s="644" t="s">
        <v>2290</v>
      </c>
      <c r="C356" s="635" t="s">
        <v>152</v>
      </c>
      <c r="D356" s="635" t="s">
        <v>153</v>
      </c>
      <c r="G356" s="606" t="s">
        <v>747</v>
      </c>
      <c r="H356" s="606" t="s">
        <v>2291</v>
      </c>
    </row>
    <row r="357" spans="1:8" ht="14.25" customHeight="1">
      <c r="A357" s="644" t="s">
        <v>2292</v>
      </c>
      <c r="B357" s="644" t="s">
        <v>2293</v>
      </c>
      <c r="C357" s="635" t="s">
        <v>152</v>
      </c>
      <c r="D357" s="635" t="s">
        <v>153</v>
      </c>
      <c r="G357" s="606" t="s">
        <v>1114</v>
      </c>
      <c r="H357" s="606" t="s">
        <v>2294</v>
      </c>
    </row>
    <row r="358" spans="1:8" ht="14.25" customHeight="1">
      <c r="A358" s="633" t="s">
        <v>2295</v>
      </c>
      <c r="B358" s="644" t="s">
        <v>2296</v>
      </c>
      <c r="C358" s="635" t="s">
        <v>152</v>
      </c>
      <c r="D358" s="635" t="s">
        <v>153</v>
      </c>
      <c r="G358" s="606" t="s">
        <v>1116</v>
      </c>
      <c r="H358" s="606" t="s">
        <v>2297</v>
      </c>
    </row>
    <row r="359" spans="1:8" ht="14.25" customHeight="1">
      <c r="A359" s="633" t="s">
        <v>2298</v>
      </c>
      <c r="B359" s="644" t="s">
        <v>2299</v>
      </c>
      <c r="C359" s="635" t="s">
        <v>152</v>
      </c>
      <c r="D359" s="635" t="s">
        <v>153</v>
      </c>
      <c r="G359" s="606" t="s">
        <v>1118</v>
      </c>
      <c r="H359" s="606" t="s">
        <v>2300</v>
      </c>
    </row>
    <row r="360" spans="1:8" ht="14.25" customHeight="1">
      <c r="A360" s="633" t="s">
        <v>2301</v>
      </c>
      <c r="B360" s="644" t="s">
        <v>2302</v>
      </c>
      <c r="C360" s="635" t="s">
        <v>152</v>
      </c>
      <c r="D360" s="635" t="s">
        <v>153</v>
      </c>
      <c r="G360" s="606" t="s">
        <v>1173</v>
      </c>
      <c r="H360" s="606" t="s">
        <v>2303</v>
      </c>
    </row>
    <row r="361" spans="1:8" ht="14.25" customHeight="1">
      <c r="A361" s="633" t="s">
        <v>2301</v>
      </c>
      <c r="B361" s="644" t="s">
        <v>2302</v>
      </c>
      <c r="C361" s="635" t="s">
        <v>152</v>
      </c>
      <c r="D361" s="635" t="s">
        <v>153</v>
      </c>
      <c r="G361" s="606" t="s">
        <v>1174</v>
      </c>
      <c r="H361" s="606" t="s">
        <v>2304</v>
      </c>
    </row>
    <row r="362" spans="1:8" ht="14.25" customHeight="1">
      <c r="A362" s="633" t="s">
        <v>2305</v>
      </c>
      <c r="B362" s="644" t="s">
        <v>2306</v>
      </c>
      <c r="C362" s="635" t="s">
        <v>152</v>
      </c>
      <c r="D362" s="635" t="s">
        <v>186</v>
      </c>
      <c r="G362" s="606" t="s">
        <v>1124</v>
      </c>
      <c r="H362" s="606" t="s">
        <v>2307</v>
      </c>
    </row>
    <row r="363" spans="1:8" ht="14.25" customHeight="1">
      <c r="A363" s="633" t="s">
        <v>2308</v>
      </c>
      <c r="B363" s="644" t="s">
        <v>2309</v>
      </c>
      <c r="C363" s="635" t="s">
        <v>152</v>
      </c>
      <c r="D363" s="635" t="s">
        <v>186</v>
      </c>
      <c r="G363" s="606" t="s">
        <v>1126</v>
      </c>
      <c r="H363" s="606" t="s">
        <v>2310</v>
      </c>
    </row>
    <row r="364" spans="1:8" ht="14.25" customHeight="1">
      <c r="A364" s="633" t="s">
        <v>2311</v>
      </c>
      <c r="B364" s="644" t="s">
        <v>2312</v>
      </c>
      <c r="C364" s="635" t="s">
        <v>152</v>
      </c>
      <c r="D364" s="635" t="s">
        <v>186</v>
      </c>
      <c r="G364" s="606" t="s">
        <v>1176</v>
      </c>
      <c r="H364" s="606" t="s">
        <v>2313</v>
      </c>
    </row>
    <row r="365" spans="1:8" ht="14.25" customHeight="1">
      <c r="A365" s="633" t="s">
        <v>2314</v>
      </c>
      <c r="B365" s="644" t="s">
        <v>2315</v>
      </c>
      <c r="C365" s="635" t="s">
        <v>152</v>
      </c>
      <c r="D365" s="635" t="s">
        <v>153</v>
      </c>
      <c r="G365" s="606" t="s">
        <v>748</v>
      </c>
      <c r="H365" s="606" t="s">
        <v>2316</v>
      </c>
    </row>
    <row r="366" spans="1:8" ht="14.25" customHeight="1">
      <c r="A366" s="633" t="s">
        <v>2317</v>
      </c>
      <c r="B366" s="644" t="s">
        <v>2318</v>
      </c>
      <c r="C366" s="635" t="s">
        <v>152</v>
      </c>
      <c r="D366" s="635" t="s">
        <v>186</v>
      </c>
      <c r="G366" s="606" t="s">
        <v>1132</v>
      </c>
      <c r="H366" s="606" t="s">
        <v>2319</v>
      </c>
    </row>
    <row r="367" spans="1:8" ht="14.25" customHeight="1">
      <c r="A367" s="633" t="s">
        <v>1379</v>
      </c>
      <c r="B367" s="644" t="s">
        <v>2320</v>
      </c>
      <c r="C367" s="635" t="s">
        <v>161</v>
      </c>
      <c r="D367" s="635" t="s">
        <v>164</v>
      </c>
      <c r="G367" s="606" t="s">
        <v>1134</v>
      </c>
      <c r="H367" s="606" t="s">
        <v>2321</v>
      </c>
    </row>
    <row r="368" spans="1:8" ht="14.25" customHeight="1">
      <c r="A368" s="634" t="s">
        <v>2322</v>
      </c>
      <c r="B368" s="634" t="s">
        <v>2323</v>
      </c>
      <c r="C368" s="635" t="s">
        <v>161</v>
      </c>
      <c r="D368" s="635" t="s">
        <v>164</v>
      </c>
      <c r="G368" s="606" t="s">
        <v>1136</v>
      </c>
      <c r="H368" s="606" t="s">
        <v>2324</v>
      </c>
    </row>
    <row r="369" spans="1:8" ht="14.25" customHeight="1">
      <c r="A369" s="633" t="s">
        <v>2325</v>
      </c>
      <c r="B369" s="644" t="s">
        <v>2326</v>
      </c>
      <c r="C369" s="635" t="s">
        <v>161</v>
      </c>
      <c r="D369" s="635" t="s">
        <v>168</v>
      </c>
      <c r="G369" s="606" t="s">
        <v>1138</v>
      </c>
      <c r="H369" s="606" t="s">
        <v>2327</v>
      </c>
    </row>
    <row r="370" spans="1:8" ht="14.25" customHeight="1">
      <c r="A370" s="634" t="s">
        <v>2328</v>
      </c>
      <c r="B370" s="634" t="s">
        <v>2329</v>
      </c>
      <c r="C370" s="635" t="s">
        <v>161</v>
      </c>
      <c r="D370" s="635" t="s">
        <v>168</v>
      </c>
      <c r="G370" s="606" t="s">
        <v>1140</v>
      </c>
      <c r="H370" s="606" t="s">
        <v>2330</v>
      </c>
    </row>
    <row r="371" spans="1:8" ht="14.25" customHeight="1">
      <c r="A371" s="633" t="s">
        <v>2331</v>
      </c>
      <c r="B371" s="644" t="s">
        <v>2332</v>
      </c>
      <c r="C371" s="635" t="s">
        <v>161</v>
      </c>
      <c r="D371" s="635" t="s">
        <v>166</v>
      </c>
      <c r="G371" s="606" t="s">
        <v>1142</v>
      </c>
      <c r="H371" s="606" t="s">
        <v>2333</v>
      </c>
    </row>
    <row r="372" spans="1:8" ht="14.25" customHeight="1">
      <c r="A372" s="634" t="s">
        <v>2334</v>
      </c>
      <c r="B372" s="634" t="s">
        <v>2335</v>
      </c>
      <c r="C372" s="635" t="s">
        <v>161</v>
      </c>
      <c r="D372" s="635" t="s">
        <v>166</v>
      </c>
      <c r="G372" s="606" t="s">
        <v>1144</v>
      </c>
      <c r="H372" s="606" t="s">
        <v>2336</v>
      </c>
    </row>
    <row r="373" spans="1:8" ht="14.25" customHeight="1">
      <c r="A373" s="633" t="s">
        <v>2337</v>
      </c>
      <c r="B373" s="644" t="s">
        <v>2338</v>
      </c>
      <c r="C373" s="635" t="s">
        <v>161</v>
      </c>
      <c r="D373" s="635" t="s">
        <v>167</v>
      </c>
      <c r="G373" s="606" t="s">
        <v>1146</v>
      </c>
      <c r="H373" s="606" t="s">
        <v>2339</v>
      </c>
    </row>
    <row r="374" spans="1:8" ht="14.25" customHeight="1">
      <c r="A374" s="645" t="s">
        <v>2340</v>
      </c>
      <c r="B374" s="634" t="s">
        <v>2341</v>
      </c>
      <c r="C374" s="635" t="s">
        <v>161</v>
      </c>
      <c r="D374" s="635" t="s">
        <v>167</v>
      </c>
      <c r="G374" s="606" t="s">
        <v>1148</v>
      </c>
      <c r="H374" s="606" t="s">
        <v>2342</v>
      </c>
    </row>
    <row r="375" spans="1:8" ht="14.25" customHeight="1">
      <c r="A375" s="633" t="s">
        <v>2343</v>
      </c>
      <c r="B375" s="644" t="s">
        <v>2344</v>
      </c>
      <c r="C375" s="635" t="s">
        <v>161</v>
      </c>
      <c r="D375" s="635" t="s">
        <v>166</v>
      </c>
      <c r="G375" s="606" t="s">
        <v>1177</v>
      </c>
      <c r="H375" s="606" t="s">
        <v>2345</v>
      </c>
    </row>
    <row r="376" spans="1:8" ht="14.25" customHeight="1">
      <c r="A376" s="645" t="s">
        <v>2346</v>
      </c>
      <c r="B376" s="634" t="s">
        <v>2347</v>
      </c>
      <c r="C376" s="635" t="s">
        <v>161</v>
      </c>
      <c r="D376" s="635" t="s">
        <v>166</v>
      </c>
      <c r="G376" s="606" t="s">
        <v>1154</v>
      </c>
      <c r="H376" s="606" t="s">
        <v>2348</v>
      </c>
    </row>
    <row r="377" spans="1:8" ht="14.25" customHeight="1">
      <c r="A377" s="633" t="s">
        <v>2349</v>
      </c>
      <c r="B377" s="644" t="s">
        <v>2350</v>
      </c>
      <c r="C377" s="635" t="s">
        <v>1270</v>
      </c>
      <c r="D377" s="635" t="s">
        <v>172</v>
      </c>
      <c r="G377" s="606" t="s">
        <v>1156</v>
      </c>
      <c r="H377" s="606" t="s">
        <v>2351</v>
      </c>
    </row>
    <row r="378" spans="1:8" ht="14.25" customHeight="1">
      <c r="A378" s="633" t="s">
        <v>2352</v>
      </c>
      <c r="B378" s="644" t="s">
        <v>2353</v>
      </c>
      <c r="C378" s="635" t="s">
        <v>180</v>
      </c>
      <c r="D378" s="635" t="s">
        <v>192</v>
      </c>
      <c r="G378" s="606" t="s">
        <v>1334</v>
      </c>
      <c r="H378" s="606" t="s">
        <v>2354</v>
      </c>
    </row>
    <row r="379" spans="1:8" ht="14.25" customHeight="1">
      <c r="A379" s="645" t="s">
        <v>2355</v>
      </c>
      <c r="B379" s="634" t="s">
        <v>2356</v>
      </c>
      <c r="C379" s="635" t="s">
        <v>161</v>
      </c>
      <c r="D379" s="635" t="s">
        <v>97</v>
      </c>
      <c r="G379" s="606" t="s">
        <v>1180</v>
      </c>
      <c r="H379" s="606" t="s">
        <v>2357</v>
      </c>
    </row>
    <row r="380" spans="1:8" ht="14.25" customHeight="1">
      <c r="A380" s="633" t="s">
        <v>2358</v>
      </c>
      <c r="B380" s="644" t="s">
        <v>2359</v>
      </c>
      <c r="C380" s="635" t="s">
        <v>161</v>
      </c>
      <c r="D380" s="635" t="s">
        <v>1284</v>
      </c>
      <c r="G380" s="606" t="s">
        <v>1181</v>
      </c>
      <c r="H380" s="606" t="s">
        <v>2360</v>
      </c>
    </row>
    <row r="381" spans="1:8" ht="14.25" customHeight="1">
      <c r="A381" s="633" t="s">
        <v>2361</v>
      </c>
      <c r="B381" s="644" t="s">
        <v>2362</v>
      </c>
      <c r="C381" s="635" t="s">
        <v>161</v>
      </c>
      <c r="D381" s="635" t="s">
        <v>172</v>
      </c>
      <c r="G381" s="606" t="s">
        <v>1182</v>
      </c>
      <c r="H381" s="606" t="s">
        <v>2363</v>
      </c>
    </row>
    <row r="382" spans="1:8" ht="14.25" customHeight="1">
      <c r="A382" s="645" t="s">
        <v>2364</v>
      </c>
      <c r="B382" s="634" t="s">
        <v>2365</v>
      </c>
      <c r="C382" s="635" t="s">
        <v>161</v>
      </c>
      <c r="D382" s="635" t="s">
        <v>172</v>
      </c>
      <c r="G382" s="606" t="s">
        <v>1183</v>
      </c>
      <c r="H382" s="606" t="s">
        <v>2366</v>
      </c>
    </row>
    <row r="383" spans="1:8" ht="14.25" customHeight="1">
      <c r="A383" s="633" t="s">
        <v>2367</v>
      </c>
      <c r="B383" s="644" t="s">
        <v>2368</v>
      </c>
      <c r="C383" s="635" t="s">
        <v>161</v>
      </c>
      <c r="D383" s="635" t="s">
        <v>172</v>
      </c>
      <c r="G383" s="606" t="s">
        <v>1184</v>
      </c>
      <c r="H383" s="606" t="s">
        <v>2369</v>
      </c>
    </row>
    <row r="384" spans="1:8" ht="14.25" customHeight="1">
      <c r="A384" s="645" t="s">
        <v>2370</v>
      </c>
      <c r="B384" s="634" t="s">
        <v>2371</v>
      </c>
      <c r="C384" s="635" t="s">
        <v>161</v>
      </c>
      <c r="D384" s="635" t="s">
        <v>172</v>
      </c>
      <c r="G384" s="606" t="s">
        <v>1185</v>
      </c>
      <c r="H384" s="606" t="s">
        <v>2372</v>
      </c>
    </row>
    <row r="385" spans="1:8" ht="14.25" customHeight="1">
      <c r="A385" s="633" t="s">
        <v>2373</v>
      </c>
      <c r="B385" s="644" t="s">
        <v>2374</v>
      </c>
      <c r="C385" s="635" t="s">
        <v>161</v>
      </c>
      <c r="D385" s="635" t="s">
        <v>172</v>
      </c>
      <c r="G385" s="606" t="s">
        <v>1186</v>
      </c>
      <c r="H385" s="606" t="s">
        <v>2375</v>
      </c>
    </row>
    <row r="386" spans="1:8" ht="14.25" customHeight="1">
      <c r="A386" s="634" t="s">
        <v>2376</v>
      </c>
      <c r="B386" s="634" t="s">
        <v>2377</v>
      </c>
      <c r="C386" s="635" t="s">
        <v>161</v>
      </c>
      <c r="D386" s="635" t="s">
        <v>172</v>
      </c>
      <c r="G386" s="606" t="s">
        <v>1188</v>
      </c>
      <c r="H386" s="606" t="s">
        <v>2378</v>
      </c>
    </row>
    <row r="387" spans="1:8" ht="14.25" customHeight="1">
      <c r="A387" s="633" t="s">
        <v>2379</v>
      </c>
      <c r="B387" s="644" t="s">
        <v>2380</v>
      </c>
      <c r="C387" s="635" t="s">
        <v>176</v>
      </c>
      <c r="D387" s="635" t="s">
        <v>177</v>
      </c>
      <c r="G387" s="606" t="s">
        <v>1111</v>
      </c>
      <c r="H387" s="606" t="s">
        <v>2381</v>
      </c>
    </row>
    <row r="388" spans="1:8" ht="14.25" customHeight="1">
      <c r="A388" s="634" t="s">
        <v>2382</v>
      </c>
      <c r="B388" s="634" t="s">
        <v>2383</v>
      </c>
      <c r="C388" s="635" t="s">
        <v>176</v>
      </c>
      <c r="D388" s="635" t="s">
        <v>177</v>
      </c>
      <c r="G388" s="606" t="s">
        <v>1114</v>
      </c>
      <c r="H388" s="606" t="s">
        <v>2384</v>
      </c>
    </row>
    <row r="389" spans="1:8" ht="14.25" customHeight="1">
      <c r="A389" s="633" t="s">
        <v>2385</v>
      </c>
      <c r="B389" s="644" t="s">
        <v>2386</v>
      </c>
      <c r="C389" s="635" t="s">
        <v>176</v>
      </c>
      <c r="D389" s="635" t="s">
        <v>177</v>
      </c>
      <c r="G389" s="606" t="s">
        <v>1116</v>
      </c>
      <c r="H389" s="606" t="s">
        <v>2387</v>
      </c>
    </row>
    <row r="390" spans="1:8" ht="14.25" customHeight="1">
      <c r="A390" s="634" t="s">
        <v>2388</v>
      </c>
      <c r="B390" s="634" t="s">
        <v>2389</v>
      </c>
      <c r="C390" s="635" t="s">
        <v>176</v>
      </c>
      <c r="D390" s="635" t="s">
        <v>177</v>
      </c>
      <c r="G390" s="606" t="s">
        <v>1189</v>
      </c>
      <c r="H390" s="606" t="s">
        <v>2390</v>
      </c>
    </row>
    <row r="391" spans="1:8" ht="14.25" customHeight="1">
      <c r="A391" s="633" t="s">
        <v>2391</v>
      </c>
      <c r="B391" s="644" t="s">
        <v>2392</v>
      </c>
      <c r="C391" s="635" t="s">
        <v>176</v>
      </c>
      <c r="D391" s="635" t="s">
        <v>177</v>
      </c>
      <c r="G391" s="606" t="s">
        <v>1120</v>
      </c>
      <c r="H391" s="606" t="s">
        <v>2393</v>
      </c>
    </row>
    <row r="392" spans="1:8" ht="14.25" customHeight="1">
      <c r="A392" s="634" t="s">
        <v>2394</v>
      </c>
      <c r="B392" s="634" t="s">
        <v>2395</v>
      </c>
      <c r="C392" s="635" t="s">
        <v>176</v>
      </c>
      <c r="D392" s="635" t="s">
        <v>177</v>
      </c>
      <c r="G392" s="606" t="s">
        <v>1190</v>
      </c>
      <c r="H392" s="606" t="s">
        <v>2396</v>
      </c>
    </row>
    <row r="393" spans="1:8" ht="14.25" customHeight="1">
      <c r="A393" s="633" t="s">
        <v>2397</v>
      </c>
      <c r="B393" s="644" t="s">
        <v>2398</v>
      </c>
      <c r="C393" s="635" t="s">
        <v>152</v>
      </c>
      <c r="D393" s="635" t="s">
        <v>153</v>
      </c>
      <c r="G393" s="606" t="s">
        <v>1192</v>
      </c>
      <c r="H393" s="606" t="s">
        <v>2399</v>
      </c>
    </row>
    <row r="394" spans="1:8" ht="14.25" customHeight="1">
      <c r="A394" s="634" t="s">
        <v>2400</v>
      </c>
      <c r="B394" s="634" t="s">
        <v>2401</v>
      </c>
      <c r="C394" s="635" t="s">
        <v>152</v>
      </c>
      <c r="D394" s="635" t="s">
        <v>153</v>
      </c>
      <c r="G394" s="606" t="s">
        <v>1124</v>
      </c>
      <c r="H394" s="606" t="s">
        <v>2402</v>
      </c>
    </row>
    <row r="395" spans="1:8" ht="14.25" customHeight="1">
      <c r="A395" s="633" t="s">
        <v>2403</v>
      </c>
      <c r="B395" s="644" t="s">
        <v>2404</v>
      </c>
      <c r="C395" s="635" t="s">
        <v>152</v>
      </c>
      <c r="D395" s="635" t="s">
        <v>153</v>
      </c>
      <c r="G395" s="606" t="s">
        <v>1126</v>
      </c>
      <c r="H395" s="606" t="s">
        <v>2405</v>
      </c>
    </row>
    <row r="396" spans="1:8" ht="14.25" customHeight="1">
      <c r="A396" s="634" t="s">
        <v>2406</v>
      </c>
      <c r="B396" s="634" t="s">
        <v>2407</v>
      </c>
      <c r="C396" s="635" t="s">
        <v>152</v>
      </c>
      <c r="D396" s="635" t="s">
        <v>153</v>
      </c>
      <c r="G396" s="606" t="s">
        <v>1193</v>
      </c>
      <c r="H396" s="606" t="s">
        <v>2408</v>
      </c>
    </row>
    <row r="397" spans="1:8" ht="14.25" customHeight="1">
      <c r="A397" s="633" t="s">
        <v>2409</v>
      </c>
      <c r="B397" s="644" t="s">
        <v>2410</v>
      </c>
      <c r="C397" s="635" t="s">
        <v>152</v>
      </c>
      <c r="D397" s="635" t="s">
        <v>153</v>
      </c>
      <c r="G397" s="606" t="s">
        <v>1176</v>
      </c>
      <c r="H397" s="606" t="s">
        <v>2411</v>
      </c>
    </row>
    <row r="398" spans="1:8" ht="14.25" customHeight="1">
      <c r="A398" s="634" t="s">
        <v>2412</v>
      </c>
      <c r="B398" s="634" t="s">
        <v>2413</v>
      </c>
      <c r="C398" s="635" t="s">
        <v>152</v>
      </c>
      <c r="D398" s="635" t="s">
        <v>153</v>
      </c>
      <c r="G398" s="606" t="s">
        <v>749</v>
      </c>
      <c r="H398" s="606" t="s">
        <v>2414</v>
      </c>
    </row>
    <row r="399" spans="1:8" ht="14.25" customHeight="1">
      <c r="A399" s="633" t="s">
        <v>2415</v>
      </c>
      <c r="B399" s="644" t="s">
        <v>2416</v>
      </c>
      <c r="C399" s="635" t="s">
        <v>152</v>
      </c>
      <c r="D399" s="635" t="s">
        <v>153</v>
      </c>
      <c r="G399" s="606" t="s">
        <v>1194</v>
      </c>
      <c r="H399" s="606" t="s">
        <v>2417</v>
      </c>
    </row>
    <row r="400" spans="1:8" ht="14.25" customHeight="1">
      <c r="A400" s="633" t="s">
        <v>2418</v>
      </c>
      <c r="B400" s="644" t="s">
        <v>2419</v>
      </c>
      <c r="C400" s="635" t="s">
        <v>152</v>
      </c>
      <c r="D400" s="635" t="s">
        <v>153</v>
      </c>
      <c r="G400" s="606" t="s">
        <v>1132</v>
      </c>
      <c r="H400" s="606" t="s">
        <v>2420</v>
      </c>
    </row>
    <row r="401" spans="1:8" ht="14.25" customHeight="1">
      <c r="A401" s="634" t="s">
        <v>2421</v>
      </c>
      <c r="B401" s="634" t="s">
        <v>2422</v>
      </c>
      <c r="C401" s="635" t="s">
        <v>152</v>
      </c>
      <c r="D401" s="635" t="s">
        <v>153</v>
      </c>
      <c r="G401" s="606" t="s">
        <v>1134</v>
      </c>
      <c r="H401" s="606" t="s">
        <v>2423</v>
      </c>
    </row>
    <row r="402" spans="1:8" ht="14.25" customHeight="1">
      <c r="A402" s="633" t="s">
        <v>2424</v>
      </c>
      <c r="B402" s="644" t="s">
        <v>2425</v>
      </c>
      <c r="C402" s="635" t="s">
        <v>152</v>
      </c>
      <c r="D402" s="635" t="s">
        <v>153</v>
      </c>
      <c r="G402" s="606" t="s">
        <v>1136</v>
      </c>
      <c r="H402" s="606" t="s">
        <v>2426</v>
      </c>
    </row>
    <row r="403" spans="1:8" ht="14.25" customHeight="1">
      <c r="A403" s="634" t="s">
        <v>2427</v>
      </c>
      <c r="B403" s="634" t="s">
        <v>2428</v>
      </c>
      <c r="C403" s="635" t="s">
        <v>152</v>
      </c>
      <c r="D403" s="635" t="s">
        <v>153</v>
      </c>
      <c r="G403" s="606" t="s">
        <v>1195</v>
      </c>
      <c r="H403" s="606" t="s">
        <v>2429</v>
      </c>
    </row>
    <row r="404" spans="1:8" ht="14.25" customHeight="1">
      <c r="A404" s="633" t="s">
        <v>2430</v>
      </c>
      <c r="B404" s="644" t="s">
        <v>2431</v>
      </c>
      <c r="C404" s="635" t="s">
        <v>152</v>
      </c>
      <c r="D404" s="635" t="s">
        <v>153</v>
      </c>
      <c r="G404" s="606" t="s">
        <v>1140</v>
      </c>
      <c r="H404" s="606" t="s">
        <v>2432</v>
      </c>
    </row>
    <row r="405" spans="1:8" ht="14.25" customHeight="1">
      <c r="A405" s="634" t="s">
        <v>2433</v>
      </c>
      <c r="B405" s="634" t="s">
        <v>2434</v>
      </c>
      <c r="C405" s="635" t="s">
        <v>152</v>
      </c>
      <c r="D405" s="635" t="s">
        <v>153</v>
      </c>
      <c r="G405" s="606" t="s">
        <v>1142</v>
      </c>
      <c r="H405" s="606" t="s">
        <v>2435</v>
      </c>
    </row>
    <row r="406" spans="1:8" ht="14.25" customHeight="1">
      <c r="A406" s="633" t="s">
        <v>2436</v>
      </c>
      <c r="B406" s="644" t="s">
        <v>2437</v>
      </c>
      <c r="C406" s="635" t="s">
        <v>152</v>
      </c>
      <c r="D406" s="635" t="s">
        <v>153</v>
      </c>
      <c r="G406" s="606" t="s">
        <v>1144</v>
      </c>
      <c r="H406" s="606" t="s">
        <v>2438</v>
      </c>
    </row>
    <row r="407" spans="1:8" ht="14.25" customHeight="1">
      <c r="A407" s="634" t="s">
        <v>2439</v>
      </c>
      <c r="B407" s="634" t="s">
        <v>2440</v>
      </c>
      <c r="C407" s="635" t="s">
        <v>152</v>
      </c>
      <c r="D407" s="635" t="s">
        <v>153</v>
      </c>
      <c r="G407" s="606" t="s">
        <v>1146</v>
      </c>
      <c r="H407" s="606" t="s">
        <v>2441</v>
      </c>
    </row>
    <row r="408" spans="1:8" ht="14.25" customHeight="1">
      <c r="A408" s="633" t="s">
        <v>2442</v>
      </c>
      <c r="B408" s="644" t="s">
        <v>2443</v>
      </c>
      <c r="C408" s="635" t="s">
        <v>152</v>
      </c>
      <c r="D408" s="635" t="s">
        <v>153</v>
      </c>
      <c r="G408" s="606" t="s">
        <v>1148</v>
      </c>
      <c r="H408" s="606" t="s">
        <v>2444</v>
      </c>
    </row>
    <row r="409" spans="1:8" ht="14.25" customHeight="1">
      <c r="A409" s="633" t="s">
        <v>2445</v>
      </c>
      <c r="B409" s="644" t="s">
        <v>2446</v>
      </c>
      <c r="C409" s="635" t="s">
        <v>152</v>
      </c>
      <c r="D409" s="635" t="s">
        <v>153</v>
      </c>
      <c r="G409" s="606" t="s">
        <v>1196</v>
      </c>
      <c r="H409" s="606" t="s">
        <v>2447</v>
      </c>
    </row>
    <row r="410" spans="1:8" ht="14.25" customHeight="1">
      <c r="A410" s="634" t="s">
        <v>2448</v>
      </c>
      <c r="B410" s="634" t="s">
        <v>2449</v>
      </c>
      <c r="C410" s="635" t="s">
        <v>152</v>
      </c>
      <c r="D410" s="635" t="s">
        <v>153</v>
      </c>
      <c r="G410" s="606" t="s">
        <v>1154</v>
      </c>
      <c r="H410" s="606" t="s">
        <v>2450</v>
      </c>
    </row>
    <row r="411" spans="1:8" ht="14.25" customHeight="1">
      <c r="A411" s="633" t="s">
        <v>2451</v>
      </c>
      <c r="B411" s="644" t="s">
        <v>2452</v>
      </c>
      <c r="C411" s="635" t="s">
        <v>152</v>
      </c>
      <c r="D411" s="635" t="s">
        <v>153</v>
      </c>
      <c r="G411" s="606" t="s">
        <v>1156</v>
      </c>
      <c r="H411" s="606" t="s">
        <v>2453</v>
      </c>
    </row>
    <row r="412" spans="1:8" ht="14.25" customHeight="1">
      <c r="A412" s="634" t="s">
        <v>2454</v>
      </c>
      <c r="B412" s="634" t="s">
        <v>2455</v>
      </c>
      <c r="C412" s="635" t="s">
        <v>152</v>
      </c>
      <c r="D412" s="635" t="s">
        <v>153</v>
      </c>
      <c r="G412" s="606" t="s">
        <v>1334</v>
      </c>
      <c r="H412" s="606" t="s">
        <v>2456</v>
      </c>
    </row>
    <row r="413" spans="1:8" ht="14.25" customHeight="1">
      <c r="A413" s="633" t="s">
        <v>2457</v>
      </c>
      <c r="B413" s="644" t="s">
        <v>2458</v>
      </c>
      <c r="C413" s="635" t="s">
        <v>152</v>
      </c>
      <c r="D413" s="635" t="s">
        <v>153</v>
      </c>
      <c r="G413" s="606" t="s">
        <v>1199</v>
      </c>
      <c r="H413" s="606" t="s">
        <v>2459</v>
      </c>
    </row>
    <row r="414" spans="1:8" ht="14.25" customHeight="1">
      <c r="A414" s="633" t="s">
        <v>2460</v>
      </c>
      <c r="B414" s="644" t="s">
        <v>2461</v>
      </c>
      <c r="C414" s="635" t="s">
        <v>152</v>
      </c>
      <c r="D414" s="635" t="s">
        <v>153</v>
      </c>
      <c r="G414" s="606" t="s">
        <v>1201</v>
      </c>
      <c r="H414" s="606" t="s">
        <v>2462</v>
      </c>
    </row>
    <row r="415" spans="1:8" ht="14.25" customHeight="1">
      <c r="A415" s="633" t="s">
        <v>2463</v>
      </c>
      <c r="B415" s="644" t="s">
        <v>2464</v>
      </c>
      <c r="C415" s="635" t="s">
        <v>152</v>
      </c>
      <c r="D415" s="635" t="s">
        <v>153</v>
      </c>
      <c r="G415" s="606" t="s">
        <v>1202</v>
      </c>
      <c r="H415" s="606" t="s">
        <v>2465</v>
      </c>
    </row>
    <row r="416" spans="1:8" ht="14.25" customHeight="1">
      <c r="A416" s="634" t="s">
        <v>2466</v>
      </c>
      <c r="B416" s="634" t="s">
        <v>2467</v>
      </c>
      <c r="C416" s="635" t="s">
        <v>152</v>
      </c>
      <c r="D416" s="635" t="s">
        <v>153</v>
      </c>
      <c r="G416" s="606" t="s">
        <v>1203</v>
      </c>
      <c r="H416" s="606" t="s">
        <v>2468</v>
      </c>
    </row>
    <row r="417" spans="1:8" ht="14.25" customHeight="1">
      <c r="A417" s="633" t="s">
        <v>2469</v>
      </c>
      <c r="B417" s="644" t="s">
        <v>2470</v>
      </c>
      <c r="C417" s="635" t="s">
        <v>152</v>
      </c>
      <c r="D417" s="635" t="s">
        <v>153</v>
      </c>
      <c r="G417" s="606" t="s">
        <v>1204</v>
      </c>
      <c r="H417" s="606" t="s">
        <v>2471</v>
      </c>
    </row>
    <row r="418" spans="1:8" ht="14.25" customHeight="1">
      <c r="A418" s="633" t="s">
        <v>2472</v>
      </c>
      <c r="B418" s="644" t="s">
        <v>2473</v>
      </c>
      <c r="C418" s="635" t="s">
        <v>152</v>
      </c>
      <c r="D418" s="635" t="s">
        <v>153</v>
      </c>
      <c r="G418" s="606" t="s">
        <v>1205</v>
      </c>
      <c r="H418" s="606" t="s">
        <v>2474</v>
      </c>
    </row>
    <row r="419" spans="1:8" ht="14.25" customHeight="1">
      <c r="A419" s="633" t="s">
        <v>2475</v>
      </c>
      <c r="B419" s="644" t="s">
        <v>2476</v>
      </c>
      <c r="C419" s="635" t="s">
        <v>152</v>
      </c>
      <c r="D419" s="635" t="s">
        <v>154</v>
      </c>
      <c r="G419" s="606" t="s">
        <v>1206</v>
      </c>
      <c r="H419" s="606" t="s">
        <v>2477</v>
      </c>
    </row>
    <row r="420" spans="1:8" ht="14.25" customHeight="1">
      <c r="A420" s="634" t="s">
        <v>2478</v>
      </c>
      <c r="B420" s="634" t="s">
        <v>2479</v>
      </c>
      <c r="C420" s="635" t="s">
        <v>152</v>
      </c>
      <c r="D420" s="635" t="s">
        <v>154</v>
      </c>
      <c r="G420" s="606" t="s">
        <v>1103</v>
      </c>
      <c r="H420" s="606" t="s">
        <v>2480</v>
      </c>
    </row>
    <row r="421" spans="1:8" ht="14.25" customHeight="1">
      <c r="A421" s="633" t="s">
        <v>2481</v>
      </c>
      <c r="B421" s="644" t="s">
        <v>2482</v>
      </c>
      <c r="C421" s="635" t="s">
        <v>152</v>
      </c>
      <c r="D421" s="635" t="s">
        <v>154</v>
      </c>
      <c r="G421" s="606" t="s">
        <v>750</v>
      </c>
      <c r="H421" s="606" t="s">
        <v>2483</v>
      </c>
    </row>
    <row r="422" spans="1:8" ht="14.25" customHeight="1">
      <c r="A422" s="633" t="s">
        <v>2484</v>
      </c>
      <c r="B422" s="644" t="s">
        <v>2485</v>
      </c>
      <c r="C422" s="635" t="s">
        <v>152</v>
      </c>
      <c r="D422" s="635" t="s">
        <v>154</v>
      </c>
      <c r="G422" s="606" t="s">
        <v>1111</v>
      </c>
      <c r="H422" s="606" t="s">
        <v>2486</v>
      </c>
    </row>
    <row r="423" spans="1:8" ht="14.25" customHeight="1">
      <c r="A423" s="645" t="s">
        <v>2487</v>
      </c>
      <c r="B423" s="634" t="s">
        <v>2488</v>
      </c>
      <c r="C423" s="635" t="s">
        <v>152</v>
      </c>
      <c r="D423" s="635" t="s">
        <v>154</v>
      </c>
      <c r="G423" s="606" t="s">
        <v>751</v>
      </c>
      <c r="H423" s="606" t="s">
        <v>2489</v>
      </c>
    </row>
    <row r="424" spans="1:8" ht="14.25" customHeight="1">
      <c r="A424" s="633" t="s">
        <v>2490</v>
      </c>
      <c r="B424" s="644" t="s">
        <v>2491</v>
      </c>
      <c r="C424" s="635" t="s">
        <v>152</v>
      </c>
      <c r="D424" s="635" t="s">
        <v>154</v>
      </c>
      <c r="G424" s="606" t="s">
        <v>1114</v>
      </c>
      <c r="H424" s="606" t="s">
        <v>2492</v>
      </c>
    </row>
    <row r="425" spans="1:8" ht="14.25" customHeight="1">
      <c r="A425" s="633" t="s">
        <v>2493</v>
      </c>
      <c r="B425" s="644" t="s">
        <v>2494</v>
      </c>
      <c r="C425" s="635" t="s">
        <v>152</v>
      </c>
      <c r="D425" s="635" t="s">
        <v>154</v>
      </c>
      <c r="G425" s="606" t="s">
        <v>1116</v>
      </c>
      <c r="H425" s="606" t="s">
        <v>2495</v>
      </c>
    </row>
    <row r="426" spans="1:8" ht="14.25" customHeight="1">
      <c r="A426" s="633" t="s">
        <v>2496</v>
      </c>
      <c r="B426" s="644" t="s">
        <v>2497</v>
      </c>
      <c r="C426" s="635" t="s">
        <v>152</v>
      </c>
      <c r="D426" s="635" t="s">
        <v>154</v>
      </c>
      <c r="G426" s="606" t="s">
        <v>1189</v>
      </c>
      <c r="H426" s="606" t="s">
        <v>2498</v>
      </c>
    </row>
    <row r="427" spans="1:8" ht="14.25" customHeight="1">
      <c r="A427" s="633" t="s">
        <v>2499</v>
      </c>
      <c r="B427" s="644" t="s">
        <v>2500</v>
      </c>
      <c r="C427" s="635" t="s">
        <v>152</v>
      </c>
      <c r="D427" s="635" t="s">
        <v>154</v>
      </c>
      <c r="G427" s="606" t="s">
        <v>1120</v>
      </c>
      <c r="H427" s="606" t="s">
        <v>2501</v>
      </c>
    </row>
    <row r="428" spans="1:8" ht="14.25" customHeight="1">
      <c r="A428" s="633" t="s">
        <v>2502</v>
      </c>
      <c r="B428" s="644" t="s">
        <v>2503</v>
      </c>
      <c r="C428" s="635" t="s">
        <v>152</v>
      </c>
      <c r="D428" s="635" t="s">
        <v>154</v>
      </c>
      <c r="G428" s="606" t="s">
        <v>1190</v>
      </c>
      <c r="H428" s="606" t="s">
        <v>2504</v>
      </c>
    </row>
    <row r="429" spans="1:8" ht="14.25" customHeight="1">
      <c r="A429" s="645" t="s">
        <v>2505</v>
      </c>
      <c r="B429" s="634" t="s">
        <v>2506</v>
      </c>
      <c r="C429" s="635" t="s">
        <v>152</v>
      </c>
      <c r="D429" s="635" t="s">
        <v>154</v>
      </c>
      <c r="G429" s="606" t="s">
        <v>1174</v>
      </c>
      <c r="H429" s="606" t="s">
        <v>2507</v>
      </c>
    </row>
    <row r="430" spans="1:8" ht="14.25" customHeight="1">
      <c r="A430" s="633" t="s">
        <v>2508</v>
      </c>
      <c r="B430" s="644" t="s">
        <v>2509</v>
      </c>
      <c r="C430" s="635" t="s">
        <v>152</v>
      </c>
      <c r="D430" s="635" t="s">
        <v>154</v>
      </c>
      <c r="G430" s="606" t="s">
        <v>1124</v>
      </c>
      <c r="H430" s="606" t="s">
        <v>2510</v>
      </c>
    </row>
    <row r="431" spans="1:8" ht="14.25" customHeight="1">
      <c r="A431" s="633" t="s">
        <v>2511</v>
      </c>
      <c r="B431" s="644" t="s">
        <v>2512</v>
      </c>
      <c r="C431" s="635" t="s">
        <v>152</v>
      </c>
      <c r="D431" s="635" t="s">
        <v>154</v>
      </c>
      <c r="G431" s="606" t="s">
        <v>1126</v>
      </c>
      <c r="H431" s="606" t="s">
        <v>2513</v>
      </c>
    </row>
    <row r="432" spans="1:8" ht="14.25" customHeight="1">
      <c r="A432" s="633" t="s">
        <v>2514</v>
      </c>
      <c r="B432" s="644" t="s">
        <v>2515</v>
      </c>
      <c r="C432" s="635" t="s">
        <v>152</v>
      </c>
      <c r="D432" s="635" t="s">
        <v>154</v>
      </c>
      <c r="G432" s="606" t="s">
        <v>1176</v>
      </c>
      <c r="H432" s="606" t="s">
        <v>2516</v>
      </c>
    </row>
    <row r="433" spans="1:8" ht="14.25" customHeight="1">
      <c r="A433" s="633" t="s">
        <v>2517</v>
      </c>
      <c r="B433" s="644" t="s">
        <v>2518</v>
      </c>
      <c r="C433" s="635" t="s">
        <v>152</v>
      </c>
      <c r="D433" s="635" t="s">
        <v>154</v>
      </c>
      <c r="G433" s="606" t="s">
        <v>752</v>
      </c>
      <c r="H433" s="606" t="s">
        <v>2519</v>
      </c>
    </row>
    <row r="434" spans="1:8" ht="14.25" customHeight="1">
      <c r="A434" s="633" t="s">
        <v>2520</v>
      </c>
      <c r="B434" s="644" t="s">
        <v>2521</v>
      </c>
      <c r="C434" s="635" t="s">
        <v>152</v>
      </c>
      <c r="D434" s="635" t="s">
        <v>154</v>
      </c>
      <c r="G434" s="606" t="s">
        <v>1132</v>
      </c>
      <c r="H434" s="606" t="s">
        <v>2522</v>
      </c>
    </row>
    <row r="435" spans="1:8" ht="14.25" customHeight="1">
      <c r="A435" s="645" t="s">
        <v>2523</v>
      </c>
      <c r="B435" s="634" t="s">
        <v>2524</v>
      </c>
      <c r="C435" s="635" t="s">
        <v>152</v>
      </c>
      <c r="D435" s="635" t="s">
        <v>154</v>
      </c>
      <c r="G435" s="606" t="s">
        <v>1340</v>
      </c>
      <c r="H435" s="606" t="s">
        <v>2525</v>
      </c>
    </row>
    <row r="436" spans="1:8" ht="14.25" customHeight="1">
      <c r="A436" s="633" t="s">
        <v>2526</v>
      </c>
      <c r="B436" s="644" t="s">
        <v>2527</v>
      </c>
      <c r="C436" s="635" t="s">
        <v>152</v>
      </c>
      <c r="D436" s="635" t="s">
        <v>154</v>
      </c>
      <c r="G436" s="606" t="s">
        <v>1136</v>
      </c>
      <c r="H436" s="606" t="s">
        <v>2528</v>
      </c>
    </row>
    <row r="437" spans="1:8" ht="14.25" customHeight="1">
      <c r="A437" s="633" t="s">
        <v>2529</v>
      </c>
      <c r="B437" s="644" t="s">
        <v>2530</v>
      </c>
      <c r="C437" s="635" t="s">
        <v>152</v>
      </c>
      <c r="D437" s="635" t="s">
        <v>154</v>
      </c>
      <c r="G437" s="606" t="s">
        <v>1138</v>
      </c>
      <c r="H437" s="606" t="s">
        <v>2531</v>
      </c>
    </row>
    <row r="438" spans="1:8" ht="14.25" customHeight="1">
      <c r="A438" s="645" t="s">
        <v>2532</v>
      </c>
      <c r="B438" s="634" t="s">
        <v>2533</v>
      </c>
      <c r="C438" s="635" t="s">
        <v>152</v>
      </c>
      <c r="D438" s="635" t="s">
        <v>153</v>
      </c>
      <c r="G438" s="606" t="s">
        <v>1140</v>
      </c>
      <c r="H438" s="606" t="s">
        <v>2534</v>
      </c>
    </row>
    <row r="439" spans="1:8" ht="14.25" customHeight="1">
      <c r="A439" s="645" t="s">
        <v>2535</v>
      </c>
      <c r="B439" s="634" t="s">
        <v>2536</v>
      </c>
      <c r="C439" s="635" t="s">
        <v>152</v>
      </c>
      <c r="D439" s="635" t="s">
        <v>153</v>
      </c>
      <c r="G439" s="606" t="s">
        <v>753</v>
      </c>
      <c r="H439" s="606" t="s">
        <v>1212</v>
      </c>
    </row>
    <row r="440" spans="1:8" ht="14.25" customHeight="1">
      <c r="A440" s="633" t="s">
        <v>2537</v>
      </c>
      <c r="B440" s="644" t="s">
        <v>2538</v>
      </c>
      <c r="C440" s="635" t="s">
        <v>152</v>
      </c>
      <c r="D440" s="635" t="s">
        <v>153</v>
      </c>
      <c r="G440" s="606" t="s">
        <v>1142</v>
      </c>
      <c r="H440" s="606" t="s">
        <v>2539</v>
      </c>
    </row>
    <row r="441" spans="1:8" ht="14.25" customHeight="1">
      <c r="A441" s="645" t="s">
        <v>2540</v>
      </c>
      <c r="B441" s="634" t="s">
        <v>2541</v>
      </c>
      <c r="C441" s="635" t="s">
        <v>152</v>
      </c>
      <c r="D441" s="635" t="s">
        <v>153</v>
      </c>
      <c r="G441" s="606" t="s">
        <v>1144</v>
      </c>
      <c r="H441" s="606" t="s">
        <v>2542</v>
      </c>
    </row>
    <row r="442" spans="1:8" ht="14.25" customHeight="1">
      <c r="A442" s="633" t="s">
        <v>2543</v>
      </c>
      <c r="B442" s="644" t="s">
        <v>2544</v>
      </c>
      <c r="C442" s="635" t="s">
        <v>152</v>
      </c>
      <c r="D442" s="635" t="s">
        <v>154</v>
      </c>
      <c r="G442" s="606" t="s">
        <v>1146</v>
      </c>
      <c r="H442" s="606" t="s">
        <v>2545</v>
      </c>
    </row>
    <row r="443" spans="1:8" ht="14.25" customHeight="1">
      <c r="A443" s="645" t="s">
        <v>2546</v>
      </c>
      <c r="B443" s="634" t="s">
        <v>2547</v>
      </c>
      <c r="C443" s="635" t="s">
        <v>152</v>
      </c>
      <c r="D443" s="635" t="s">
        <v>154</v>
      </c>
      <c r="G443" s="606" t="s">
        <v>1148</v>
      </c>
      <c r="H443" s="606" t="s">
        <v>2548</v>
      </c>
    </row>
    <row r="444" spans="1:8" ht="14.25" customHeight="1">
      <c r="A444" s="645" t="s">
        <v>2549</v>
      </c>
      <c r="B444" s="634" t="s">
        <v>2550</v>
      </c>
      <c r="C444" s="635" t="s">
        <v>152</v>
      </c>
      <c r="D444" s="635" t="s">
        <v>154</v>
      </c>
      <c r="G444" s="606" t="s">
        <v>1210</v>
      </c>
      <c r="H444" s="606" t="s">
        <v>2551</v>
      </c>
    </row>
    <row r="445" spans="1:8" ht="14.25" customHeight="1">
      <c r="A445" s="645" t="s">
        <v>2552</v>
      </c>
      <c r="B445" s="634" t="s">
        <v>2553</v>
      </c>
      <c r="C445" s="635" t="s">
        <v>152</v>
      </c>
      <c r="D445" s="635" t="s">
        <v>154</v>
      </c>
      <c r="G445" s="606" t="s">
        <v>1154</v>
      </c>
      <c r="H445" s="606" t="s">
        <v>2554</v>
      </c>
    </row>
    <row r="446" spans="1:8" ht="14.25" customHeight="1">
      <c r="A446" s="633" t="s">
        <v>1023</v>
      </c>
      <c r="B446" s="644" t="s">
        <v>2555</v>
      </c>
      <c r="C446" s="635" t="s">
        <v>180</v>
      </c>
      <c r="D446" s="635" t="s">
        <v>182</v>
      </c>
      <c r="G446" s="606" t="s">
        <v>1156</v>
      </c>
      <c r="H446" s="606" t="s">
        <v>2556</v>
      </c>
    </row>
    <row r="447" spans="1:8" ht="14.25" customHeight="1">
      <c r="A447" s="645" t="s">
        <v>2557</v>
      </c>
      <c r="B447" s="634" t="s">
        <v>2558</v>
      </c>
      <c r="C447" s="635" t="s">
        <v>180</v>
      </c>
      <c r="D447" s="635" t="s">
        <v>97</v>
      </c>
      <c r="G447" s="606" t="s">
        <v>1334</v>
      </c>
      <c r="H447" s="606" t="s">
        <v>2559</v>
      </c>
    </row>
    <row r="448" spans="1:8" ht="14.25" customHeight="1">
      <c r="A448" s="634" t="s">
        <v>2560</v>
      </c>
      <c r="B448" s="634" t="s">
        <v>2561</v>
      </c>
      <c r="C448" s="635"/>
      <c r="D448" s="635"/>
      <c r="G448" s="606" t="s">
        <v>754</v>
      </c>
      <c r="H448" s="606" t="s">
        <v>2562</v>
      </c>
    </row>
    <row r="449" spans="1:8" ht="14.25" customHeight="1">
      <c r="A449" s="633" t="s">
        <v>2563</v>
      </c>
      <c r="B449" s="644" t="s">
        <v>2564</v>
      </c>
      <c r="C449" s="635" t="s">
        <v>180</v>
      </c>
      <c r="D449" s="635" t="s">
        <v>184</v>
      </c>
      <c r="G449" s="606" t="s">
        <v>1213</v>
      </c>
      <c r="H449" s="606" t="s">
        <v>2565</v>
      </c>
    </row>
    <row r="450" spans="1:8" ht="14.25" customHeight="1">
      <c r="A450" s="645" t="s">
        <v>2566</v>
      </c>
      <c r="B450" s="634" t="s">
        <v>2567</v>
      </c>
      <c r="C450" s="635" t="s">
        <v>180</v>
      </c>
      <c r="D450" s="635" t="s">
        <v>184</v>
      </c>
      <c r="G450" s="606" t="s">
        <v>1214</v>
      </c>
      <c r="H450" s="606" t="s">
        <v>2568</v>
      </c>
    </row>
    <row r="451" spans="1:8" ht="14.25" customHeight="1">
      <c r="A451" s="644" t="s">
        <v>2569</v>
      </c>
      <c r="B451" s="644" t="s">
        <v>2561</v>
      </c>
      <c r="C451" s="635"/>
      <c r="D451" s="635"/>
      <c r="G451" s="606" t="s">
        <v>1215</v>
      </c>
      <c r="H451" s="606" t="s">
        <v>2570</v>
      </c>
    </row>
    <row r="452" spans="1:8" ht="14.25" customHeight="1">
      <c r="A452" s="644" t="s">
        <v>1029</v>
      </c>
      <c r="B452" s="644" t="s">
        <v>2571</v>
      </c>
      <c r="C452" s="635" t="s">
        <v>180</v>
      </c>
      <c r="D452" s="635" t="s">
        <v>185</v>
      </c>
      <c r="G452" s="606" t="s">
        <v>1216</v>
      </c>
      <c r="H452" s="606" t="s">
        <v>2572</v>
      </c>
    </row>
    <row r="453" spans="1:8" ht="14.25" customHeight="1">
      <c r="A453" s="645" t="s">
        <v>2573</v>
      </c>
      <c r="B453" s="634" t="s">
        <v>2574</v>
      </c>
      <c r="C453" s="635" t="s">
        <v>180</v>
      </c>
      <c r="D453" s="635" t="s">
        <v>185</v>
      </c>
      <c r="G453" s="606" t="s">
        <v>1217</v>
      </c>
      <c r="H453" s="606" t="s">
        <v>2575</v>
      </c>
    </row>
    <row r="454" spans="1:8" ht="14.25" customHeight="1">
      <c r="A454" s="645" t="s">
        <v>2576</v>
      </c>
      <c r="B454" s="634" t="s">
        <v>2561</v>
      </c>
      <c r="C454" s="635"/>
      <c r="D454" s="635"/>
      <c r="G454" s="606" t="s">
        <v>1218</v>
      </c>
      <c r="H454" s="606" t="s">
        <v>2577</v>
      </c>
    </row>
    <row r="455" spans="1:8" ht="14.25" customHeight="1">
      <c r="A455" s="644" t="s">
        <v>2578</v>
      </c>
      <c r="B455" s="644" t="s">
        <v>2579</v>
      </c>
      <c r="C455" s="635" t="s">
        <v>180</v>
      </c>
      <c r="D455" s="635" t="s">
        <v>184</v>
      </c>
      <c r="G455" s="606" t="s">
        <v>755</v>
      </c>
      <c r="H455" s="606" t="s">
        <v>2580</v>
      </c>
    </row>
    <row r="456" spans="1:8" ht="14.25" customHeight="1">
      <c r="A456" s="645" t="s">
        <v>2581</v>
      </c>
      <c r="B456" s="634" t="s">
        <v>2582</v>
      </c>
      <c r="C456" s="635" t="s">
        <v>180</v>
      </c>
      <c r="D456" s="635" t="s">
        <v>184</v>
      </c>
      <c r="G456" s="606" t="s">
        <v>756</v>
      </c>
      <c r="H456" s="606" t="s">
        <v>2583</v>
      </c>
    </row>
    <row r="457" spans="1:8" ht="14.25" customHeight="1">
      <c r="A457" s="633" t="s">
        <v>2584</v>
      </c>
      <c r="B457" s="644" t="s">
        <v>2585</v>
      </c>
      <c r="C457" s="635" t="s">
        <v>180</v>
      </c>
      <c r="D457" s="635" t="s">
        <v>182</v>
      </c>
      <c r="G457" s="606" t="s">
        <v>757</v>
      </c>
      <c r="H457" s="606" t="s">
        <v>2586</v>
      </c>
    </row>
    <row r="458" spans="1:8" ht="14.25" customHeight="1">
      <c r="A458" s="633" t="s">
        <v>2587</v>
      </c>
      <c r="B458" s="644" t="s">
        <v>2588</v>
      </c>
      <c r="C458" s="635" t="s">
        <v>180</v>
      </c>
      <c r="D458" s="635" t="s">
        <v>194</v>
      </c>
      <c r="G458" s="606" t="s">
        <v>758</v>
      </c>
      <c r="H458" s="606" t="s">
        <v>2589</v>
      </c>
    </row>
    <row r="459" spans="1:8" ht="14.25" customHeight="1">
      <c r="A459" s="645" t="s">
        <v>2590</v>
      </c>
      <c r="B459" s="634" t="s">
        <v>2591</v>
      </c>
      <c r="C459" s="635" t="s">
        <v>1270</v>
      </c>
      <c r="D459" s="635" t="s">
        <v>97</v>
      </c>
      <c r="G459" s="606" t="s">
        <v>1103</v>
      </c>
      <c r="H459" s="606" t="s">
        <v>2592</v>
      </c>
    </row>
    <row r="460" spans="1:8" ht="14.25" customHeight="1">
      <c r="A460" s="633" t="s">
        <v>2593</v>
      </c>
      <c r="B460" s="644" t="s">
        <v>2594</v>
      </c>
      <c r="C460" s="635" t="s">
        <v>1270</v>
      </c>
      <c r="D460" s="635" t="s">
        <v>183</v>
      </c>
      <c r="G460" s="606" t="s">
        <v>1342</v>
      </c>
      <c r="H460" s="606" t="s">
        <v>2595</v>
      </c>
    </row>
    <row r="461" spans="1:8" ht="14.25" customHeight="1">
      <c r="A461" s="644" t="s">
        <v>2596</v>
      </c>
      <c r="B461" s="644" t="s">
        <v>2597</v>
      </c>
      <c r="C461" s="635" t="s">
        <v>180</v>
      </c>
      <c r="D461" s="635" t="s">
        <v>183</v>
      </c>
      <c r="G461" s="606" t="s">
        <v>1111</v>
      </c>
      <c r="H461" s="606" t="s">
        <v>2598</v>
      </c>
    </row>
    <row r="462" spans="1:8" ht="14.25" customHeight="1">
      <c r="A462" s="645" t="s">
        <v>2599</v>
      </c>
      <c r="B462" s="634" t="s">
        <v>2600</v>
      </c>
      <c r="C462" s="635" t="s">
        <v>180</v>
      </c>
      <c r="D462" s="635" t="s">
        <v>97</v>
      </c>
      <c r="G462" s="606" t="s">
        <v>1219</v>
      </c>
      <c r="H462" s="606" t="s">
        <v>2601</v>
      </c>
    </row>
    <row r="463" spans="1:8" ht="14.25" customHeight="1">
      <c r="A463" s="644" t="s">
        <v>2602</v>
      </c>
      <c r="B463" s="644" t="s">
        <v>2603</v>
      </c>
      <c r="C463" s="635" t="s">
        <v>180</v>
      </c>
      <c r="D463" s="635" t="s">
        <v>183</v>
      </c>
      <c r="G463" s="606" t="s">
        <v>1116</v>
      </c>
      <c r="H463" s="606" t="s">
        <v>2604</v>
      </c>
    </row>
    <row r="464" spans="1:8" ht="14.25" customHeight="1">
      <c r="A464" s="645" t="s">
        <v>2605</v>
      </c>
      <c r="B464" s="634" t="s">
        <v>2606</v>
      </c>
      <c r="C464" s="635" t="s">
        <v>180</v>
      </c>
      <c r="D464" s="635" t="s">
        <v>97</v>
      </c>
      <c r="G464" s="606" t="s">
        <v>1118</v>
      </c>
      <c r="H464" s="606" t="s">
        <v>2607</v>
      </c>
    </row>
    <row r="465" spans="1:8" ht="14.25" customHeight="1">
      <c r="A465" s="633" t="s">
        <v>2608</v>
      </c>
      <c r="B465" s="644" t="s">
        <v>2609</v>
      </c>
      <c r="C465" s="635" t="s">
        <v>180</v>
      </c>
      <c r="D465" s="635" t="s">
        <v>183</v>
      </c>
      <c r="G465" s="606" t="s">
        <v>1120</v>
      </c>
      <c r="H465" s="606" t="s">
        <v>2610</v>
      </c>
    </row>
    <row r="466" spans="1:8" ht="14.25" customHeight="1">
      <c r="A466" s="645" t="s">
        <v>2611</v>
      </c>
      <c r="B466" s="634" t="s">
        <v>2612</v>
      </c>
      <c r="C466" s="635" t="s">
        <v>1270</v>
      </c>
      <c r="D466" s="635" t="s">
        <v>183</v>
      </c>
      <c r="G466" s="606" t="s">
        <v>1220</v>
      </c>
      <c r="H466" s="606" t="s">
        <v>2613</v>
      </c>
    </row>
    <row r="467" spans="1:8" ht="14.25" customHeight="1">
      <c r="A467" s="633" t="s">
        <v>2614</v>
      </c>
      <c r="B467" s="644" t="s">
        <v>2615</v>
      </c>
      <c r="C467" s="635" t="s">
        <v>180</v>
      </c>
      <c r="D467" s="635" t="s">
        <v>186</v>
      </c>
      <c r="G467" s="606" t="s">
        <v>1124</v>
      </c>
      <c r="H467" s="606" t="s">
        <v>2616</v>
      </c>
    </row>
    <row r="468" spans="1:8" ht="14.25" customHeight="1">
      <c r="A468" s="645" t="s">
        <v>2617</v>
      </c>
      <c r="B468" s="634" t="s">
        <v>2618</v>
      </c>
      <c r="C468" s="635" t="s">
        <v>180</v>
      </c>
      <c r="D468" s="635" t="s">
        <v>97</v>
      </c>
      <c r="G468" s="606" t="s">
        <v>1126</v>
      </c>
      <c r="H468" s="606" t="s">
        <v>2619</v>
      </c>
    </row>
    <row r="469" spans="1:8" ht="14.25" customHeight="1">
      <c r="A469" s="633" t="s">
        <v>2620</v>
      </c>
      <c r="B469" s="644" t="s">
        <v>2621</v>
      </c>
      <c r="C469" s="635" t="s">
        <v>180</v>
      </c>
      <c r="D469" s="635" t="s">
        <v>186</v>
      </c>
      <c r="G469" s="606" t="s">
        <v>1221</v>
      </c>
      <c r="H469" s="606" t="s">
        <v>2622</v>
      </c>
    </row>
    <row r="470" spans="1:8" ht="14.25" customHeight="1">
      <c r="A470" s="645" t="s">
        <v>2623</v>
      </c>
      <c r="B470" s="634" t="s">
        <v>2624</v>
      </c>
      <c r="C470" s="635" t="s">
        <v>1270</v>
      </c>
      <c r="D470" s="635" t="s">
        <v>97</v>
      </c>
      <c r="G470" s="606" t="s">
        <v>1176</v>
      </c>
      <c r="H470" s="606" t="s">
        <v>2625</v>
      </c>
    </row>
    <row r="471" spans="1:8" ht="14.25" customHeight="1">
      <c r="A471" s="633" t="s">
        <v>2626</v>
      </c>
      <c r="B471" s="644" t="s">
        <v>2627</v>
      </c>
      <c r="C471" s="635" t="s">
        <v>180</v>
      </c>
      <c r="D471" s="635" t="s">
        <v>2628</v>
      </c>
      <c r="G471" s="606" t="s">
        <v>1132</v>
      </c>
      <c r="H471" s="606" t="s">
        <v>2629</v>
      </c>
    </row>
    <row r="472" spans="1:8" ht="14.25" customHeight="1">
      <c r="A472" s="645" t="s">
        <v>2630</v>
      </c>
      <c r="B472" s="634" t="s">
        <v>2631</v>
      </c>
      <c r="C472" s="635" t="s">
        <v>180</v>
      </c>
      <c r="D472" s="635" t="s">
        <v>97</v>
      </c>
      <c r="G472" s="606" t="s">
        <v>1134</v>
      </c>
      <c r="H472" s="606" t="s">
        <v>2632</v>
      </c>
    </row>
    <row r="473" spans="1:8" ht="14.25" customHeight="1">
      <c r="A473" s="633" t="s">
        <v>2633</v>
      </c>
      <c r="B473" s="644" t="s">
        <v>2634</v>
      </c>
      <c r="C473" s="635" t="s">
        <v>180</v>
      </c>
      <c r="D473" s="635" t="s">
        <v>191</v>
      </c>
      <c r="G473" s="606" t="s">
        <v>1136</v>
      </c>
      <c r="H473" s="606" t="s">
        <v>2635</v>
      </c>
    </row>
    <row r="474" spans="1:8" ht="14.25" customHeight="1">
      <c r="A474" s="645" t="s">
        <v>2636</v>
      </c>
      <c r="B474" s="634" t="s">
        <v>2637</v>
      </c>
      <c r="C474" s="635" t="s">
        <v>1270</v>
      </c>
      <c r="D474" s="635" t="s">
        <v>97</v>
      </c>
      <c r="G474" s="606" t="s">
        <v>1138</v>
      </c>
      <c r="H474" s="606" t="s">
        <v>2638</v>
      </c>
    </row>
    <row r="475" spans="1:8" ht="14.25" customHeight="1">
      <c r="A475" s="641" t="s">
        <v>2639</v>
      </c>
      <c r="B475" s="641" t="s">
        <v>2640</v>
      </c>
      <c r="C475" s="635" t="s">
        <v>92</v>
      </c>
      <c r="D475" s="635" t="s">
        <v>97</v>
      </c>
      <c r="G475" s="606" t="s">
        <v>1140</v>
      </c>
      <c r="H475" s="606" t="s">
        <v>2641</v>
      </c>
    </row>
    <row r="476" spans="1:8" ht="14.25" customHeight="1">
      <c r="A476" s="646" t="s">
        <v>2642</v>
      </c>
      <c r="B476" s="641" t="s">
        <v>2002</v>
      </c>
      <c r="C476" s="635" t="s">
        <v>92</v>
      </c>
      <c r="D476" s="635" t="s">
        <v>97</v>
      </c>
      <c r="G476" s="606" t="s">
        <v>1142</v>
      </c>
      <c r="H476" s="606" t="s">
        <v>2643</v>
      </c>
    </row>
    <row r="477" spans="1:8" ht="14.25" customHeight="1">
      <c r="A477" s="646" t="s">
        <v>2644</v>
      </c>
      <c r="B477" s="641" t="s">
        <v>2645</v>
      </c>
      <c r="C477" s="635" t="s">
        <v>92</v>
      </c>
      <c r="D477" s="635" t="s">
        <v>97</v>
      </c>
      <c r="G477" s="606" t="s">
        <v>1144</v>
      </c>
      <c r="H477" s="606" t="s">
        <v>2646</v>
      </c>
    </row>
    <row r="478" spans="1:8" ht="14.25" customHeight="1">
      <c r="A478" s="646" t="s">
        <v>2647</v>
      </c>
      <c r="B478" s="641" t="s">
        <v>2648</v>
      </c>
      <c r="C478" s="635" t="s">
        <v>92</v>
      </c>
      <c r="D478" s="635" t="s">
        <v>98</v>
      </c>
      <c r="G478" s="606" t="s">
        <v>1146</v>
      </c>
      <c r="H478" s="606" t="s">
        <v>2649</v>
      </c>
    </row>
    <row r="479" spans="1:8" ht="14.25" customHeight="1">
      <c r="A479" s="676" t="s">
        <v>2650</v>
      </c>
      <c r="B479" s="678" t="s">
        <v>2651</v>
      </c>
      <c r="C479" s="635" t="s">
        <v>92</v>
      </c>
      <c r="D479" s="635" t="s">
        <v>98</v>
      </c>
      <c r="G479" s="606" t="s">
        <v>1148</v>
      </c>
      <c r="H479" s="606" t="s">
        <v>2652</v>
      </c>
    </row>
    <row r="480" spans="1:8" ht="14.25" customHeight="1">
      <c r="A480" s="646" t="s">
        <v>2653</v>
      </c>
      <c r="B480" s="641" t="s">
        <v>2654</v>
      </c>
      <c r="C480" s="635" t="s">
        <v>92</v>
      </c>
      <c r="D480" s="635" t="s">
        <v>97</v>
      </c>
      <c r="G480" s="606" t="s">
        <v>1222</v>
      </c>
      <c r="H480" s="606" t="s">
        <v>2655</v>
      </c>
    </row>
    <row r="481" spans="1:8" ht="14.25" customHeight="1">
      <c r="A481" s="646" t="s">
        <v>2656</v>
      </c>
      <c r="B481" s="641" t="s">
        <v>2657</v>
      </c>
      <c r="C481" s="635" t="s">
        <v>92</v>
      </c>
      <c r="D481" s="635" t="s">
        <v>98</v>
      </c>
      <c r="G481" s="606" t="s">
        <v>1154</v>
      </c>
      <c r="H481" s="606" t="s">
        <v>2658</v>
      </c>
    </row>
    <row r="482" spans="1:8" ht="14.25" customHeight="1">
      <c r="A482" s="633" t="s">
        <v>2659</v>
      </c>
      <c r="B482" s="644" t="s">
        <v>2660</v>
      </c>
      <c r="C482" s="635" t="s">
        <v>92</v>
      </c>
      <c r="D482" s="635" t="s">
        <v>98</v>
      </c>
      <c r="G482" s="606" t="s">
        <v>1156</v>
      </c>
      <c r="H482" s="606" t="s">
        <v>2661</v>
      </c>
    </row>
    <row r="483" spans="1:8" ht="14.25" customHeight="1">
      <c r="A483" s="646" t="s">
        <v>2662</v>
      </c>
      <c r="B483" s="641" t="s">
        <v>2663</v>
      </c>
      <c r="C483" s="635" t="s">
        <v>92</v>
      </c>
      <c r="D483" s="635" t="s">
        <v>97</v>
      </c>
      <c r="G483" s="606" t="s">
        <v>1334</v>
      </c>
      <c r="H483" s="606" t="s">
        <v>2664</v>
      </c>
    </row>
    <row r="484" spans="1:8" ht="14.25" customHeight="1">
      <c r="A484" s="646" t="s">
        <v>2665</v>
      </c>
      <c r="B484" s="641" t="s">
        <v>2666</v>
      </c>
      <c r="C484" s="635" t="s">
        <v>92</v>
      </c>
      <c r="D484" s="635" t="s">
        <v>97</v>
      </c>
      <c r="G484" s="606" t="s">
        <v>759</v>
      </c>
      <c r="H484" s="606" t="s">
        <v>2667</v>
      </c>
    </row>
    <row r="485" spans="1:8" ht="14.25" customHeight="1">
      <c r="A485" s="646" t="s">
        <v>2668</v>
      </c>
      <c r="B485" s="641" t="s">
        <v>2669</v>
      </c>
      <c r="C485" s="635" t="s">
        <v>92</v>
      </c>
      <c r="D485" s="635" t="s">
        <v>97</v>
      </c>
      <c r="G485" s="606" t="s">
        <v>1224</v>
      </c>
      <c r="H485" s="606" t="s">
        <v>2670</v>
      </c>
    </row>
    <row r="486" spans="1:8" ht="14.25" customHeight="1">
      <c r="A486" s="646" t="s">
        <v>2671</v>
      </c>
      <c r="B486" s="641" t="s">
        <v>2672</v>
      </c>
      <c r="C486" s="635" t="s">
        <v>92</v>
      </c>
      <c r="D486" s="635" t="s">
        <v>97</v>
      </c>
      <c r="G486" s="606" t="s">
        <v>1225</v>
      </c>
      <c r="H486" s="606" t="s">
        <v>2673</v>
      </c>
    </row>
    <row r="487" spans="1:8" ht="14.25" customHeight="1">
      <c r="A487" s="646" t="s">
        <v>2674</v>
      </c>
      <c r="B487" s="641" t="s">
        <v>2675</v>
      </c>
      <c r="C487" s="635" t="s">
        <v>92</v>
      </c>
      <c r="D487" s="635" t="s">
        <v>97</v>
      </c>
      <c r="G487" s="606" t="s">
        <v>1226</v>
      </c>
      <c r="H487" s="606" t="s">
        <v>2676</v>
      </c>
    </row>
    <row r="488" spans="1:8" ht="14.25" customHeight="1">
      <c r="A488" s="646" t="s">
        <v>2677</v>
      </c>
      <c r="B488" s="641" t="s">
        <v>2678</v>
      </c>
      <c r="C488" s="635" t="s">
        <v>92</v>
      </c>
      <c r="D488" s="635" t="s">
        <v>97</v>
      </c>
      <c r="G488" s="606" t="s">
        <v>1227</v>
      </c>
      <c r="H488" s="606" t="s">
        <v>2679</v>
      </c>
    </row>
    <row r="489" spans="1:8" ht="14.25" customHeight="1">
      <c r="A489" s="646" t="s">
        <v>2680</v>
      </c>
      <c r="B489" s="641" t="s">
        <v>2681</v>
      </c>
      <c r="C489" s="635" t="s">
        <v>92</v>
      </c>
      <c r="D489" s="635" t="s">
        <v>97</v>
      </c>
      <c r="G489" s="606" t="s">
        <v>1228</v>
      </c>
      <c r="H489" s="606" t="s">
        <v>2682</v>
      </c>
    </row>
    <row r="490" spans="1:8" ht="14.25" customHeight="1">
      <c r="A490" s="646" t="s">
        <v>2683</v>
      </c>
      <c r="B490" s="641" t="s">
        <v>2684</v>
      </c>
      <c r="C490" s="635" t="s">
        <v>92</v>
      </c>
      <c r="D490" s="635" t="s">
        <v>97</v>
      </c>
      <c r="G490" s="606" t="s">
        <v>1229</v>
      </c>
      <c r="H490" s="606" t="s">
        <v>2685</v>
      </c>
    </row>
    <row r="491" spans="1:8" ht="14.25" customHeight="1">
      <c r="A491" s="641" t="s">
        <v>2686</v>
      </c>
      <c r="B491" s="641" t="s">
        <v>2684</v>
      </c>
      <c r="C491" s="635" t="s">
        <v>92</v>
      </c>
      <c r="D491" s="635" t="s">
        <v>97</v>
      </c>
      <c r="G491" s="606" t="s">
        <v>671</v>
      </c>
      <c r="H491" s="606" t="s">
        <v>2687</v>
      </c>
    </row>
    <row r="492" spans="1:8" ht="14.25" customHeight="1">
      <c r="A492" s="646" t="s">
        <v>2688</v>
      </c>
      <c r="B492" s="641" t="s">
        <v>2689</v>
      </c>
      <c r="C492" s="635" t="s">
        <v>92</v>
      </c>
      <c r="D492" s="635" t="s">
        <v>97</v>
      </c>
      <c r="G492" s="606" t="s">
        <v>672</v>
      </c>
      <c r="H492" s="606" t="s">
        <v>2690</v>
      </c>
    </row>
    <row r="493" spans="1:8" ht="14.25" customHeight="1">
      <c r="A493" s="646" t="s">
        <v>2691</v>
      </c>
      <c r="B493" s="641" t="s">
        <v>2692</v>
      </c>
      <c r="C493" s="635" t="s">
        <v>92</v>
      </c>
      <c r="D493" s="635" t="s">
        <v>97</v>
      </c>
      <c r="G493" s="606" t="s">
        <v>673</v>
      </c>
      <c r="H493" s="606" t="s">
        <v>2693</v>
      </c>
    </row>
    <row r="494" spans="1:8" ht="14.25" customHeight="1">
      <c r="A494" s="646" t="s">
        <v>2694</v>
      </c>
      <c r="B494" s="641" t="s">
        <v>2695</v>
      </c>
      <c r="C494" s="635" t="s">
        <v>92</v>
      </c>
      <c r="D494" s="635" t="s">
        <v>97</v>
      </c>
      <c r="G494" s="606" t="s">
        <v>1232</v>
      </c>
      <c r="H494" s="606" t="s">
        <v>2696</v>
      </c>
    </row>
    <row r="495" spans="1:8" ht="14.25" customHeight="1">
      <c r="A495" s="633" t="s">
        <v>2697</v>
      </c>
      <c r="B495" s="641" t="s">
        <v>2698</v>
      </c>
      <c r="C495" s="635" t="s">
        <v>92</v>
      </c>
      <c r="D495" s="635" t="s">
        <v>98</v>
      </c>
      <c r="G495" s="606" t="s">
        <v>1233</v>
      </c>
      <c r="H495" s="606" t="s">
        <v>1234</v>
      </c>
    </row>
    <row r="496" spans="1:8" ht="14.25" customHeight="1">
      <c r="A496" s="646" t="s">
        <v>2699</v>
      </c>
      <c r="B496" s="641" t="s">
        <v>2700</v>
      </c>
      <c r="C496" s="635" t="s">
        <v>92</v>
      </c>
      <c r="D496" s="635" t="s">
        <v>97</v>
      </c>
      <c r="G496" s="606" t="s">
        <v>1345</v>
      </c>
      <c r="H496" s="606" t="s">
        <v>2701</v>
      </c>
    </row>
    <row r="497" spans="1:8" ht="14.25" customHeight="1">
      <c r="A497" s="654" t="s">
        <v>2702</v>
      </c>
      <c r="B497" s="635" t="s">
        <v>2703</v>
      </c>
      <c r="C497" s="635" t="s">
        <v>92</v>
      </c>
      <c r="D497" s="635" t="s">
        <v>97</v>
      </c>
      <c r="G497" s="606" t="s">
        <v>1235</v>
      </c>
      <c r="H497" s="606" t="s">
        <v>1236</v>
      </c>
    </row>
    <row r="498" spans="1:8" ht="14.25" customHeight="1">
      <c r="A498" s="646" t="s">
        <v>2704</v>
      </c>
      <c r="B498" s="641" t="s">
        <v>2705</v>
      </c>
      <c r="C498" s="635" t="s">
        <v>92</v>
      </c>
      <c r="D498" s="635" t="s">
        <v>97</v>
      </c>
      <c r="G498" s="606" t="s">
        <v>1239</v>
      </c>
      <c r="H498" s="606" t="s">
        <v>1240</v>
      </c>
    </row>
    <row r="499" spans="1:8" ht="14.25" customHeight="1">
      <c r="A499" s="646" t="s">
        <v>2706</v>
      </c>
      <c r="B499" s="641" t="s">
        <v>2707</v>
      </c>
      <c r="C499" s="635" t="s">
        <v>92</v>
      </c>
      <c r="D499" s="635" t="s">
        <v>97</v>
      </c>
      <c r="G499" s="606" t="s">
        <v>1242</v>
      </c>
      <c r="H499" s="606" t="s">
        <v>2708</v>
      </c>
    </row>
    <row r="500" spans="1:8" ht="14.25" customHeight="1">
      <c r="A500" s="646" t="s">
        <v>2709</v>
      </c>
      <c r="B500" s="641" t="s">
        <v>2710</v>
      </c>
      <c r="C500" s="635" t="s">
        <v>92</v>
      </c>
      <c r="D500" s="635" t="s">
        <v>97</v>
      </c>
      <c r="G500" s="606" t="s">
        <v>1243</v>
      </c>
      <c r="H500" s="606" t="s">
        <v>2711</v>
      </c>
    </row>
    <row r="501" spans="1:8" ht="14.25" customHeight="1">
      <c r="A501" s="646" t="s">
        <v>2712</v>
      </c>
      <c r="B501" s="641" t="s">
        <v>2713</v>
      </c>
      <c r="C501" s="635" t="s">
        <v>92</v>
      </c>
      <c r="D501" s="635" t="s">
        <v>97</v>
      </c>
      <c r="G501" s="606" t="s">
        <v>1246</v>
      </c>
      <c r="H501" s="606" t="s">
        <v>2714</v>
      </c>
    </row>
    <row r="502" spans="1:8" ht="14.25" customHeight="1">
      <c r="A502" s="654" t="s">
        <v>2715</v>
      </c>
      <c r="B502" s="678" t="s">
        <v>2716</v>
      </c>
      <c r="C502" s="635" t="s">
        <v>92</v>
      </c>
      <c r="D502" s="635" t="s">
        <v>97</v>
      </c>
      <c r="G502" s="606" t="s">
        <v>1247</v>
      </c>
      <c r="H502" s="606" t="s">
        <v>2717</v>
      </c>
    </row>
    <row r="503" spans="1:8" ht="14.25" customHeight="1">
      <c r="A503" s="646" t="s">
        <v>2718</v>
      </c>
      <c r="B503" s="679" t="s">
        <v>2719</v>
      </c>
      <c r="C503" s="635" t="s">
        <v>92</v>
      </c>
      <c r="D503" s="635" t="s">
        <v>97</v>
      </c>
      <c r="G503" s="606" t="s">
        <v>1248</v>
      </c>
      <c r="H503" s="606" t="s">
        <v>2720</v>
      </c>
    </row>
    <row r="504" spans="1:8" ht="14.25" customHeight="1">
      <c r="A504" s="658" t="s">
        <v>2721</v>
      </c>
      <c r="B504" s="680" t="s">
        <v>2722</v>
      </c>
      <c r="C504" s="635" t="s">
        <v>92</v>
      </c>
      <c r="D504" s="635" t="s">
        <v>98</v>
      </c>
      <c r="G504" s="606" t="s">
        <v>1251</v>
      </c>
      <c r="H504" s="606" t="s">
        <v>2723</v>
      </c>
    </row>
    <row r="505" spans="1:8" ht="14.25" customHeight="1">
      <c r="A505" s="654" t="s">
        <v>2724</v>
      </c>
      <c r="B505" s="678" t="s">
        <v>2725</v>
      </c>
      <c r="C505" s="635" t="s">
        <v>92</v>
      </c>
      <c r="D505" s="635" t="s">
        <v>97</v>
      </c>
      <c r="G505" s="606" t="s">
        <v>1254</v>
      </c>
      <c r="H505" s="606" t="s">
        <v>2726</v>
      </c>
    </row>
    <row r="506" spans="1:8" ht="14.25" customHeight="1">
      <c r="A506" s="646" t="s">
        <v>2727</v>
      </c>
      <c r="B506" s="678" t="s">
        <v>2728</v>
      </c>
      <c r="C506" s="635" t="s">
        <v>92</v>
      </c>
      <c r="D506" s="635" t="s">
        <v>97</v>
      </c>
      <c r="G506" s="606" t="s">
        <v>1257</v>
      </c>
      <c r="H506" s="606" t="s">
        <v>1255</v>
      </c>
    </row>
    <row r="507" spans="1:8" ht="14.25" customHeight="1">
      <c r="A507" s="646" t="s">
        <v>2729</v>
      </c>
      <c r="B507" s="641" t="s">
        <v>2730</v>
      </c>
      <c r="C507" s="635" t="s">
        <v>92</v>
      </c>
      <c r="D507" s="635" t="s">
        <v>97</v>
      </c>
      <c r="G507" s="606" t="s">
        <v>1258</v>
      </c>
      <c r="H507" s="606" t="s">
        <v>1260</v>
      </c>
    </row>
    <row r="508" spans="1:8" ht="14.25" customHeight="1">
      <c r="A508" s="646" t="s">
        <v>2731</v>
      </c>
      <c r="B508" s="641" t="s">
        <v>2732</v>
      </c>
      <c r="C508" s="635" t="s">
        <v>92</v>
      </c>
      <c r="D508" s="635" t="s">
        <v>97</v>
      </c>
      <c r="G508" s="606" t="s">
        <v>1349</v>
      </c>
      <c r="H508" s="606" t="s">
        <v>2733</v>
      </c>
    </row>
    <row r="509" spans="1:8" ht="14.25" customHeight="1">
      <c r="A509" s="646" t="s">
        <v>2734</v>
      </c>
      <c r="B509" s="641" t="s">
        <v>2735</v>
      </c>
      <c r="C509" s="635" t="s">
        <v>92</v>
      </c>
      <c r="D509" s="635" t="s">
        <v>98</v>
      </c>
      <c r="G509" s="606" t="s">
        <v>1261</v>
      </c>
      <c r="H509" s="606" t="s">
        <v>2736</v>
      </c>
    </row>
    <row r="510" spans="1:8" ht="14.25" customHeight="1">
      <c r="A510" s="646" t="s">
        <v>2737</v>
      </c>
      <c r="B510" s="641" t="s">
        <v>2738</v>
      </c>
      <c r="C510" s="635" t="s">
        <v>92</v>
      </c>
      <c r="D510" s="635" t="s">
        <v>98</v>
      </c>
      <c r="G510" s="606" t="s">
        <v>1350</v>
      </c>
      <c r="H510" s="606" t="s">
        <v>2739</v>
      </c>
    </row>
    <row r="511" spans="1:8" ht="14.25" customHeight="1">
      <c r="A511" s="633" t="s">
        <v>2740</v>
      </c>
      <c r="B511" s="641" t="s">
        <v>2741</v>
      </c>
      <c r="C511" s="635" t="s">
        <v>92</v>
      </c>
      <c r="D511" s="635" t="s">
        <v>98</v>
      </c>
    </row>
    <row r="512" spans="1:8" ht="14.25" customHeight="1">
      <c r="A512" s="646" t="s">
        <v>2742</v>
      </c>
      <c r="B512" s="641" t="s">
        <v>2743</v>
      </c>
      <c r="C512" s="635" t="s">
        <v>92</v>
      </c>
      <c r="D512" s="635" t="s">
        <v>97</v>
      </c>
    </row>
    <row r="513" spans="1:4" ht="14.25" customHeight="1">
      <c r="A513" s="646" t="s">
        <v>2744</v>
      </c>
      <c r="B513" s="641" t="s">
        <v>2745</v>
      </c>
      <c r="C513" s="635" t="s">
        <v>92</v>
      </c>
      <c r="D513" s="635" t="s">
        <v>97</v>
      </c>
    </row>
    <row r="514" spans="1:4" ht="14.25" customHeight="1">
      <c r="A514" s="646" t="s">
        <v>2746</v>
      </c>
      <c r="B514" s="641" t="s">
        <v>2747</v>
      </c>
      <c r="C514" s="635" t="s">
        <v>92</v>
      </c>
      <c r="D514" s="635" t="s">
        <v>97</v>
      </c>
    </row>
    <row r="515" spans="1:4" ht="14.25" customHeight="1">
      <c r="A515" s="646" t="s">
        <v>2748</v>
      </c>
      <c r="B515" s="641" t="s">
        <v>2749</v>
      </c>
      <c r="C515" s="635" t="s">
        <v>92</v>
      </c>
      <c r="D515" s="635" t="s">
        <v>97</v>
      </c>
    </row>
    <row r="516" spans="1:4" ht="14.25" customHeight="1">
      <c r="A516" s="646" t="s">
        <v>2750</v>
      </c>
      <c r="B516" s="641" t="s">
        <v>2751</v>
      </c>
      <c r="C516" s="635" t="s">
        <v>92</v>
      </c>
      <c r="D516" s="635" t="s">
        <v>97</v>
      </c>
    </row>
    <row r="517" spans="1:4" ht="14.25" customHeight="1">
      <c r="A517" s="646" t="s">
        <v>2752</v>
      </c>
      <c r="B517" s="641" t="s">
        <v>2753</v>
      </c>
      <c r="C517" s="635" t="s">
        <v>92</v>
      </c>
      <c r="D517" s="635" t="s">
        <v>97</v>
      </c>
    </row>
    <row r="518" spans="1:4" ht="14.25" customHeight="1">
      <c r="A518" s="646" t="s">
        <v>2754</v>
      </c>
      <c r="B518" s="641" t="s">
        <v>2755</v>
      </c>
      <c r="C518" s="635" t="s">
        <v>92</v>
      </c>
      <c r="D518" s="635" t="s">
        <v>97</v>
      </c>
    </row>
    <row r="519" spans="1:4" ht="14.25" customHeight="1">
      <c r="A519" s="646" t="s">
        <v>2756</v>
      </c>
      <c r="B519" s="641" t="s">
        <v>2757</v>
      </c>
      <c r="C519" s="635" t="s">
        <v>92</v>
      </c>
      <c r="D519" s="635" t="s">
        <v>97</v>
      </c>
    </row>
    <row r="520" spans="1:4" ht="14.25" customHeight="1">
      <c r="A520" s="646" t="s">
        <v>2758</v>
      </c>
      <c r="B520" s="641" t="s">
        <v>2759</v>
      </c>
      <c r="C520" s="635" t="s">
        <v>92</v>
      </c>
      <c r="D520" s="635" t="s">
        <v>97</v>
      </c>
    </row>
    <row r="521" spans="1:4" ht="14.25" customHeight="1">
      <c r="A521" s="646" t="s">
        <v>2760</v>
      </c>
      <c r="B521" s="641" t="s">
        <v>2761</v>
      </c>
      <c r="C521" s="635" t="s">
        <v>92</v>
      </c>
      <c r="D521" s="635" t="s">
        <v>97</v>
      </c>
    </row>
    <row r="522" spans="1:4" ht="14.25" customHeight="1">
      <c r="A522" s="646" t="s">
        <v>2762</v>
      </c>
      <c r="B522" s="641" t="s">
        <v>2763</v>
      </c>
      <c r="C522" s="635" t="s">
        <v>92</v>
      </c>
      <c r="D522" s="635" t="s">
        <v>97</v>
      </c>
    </row>
    <row r="523" spans="1:4" ht="14.25" customHeight="1">
      <c r="A523" s="646" t="s">
        <v>2764</v>
      </c>
      <c r="B523" s="641" t="s">
        <v>2765</v>
      </c>
      <c r="C523" s="635" t="s">
        <v>92</v>
      </c>
      <c r="D523" s="635" t="s">
        <v>97</v>
      </c>
    </row>
    <row r="524" spans="1:4" ht="14.25" customHeight="1">
      <c r="A524" s="646" t="s">
        <v>2766</v>
      </c>
      <c r="B524" s="641" t="s">
        <v>2767</v>
      </c>
      <c r="C524" s="635" t="s">
        <v>92</v>
      </c>
      <c r="D524" s="635" t="s">
        <v>98</v>
      </c>
    </row>
    <row r="525" spans="1:4" ht="14.25" customHeight="1">
      <c r="A525" s="633" t="s">
        <v>2768</v>
      </c>
      <c r="B525" s="641" t="s">
        <v>2769</v>
      </c>
      <c r="C525" s="635" t="s">
        <v>92</v>
      </c>
      <c r="D525" s="635" t="s">
        <v>98</v>
      </c>
    </row>
    <row r="526" spans="1:4" ht="14.25" customHeight="1">
      <c r="A526" s="646" t="s">
        <v>2770</v>
      </c>
      <c r="B526" s="641" t="s">
        <v>2771</v>
      </c>
      <c r="C526" s="635" t="s">
        <v>92</v>
      </c>
      <c r="D526" s="635" t="s">
        <v>97</v>
      </c>
    </row>
    <row r="527" spans="1:4" ht="14.25" customHeight="1">
      <c r="A527" s="641" t="s">
        <v>2772</v>
      </c>
      <c r="B527" s="641" t="s">
        <v>2773</v>
      </c>
      <c r="C527" s="635" t="s">
        <v>92</v>
      </c>
      <c r="D527" s="635" t="s">
        <v>97</v>
      </c>
    </row>
    <row r="528" spans="1:4" ht="14.25" customHeight="1">
      <c r="A528" s="633" t="s">
        <v>2774</v>
      </c>
      <c r="B528" s="644" t="s">
        <v>2775</v>
      </c>
      <c r="C528" s="635" t="s">
        <v>92</v>
      </c>
      <c r="D528" s="635" t="s">
        <v>106</v>
      </c>
    </row>
    <row r="529" spans="1:4" ht="14.25" customHeight="1">
      <c r="A529" s="641" t="s">
        <v>2776</v>
      </c>
      <c r="B529" s="641" t="s">
        <v>2777</v>
      </c>
      <c r="C529" s="635" t="s">
        <v>92</v>
      </c>
      <c r="D529" s="635" t="s">
        <v>97</v>
      </c>
    </row>
    <row r="530" spans="1:4" ht="14.25" customHeight="1">
      <c r="A530" s="641" t="s">
        <v>2778</v>
      </c>
      <c r="B530" s="641" t="s">
        <v>2779</v>
      </c>
      <c r="C530" s="635" t="s">
        <v>92</v>
      </c>
      <c r="D530" s="635" t="s">
        <v>97</v>
      </c>
    </row>
    <row r="531" spans="1:4" ht="14.25" customHeight="1">
      <c r="A531" s="646" t="s">
        <v>2780</v>
      </c>
      <c r="B531" s="641" t="s">
        <v>2781</v>
      </c>
      <c r="C531" s="635" t="s">
        <v>92</v>
      </c>
      <c r="D531" s="635" t="s">
        <v>97</v>
      </c>
    </row>
    <row r="532" spans="1:4" ht="14.25" customHeight="1">
      <c r="A532" s="633" t="s">
        <v>2782</v>
      </c>
      <c r="B532" s="644" t="s">
        <v>2783</v>
      </c>
      <c r="C532" s="635" t="s">
        <v>92</v>
      </c>
      <c r="D532" s="635" t="s">
        <v>103</v>
      </c>
    </row>
    <row r="533" spans="1:4" ht="14.25" customHeight="1">
      <c r="A533" s="645" t="s">
        <v>2784</v>
      </c>
      <c r="B533" s="634" t="s">
        <v>2785</v>
      </c>
      <c r="C533" s="635" t="s">
        <v>92</v>
      </c>
      <c r="D533" s="635" t="s">
        <v>102</v>
      </c>
    </row>
    <row r="534" spans="1:4" ht="14.25" customHeight="1">
      <c r="A534" s="645" t="s">
        <v>2786</v>
      </c>
      <c r="B534" s="634" t="s">
        <v>2787</v>
      </c>
      <c r="C534" s="635" t="s">
        <v>92</v>
      </c>
      <c r="D534" s="635" t="s">
        <v>102</v>
      </c>
    </row>
    <row r="535" spans="1:4" ht="14.25" customHeight="1">
      <c r="A535" s="633" t="s">
        <v>2788</v>
      </c>
      <c r="B535" s="641" t="s">
        <v>2789</v>
      </c>
      <c r="C535" s="635" t="s">
        <v>92</v>
      </c>
      <c r="D535" s="635" t="s">
        <v>98</v>
      </c>
    </row>
    <row r="536" spans="1:4" ht="14.25" customHeight="1">
      <c r="A536" s="646" t="s">
        <v>2790</v>
      </c>
      <c r="B536" s="641" t="s">
        <v>2791</v>
      </c>
      <c r="C536" s="635" t="s">
        <v>92</v>
      </c>
      <c r="D536" s="635" t="s">
        <v>97</v>
      </c>
    </row>
    <row r="537" spans="1:4" ht="14.25" customHeight="1">
      <c r="A537" s="646" t="s">
        <v>2792</v>
      </c>
      <c r="B537" s="641" t="s">
        <v>2793</v>
      </c>
      <c r="C537" s="635" t="s">
        <v>92</v>
      </c>
      <c r="D537" s="635" t="s">
        <v>97</v>
      </c>
    </row>
    <row r="538" spans="1:4" ht="14.25" customHeight="1">
      <c r="A538" s="646" t="s">
        <v>2794</v>
      </c>
      <c r="B538" s="641" t="s">
        <v>2795</v>
      </c>
      <c r="C538" s="635" t="s">
        <v>92</v>
      </c>
      <c r="D538" s="635" t="s">
        <v>97</v>
      </c>
    </row>
    <row r="539" spans="1:4" ht="14.25" customHeight="1">
      <c r="A539" s="646" t="s">
        <v>2796</v>
      </c>
      <c r="B539" s="641" t="s">
        <v>2797</v>
      </c>
      <c r="C539" s="635" t="s">
        <v>92</v>
      </c>
      <c r="D539" s="635" t="s">
        <v>98</v>
      </c>
    </row>
    <row r="540" spans="1:4" ht="14.25" customHeight="1">
      <c r="A540" s="633" t="s">
        <v>2798</v>
      </c>
      <c r="B540" s="644" t="s">
        <v>2799</v>
      </c>
      <c r="C540" s="635" t="s">
        <v>152</v>
      </c>
      <c r="D540" s="635" t="s">
        <v>153</v>
      </c>
    </row>
    <row r="541" spans="1:4" ht="14.25" customHeight="1">
      <c r="A541" s="633" t="s">
        <v>2800</v>
      </c>
      <c r="B541" s="644" t="s">
        <v>2801</v>
      </c>
      <c r="C541" s="635" t="s">
        <v>152</v>
      </c>
      <c r="D541" s="635" t="s">
        <v>186</v>
      </c>
    </row>
    <row r="542" spans="1:4" ht="14.25" customHeight="1">
      <c r="A542" s="633" t="s">
        <v>2802</v>
      </c>
      <c r="B542" s="644" t="s">
        <v>2803</v>
      </c>
      <c r="C542" s="635" t="s">
        <v>152</v>
      </c>
      <c r="D542" s="635" t="s">
        <v>186</v>
      </c>
    </row>
    <row r="543" spans="1:4" ht="14.25" customHeight="1">
      <c r="A543" s="681" t="s">
        <v>2804</v>
      </c>
      <c r="B543" s="682" t="s">
        <v>2805</v>
      </c>
      <c r="C543" s="635" t="s">
        <v>152</v>
      </c>
      <c r="D543" s="635" t="s">
        <v>106</v>
      </c>
    </row>
    <row r="544" spans="1:4" ht="14.25" customHeight="1">
      <c r="A544" s="633" t="s">
        <v>2806</v>
      </c>
      <c r="B544" s="644" t="s">
        <v>2807</v>
      </c>
      <c r="C544" s="635" t="s">
        <v>152</v>
      </c>
      <c r="D544" s="635" t="s">
        <v>156</v>
      </c>
    </row>
    <row r="545" spans="1:4" ht="14.25" customHeight="1">
      <c r="A545" s="633" t="s">
        <v>2808</v>
      </c>
      <c r="B545" s="644" t="s">
        <v>2809</v>
      </c>
      <c r="C545" s="635" t="s">
        <v>152</v>
      </c>
      <c r="D545" s="635" t="s">
        <v>156</v>
      </c>
    </row>
    <row r="546" spans="1:4" ht="14.25" customHeight="1">
      <c r="A546" s="633" t="s">
        <v>2810</v>
      </c>
      <c r="B546" s="644" t="s">
        <v>2811</v>
      </c>
      <c r="C546" s="635" t="s">
        <v>152</v>
      </c>
      <c r="D546" s="635" t="s">
        <v>153</v>
      </c>
    </row>
    <row r="547" spans="1:4" ht="14.25" customHeight="1">
      <c r="A547" s="633" t="s">
        <v>2812</v>
      </c>
      <c r="B547" s="644" t="s">
        <v>2813</v>
      </c>
      <c r="C547" s="635" t="s">
        <v>152</v>
      </c>
      <c r="D547" s="635" t="s">
        <v>153</v>
      </c>
    </row>
    <row r="548" spans="1:4" ht="14.25" customHeight="1">
      <c r="A548" s="644" t="s">
        <v>2814</v>
      </c>
      <c r="B548" s="644" t="s">
        <v>2815</v>
      </c>
      <c r="C548" s="635" t="s">
        <v>152</v>
      </c>
      <c r="D548" s="635" t="s">
        <v>153</v>
      </c>
    </row>
    <row r="549" spans="1:4" ht="14.25" customHeight="1">
      <c r="A549" s="644" t="s">
        <v>2816</v>
      </c>
      <c r="B549" s="644" t="s">
        <v>2817</v>
      </c>
      <c r="C549" s="635" t="s">
        <v>152</v>
      </c>
      <c r="D549" s="635" t="s">
        <v>153</v>
      </c>
    </row>
    <row r="550" spans="1:4" ht="14.25" customHeight="1">
      <c r="A550" s="633" t="s">
        <v>2818</v>
      </c>
      <c r="B550" s="644" t="s">
        <v>2819</v>
      </c>
      <c r="C550" s="635" t="s">
        <v>152</v>
      </c>
      <c r="D550" s="635" t="s">
        <v>153</v>
      </c>
    </row>
    <row r="551" spans="1:4" ht="14.25" customHeight="1">
      <c r="A551" s="633" t="s">
        <v>2820</v>
      </c>
      <c r="B551" s="644" t="s">
        <v>2821</v>
      </c>
      <c r="C551" s="635" t="s">
        <v>152</v>
      </c>
      <c r="D551" s="635" t="s">
        <v>153</v>
      </c>
    </row>
    <row r="552" spans="1:4" ht="14.25" customHeight="1">
      <c r="A552" s="633" t="s">
        <v>2822</v>
      </c>
      <c r="B552" s="644" t="s">
        <v>2823</v>
      </c>
      <c r="C552" s="635" t="s">
        <v>152</v>
      </c>
      <c r="D552" s="635" t="s">
        <v>153</v>
      </c>
    </row>
    <row r="553" spans="1:4" ht="14.25" customHeight="1">
      <c r="A553" s="633" t="s">
        <v>2824</v>
      </c>
      <c r="B553" s="644" t="s">
        <v>2825</v>
      </c>
      <c r="C553" s="635" t="s">
        <v>152</v>
      </c>
      <c r="D553" s="635" t="s">
        <v>153</v>
      </c>
    </row>
    <row r="554" spans="1:4" ht="14.25" customHeight="1">
      <c r="A554" s="633" t="s">
        <v>2826</v>
      </c>
      <c r="B554" s="644" t="s">
        <v>2827</v>
      </c>
      <c r="C554" s="635" t="s">
        <v>152</v>
      </c>
      <c r="D554" s="635" t="s">
        <v>153</v>
      </c>
    </row>
    <row r="555" spans="1:4" ht="14.25" customHeight="1">
      <c r="A555" s="633" t="s">
        <v>2826</v>
      </c>
      <c r="B555" s="644" t="s">
        <v>2827</v>
      </c>
      <c r="C555" s="635" t="s">
        <v>152</v>
      </c>
      <c r="D555" s="635" t="s">
        <v>153</v>
      </c>
    </row>
    <row r="556" spans="1:4" ht="14.25" customHeight="1">
      <c r="A556" s="633" t="s">
        <v>2828</v>
      </c>
      <c r="B556" s="644" t="s">
        <v>2829</v>
      </c>
      <c r="C556" s="635" t="s">
        <v>152</v>
      </c>
      <c r="D556" s="635" t="s">
        <v>153</v>
      </c>
    </row>
    <row r="557" spans="1:4" ht="14.25" customHeight="1">
      <c r="A557" s="633" t="s">
        <v>2828</v>
      </c>
      <c r="B557" s="644" t="s">
        <v>2829</v>
      </c>
      <c r="C557" s="635" t="s">
        <v>152</v>
      </c>
      <c r="D557" s="635" t="s">
        <v>153</v>
      </c>
    </row>
    <row r="558" spans="1:4" ht="14.25" customHeight="1">
      <c r="A558" s="633" t="s">
        <v>2830</v>
      </c>
      <c r="B558" s="644" t="s">
        <v>2831</v>
      </c>
      <c r="C558" s="635" t="s">
        <v>152</v>
      </c>
      <c r="D558" s="635" t="s">
        <v>153</v>
      </c>
    </row>
    <row r="559" spans="1:4" ht="14.25" customHeight="1">
      <c r="A559" s="633" t="s">
        <v>2832</v>
      </c>
      <c r="B559" s="644" t="s">
        <v>2833</v>
      </c>
      <c r="C559" s="635" t="s">
        <v>152</v>
      </c>
      <c r="D559" s="635" t="s">
        <v>186</v>
      </c>
    </row>
    <row r="560" spans="1:4" ht="14.25" customHeight="1">
      <c r="A560" s="633" t="s">
        <v>2834</v>
      </c>
      <c r="B560" s="644" t="s">
        <v>2835</v>
      </c>
      <c r="C560" s="635" t="s">
        <v>152</v>
      </c>
      <c r="D560" s="635" t="s">
        <v>153</v>
      </c>
    </row>
    <row r="561" spans="1:4" ht="14.25" customHeight="1">
      <c r="A561" s="633" t="s">
        <v>2836</v>
      </c>
      <c r="B561" s="644" t="s">
        <v>2837</v>
      </c>
      <c r="C561" s="635" t="s">
        <v>152</v>
      </c>
      <c r="D561" s="635" t="s">
        <v>186</v>
      </c>
    </row>
    <row r="562" spans="1:4" ht="14.25" customHeight="1">
      <c r="A562" s="633" t="s">
        <v>2838</v>
      </c>
      <c r="B562" s="644" t="s">
        <v>2839</v>
      </c>
      <c r="C562" s="635" t="s">
        <v>152</v>
      </c>
      <c r="D562" s="635" t="s">
        <v>153</v>
      </c>
    </row>
    <row r="563" spans="1:4" ht="14.25" customHeight="1">
      <c r="A563" s="633" t="s">
        <v>2840</v>
      </c>
      <c r="B563" s="644" t="s">
        <v>2841</v>
      </c>
      <c r="C563" s="635" t="s">
        <v>152</v>
      </c>
      <c r="D563" s="635" t="s">
        <v>186</v>
      </c>
    </row>
    <row r="564" spans="1:4" ht="14.25" customHeight="1">
      <c r="A564" s="633" t="s">
        <v>2842</v>
      </c>
      <c r="B564" s="644" t="s">
        <v>2843</v>
      </c>
      <c r="C564" s="635" t="s">
        <v>152</v>
      </c>
      <c r="D564" s="635" t="s">
        <v>153</v>
      </c>
    </row>
    <row r="565" spans="1:4" ht="14.25" customHeight="1">
      <c r="A565" s="633" t="s">
        <v>2844</v>
      </c>
      <c r="B565" s="644" t="s">
        <v>2845</v>
      </c>
      <c r="C565" s="635" t="s">
        <v>152</v>
      </c>
      <c r="D565" s="635" t="s">
        <v>153</v>
      </c>
    </row>
    <row r="566" spans="1:4" ht="14.25" customHeight="1">
      <c r="A566" s="633" t="s">
        <v>2846</v>
      </c>
      <c r="B566" s="644" t="s">
        <v>2847</v>
      </c>
      <c r="C566" s="635" t="s">
        <v>152</v>
      </c>
      <c r="D566" s="635" t="s">
        <v>153</v>
      </c>
    </row>
    <row r="567" spans="1:4" ht="14.25" customHeight="1">
      <c r="A567" s="633" t="s">
        <v>2848</v>
      </c>
      <c r="B567" s="644" t="s">
        <v>2849</v>
      </c>
      <c r="C567" s="635" t="s">
        <v>152</v>
      </c>
      <c r="D567" s="635" t="s">
        <v>186</v>
      </c>
    </row>
    <row r="568" spans="1:4" ht="14.25" customHeight="1">
      <c r="A568" s="644" t="s">
        <v>2848</v>
      </c>
      <c r="B568" s="644" t="s">
        <v>2849</v>
      </c>
      <c r="C568" s="635" t="s">
        <v>152</v>
      </c>
      <c r="D568" s="635" t="s">
        <v>186</v>
      </c>
    </row>
    <row r="569" spans="1:4" ht="14.25" customHeight="1">
      <c r="A569" s="644" t="s">
        <v>2850</v>
      </c>
      <c r="B569" s="644" t="s">
        <v>2851</v>
      </c>
      <c r="C569" s="635" t="s">
        <v>152</v>
      </c>
      <c r="D569" s="635" t="s">
        <v>153</v>
      </c>
    </row>
    <row r="570" spans="1:4" ht="14.25" customHeight="1">
      <c r="A570" s="633" t="s">
        <v>2852</v>
      </c>
      <c r="B570" s="644" t="s">
        <v>2853</v>
      </c>
      <c r="C570" s="635" t="s">
        <v>161</v>
      </c>
      <c r="D570" s="635" t="s">
        <v>164</v>
      </c>
    </row>
    <row r="571" spans="1:4" ht="14.25" customHeight="1">
      <c r="A571" s="633" t="s">
        <v>2854</v>
      </c>
      <c r="B571" s="644" t="s">
        <v>2855</v>
      </c>
      <c r="C571" s="635" t="s">
        <v>161</v>
      </c>
      <c r="D571" s="635" t="s">
        <v>168</v>
      </c>
    </row>
    <row r="572" spans="1:4" ht="14.25" customHeight="1">
      <c r="A572" s="633" t="s">
        <v>2856</v>
      </c>
      <c r="B572" s="644" t="s">
        <v>2857</v>
      </c>
      <c r="C572" s="635" t="s">
        <v>161</v>
      </c>
      <c r="D572" s="635" t="s">
        <v>166</v>
      </c>
    </row>
    <row r="573" spans="1:4" ht="14.25" customHeight="1">
      <c r="A573" s="633" t="s">
        <v>2858</v>
      </c>
      <c r="B573" s="683" t="s">
        <v>2859</v>
      </c>
      <c r="C573" s="635" t="s">
        <v>161</v>
      </c>
      <c r="D573" s="635" t="s">
        <v>167</v>
      </c>
    </row>
    <row r="574" spans="1:4" ht="14.25" customHeight="1">
      <c r="A574" s="633" t="s">
        <v>2860</v>
      </c>
      <c r="B574" s="644" t="s">
        <v>2861</v>
      </c>
      <c r="C574" s="635" t="s">
        <v>161</v>
      </c>
      <c r="D574" s="635" t="s">
        <v>169</v>
      </c>
    </row>
    <row r="575" spans="1:4" ht="14.25" customHeight="1">
      <c r="A575" s="633" t="s">
        <v>2862</v>
      </c>
      <c r="B575" s="644" t="s">
        <v>2863</v>
      </c>
      <c r="C575" s="635" t="s">
        <v>161</v>
      </c>
      <c r="D575" s="635" t="s">
        <v>166</v>
      </c>
    </row>
    <row r="576" spans="1:4" ht="14.25" customHeight="1">
      <c r="A576" s="633" t="s">
        <v>2864</v>
      </c>
      <c r="B576" s="644" t="s">
        <v>2865</v>
      </c>
      <c r="C576" s="635" t="s">
        <v>1270</v>
      </c>
      <c r="D576" s="635" t="s">
        <v>172</v>
      </c>
    </row>
    <row r="577" spans="1:4" ht="14.25" customHeight="1">
      <c r="A577" s="633" t="s">
        <v>2866</v>
      </c>
      <c r="B577" s="644" t="s">
        <v>2867</v>
      </c>
      <c r="C577" s="635" t="s">
        <v>180</v>
      </c>
      <c r="D577" s="635" t="s">
        <v>192</v>
      </c>
    </row>
    <row r="578" spans="1:4" ht="14.25" customHeight="1">
      <c r="A578" s="633" t="s">
        <v>2868</v>
      </c>
      <c r="B578" s="644" t="s">
        <v>2869</v>
      </c>
      <c r="C578" s="635" t="s">
        <v>161</v>
      </c>
      <c r="D578" s="635" t="s">
        <v>1284</v>
      </c>
    </row>
    <row r="579" spans="1:4" ht="14.25" customHeight="1">
      <c r="A579" s="633" t="s">
        <v>2870</v>
      </c>
      <c r="B579" s="644" t="s">
        <v>2871</v>
      </c>
      <c r="C579" s="635" t="s">
        <v>161</v>
      </c>
      <c r="D579" s="635" t="s">
        <v>172</v>
      </c>
    </row>
    <row r="580" spans="1:4" ht="14.25" customHeight="1">
      <c r="A580" s="633" t="s">
        <v>2872</v>
      </c>
      <c r="B580" s="644" t="s">
        <v>2873</v>
      </c>
      <c r="C580" s="635" t="s">
        <v>161</v>
      </c>
      <c r="D580" s="635" t="s">
        <v>172</v>
      </c>
    </row>
    <row r="581" spans="1:4" ht="14.25" customHeight="1">
      <c r="A581" s="633" t="s">
        <v>2874</v>
      </c>
      <c r="B581" s="644" t="s">
        <v>2875</v>
      </c>
      <c r="C581" s="635" t="s">
        <v>161</v>
      </c>
      <c r="D581" s="635" t="s">
        <v>172</v>
      </c>
    </row>
    <row r="582" spans="1:4" ht="14.25" customHeight="1">
      <c r="A582" s="633" t="s">
        <v>2876</v>
      </c>
      <c r="B582" s="644" t="s">
        <v>2877</v>
      </c>
      <c r="C582" s="635" t="s">
        <v>176</v>
      </c>
      <c r="D582" s="635" t="s">
        <v>177</v>
      </c>
    </row>
    <row r="583" spans="1:4" ht="14.25" customHeight="1">
      <c r="A583" s="633" t="s">
        <v>2878</v>
      </c>
      <c r="B583" s="644" t="s">
        <v>2879</v>
      </c>
      <c r="C583" s="635" t="s">
        <v>176</v>
      </c>
      <c r="D583" s="635" t="s">
        <v>177</v>
      </c>
    </row>
    <row r="584" spans="1:4" ht="14.25" customHeight="1">
      <c r="A584" s="633" t="s">
        <v>2880</v>
      </c>
      <c r="B584" s="644" t="s">
        <v>2881</v>
      </c>
      <c r="C584" s="635" t="s">
        <v>176</v>
      </c>
      <c r="D584" s="635" t="s">
        <v>177</v>
      </c>
    </row>
    <row r="585" spans="1:4" ht="14.25" customHeight="1">
      <c r="A585" s="633" t="s">
        <v>2882</v>
      </c>
      <c r="B585" s="644" t="s">
        <v>2883</v>
      </c>
      <c r="C585" s="635" t="s">
        <v>152</v>
      </c>
      <c r="D585" s="635" t="s">
        <v>153</v>
      </c>
    </row>
    <row r="586" spans="1:4" ht="14.25" customHeight="1">
      <c r="A586" s="633" t="s">
        <v>2884</v>
      </c>
      <c r="B586" s="644" t="s">
        <v>2885</v>
      </c>
      <c r="C586" s="635" t="s">
        <v>152</v>
      </c>
      <c r="D586" s="635" t="s">
        <v>153</v>
      </c>
    </row>
    <row r="587" spans="1:4" ht="14.25" customHeight="1">
      <c r="A587" s="633" t="s">
        <v>2886</v>
      </c>
      <c r="B587" s="644" t="s">
        <v>2887</v>
      </c>
      <c r="C587" s="635" t="s">
        <v>152</v>
      </c>
      <c r="D587" s="635" t="s">
        <v>153</v>
      </c>
    </row>
    <row r="588" spans="1:4" ht="14.25" customHeight="1">
      <c r="A588" s="633" t="s">
        <v>2888</v>
      </c>
      <c r="B588" s="644" t="s">
        <v>2889</v>
      </c>
      <c r="C588" s="635" t="s">
        <v>152</v>
      </c>
      <c r="D588" s="635" t="s">
        <v>153</v>
      </c>
    </row>
    <row r="589" spans="1:4" ht="14.25" customHeight="1">
      <c r="A589" s="633" t="s">
        <v>2890</v>
      </c>
      <c r="B589" s="644" t="s">
        <v>2891</v>
      </c>
      <c r="C589" s="635" t="s">
        <v>152</v>
      </c>
      <c r="D589" s="635" t="s">
        <v>153</v>
      </c>
    </row>
    <row r="590" spans="1:4" ht="14.25" customHeight="1">
      <c r="A590" s="633" t="s">
        <v>2892</v>
      </c>
      <c r="B590" s="644" t="s">
        <v>2893</v>
      </c>
      <c r="C590" s="635" t="s">
        <v>152</v>
      </c>
      <c r="D590" s="635" t="s">
        <v>153</v>
      </c>
    </row>
    <row r="591" spans="1:4" ht="14.25" customHeight="1">
      <c r="A591" s="633" t="s">
        <v>2894</v>
      </c>
      <c r="B591" s="644" t="s">
        <v>2895</v>
      </c>
      <c r="C591" s="635" t="s">
        <v>152</v>
      </c>
      <c r="D591" s="635" t="s">
        <v>153</v>
      </c>
    </row>
    <row r="592" spans="1:4" ht="14.25" customHeight="1">
      <c r="A592" s="633" t="s">
        <v>2896</v>
      </c>
      <c r="B592" s="644" t="s">
        <v>2897</v>
      </c>
      <c r="C592" s="635" t="s">
        <v>152</v>
      </c>
      <c r="D592" s="635" t="s">
        <v>153</v>
      </c>
    </row>
    <row r="593" spans="1:4" ht="14.25" customHeight="1">
      <c r="A593" s="633" t="s">
        <v>2898</v>
      </c>
      <c r="B593" s="644" t="s">
        <v>2899</v>
      </c>
      <c r="C593" s="635" t="s">
        <v>152</v>
      </c>
      <c r="D593" s="635" t="s">
        <v>153</v>
      </c>
    </row>
    <row r="594" spans="1:4" ht="14.25" customHeight="1">
      <c r="A594" s="633" t="s">
        <v>2900</v>
      </c>
      <c r="B594" s="644" t="s">
        <v>2901</v>
      </c>
      <c r="C594" s="635" t="s">
        <v>152</v>
      </c>
      <c r="D594" s="635" t="s">
        <v>153</v>
      </c>
    </row>
    <row r="595" spans="1:4" ht="14.25" customHeight="1">
      <c r="A595" s="633" t="s">
        <v>2902</v>
      </c>
      <c r="B595" s="644" t="s">
        <v>2903</v>
      </c>
      <c r="C595" s="635" t="s">
        <v>152</v>
      </c>
      <c r="D595" s="635" t="s">
        <v>153</v>
      </c>
    </row>
    <row r="596" spans="1:4" ht="14.25" customHeight="1">
      <c r="A596" s="633" t="s">
        <v>2904</v>
      </c>
      <c r="B596" s="644" t="s">
        <v>2905</v>
      </c>
      <c r="C596" s="635" t="s">
        <v>152</v>
      </c>
      <c r="D596" s="635" t="s">
        <v>153</v>
      </c>
    </row>
    <row r="597" spans="1:4" ht="14.25" customHeight="1">
      <c r="A597" s="633" t="s">
        <v>2906</v>
      </c>
      <c r="B597" s="644" t="s">
        <v>2907</v>
      </c>
      <c r="C597" s="635" t="s">
        <v>152</v>
      </c>
      <c r="D597" s="635" t="s">
        <v>153</v>
      </c>
    </row>
    <row r="598" spans="1:4" ht="14.25" customHeight="1">
      <c r="A598" s="633" t="s">
        <v>2908</v>
      </c>
      <c r="B598" s="644" t="s">
        <v>2909</v>
      </c>
      <c r="C598" s="635" t="s">
        <v>152</v>
      </c>
      <c r="D598" s="635" t="s">
        <v>153</v>
      </c>
    </row>
    <row r="599" spans="1:4" ht="14.25" customHeight="1">
      <c r="A599" s="633" t="s">
        <v>2910</v>
      </c>
      <c r="B599" s="644" t="s">
        <v>2911</v>
      </c>
      <c r="C599" s="635" t="s">
        <v>152</v>
      </c>
      <c r="D599" s="635" t="s">
        <v>153</v>
      </c>
    </row>
    <row r="600" spans="1:4" ht="14.25" customHeight="1">
      <c r="A600" s="633" t="s">
        <v>2912</v>
      </c>
      <c r="B600" s="644" t="s">
        <v>2913</v>
      </c>
      <c r="C600" s="635" t="s">
        <v>152</v>
      </c>
      <c r="D600" s="635" t="s">
        <v>153</v>
      </c>
    </row>
    <row r="601" spans="1:4" ht="14.25" customHeight="1">
      <c r="A601" s="633" t="s">
        <v>2914</v>
      </c>
      <c r="B601" s="682" t="s">
        <v>2915</v>
      </c>
      <c r="C601" s="635" t="s">
        <v>152</v>
      </c>
      <c r="D601" s="635" t="s">
        <v>154</v>
      </c>
    </row>
    <row r="602" spans="1:4" ht="14.25" customHeight="1">
      <c r="A602" s="633" t="s">
        <v>2916</v>
      </c>
      <c r="B602" s="682" t="s">
        <v>2917</v>
      </c>
      <c r="C602" s="635" t="s">
        <v>152</v>
      </c>
      <c r="D602" s="635" t="s">
        <v>154</v>
      </c>
    </row>
    <row r="603" spans="1:4" ht="14.25" customHeight="1">
      <c r="A603" s="633" t="s">
        <v>2918</v>
      </c>
      <c r="B603" s="644" t="s">
        <v>2919</v>
      </c>
      <c r="C603" s="635" t="s">
        <v>152</v>
      </c>
      <c r="D603" s="635" t="s">
        <v>154</v>
      </c>
    </row>
    <row r="604" spans="1:4" ht="14.25" customHeight="1">
      <c r="A604" s="633" t="s">
        <v>2920</v>
      </c>
      <c r="B604" s="644" t="s">
        <v>2921</v>
      </c>
      <c r="C604" s="635" t="s">
        <v>152</v>
      </c>
      <c r="D604" s="635" t="s">
        <v>154</v>
      </c>
    </row>
    <row r="605" spans="1:4" ht="14.25" customHeight="1">
      <c r="A605" s="633" t="s">
        <v>2922</v>
      </c>
      <c r="B605" s="644" t="s">
        <v>2923</v>
      </c>
      <c r="C605" s="635" t="s">
        <v>152</v>
      </c>
      <c r="D605" s="635" t="s">
        <v>154</v>
      </c>
    </row>
    <row r="606" spans="1:4" ht="14.25" customHeight="1">
      <c r="A606" s="633" t="s">
        <v>2924</v>
      </c>
      <c r="B606" s="644" t="s">
        <v>2925</v>
      </c>
      <c r="C606" s="635" t="s">
        <v>152</v>
      </c>
      <c r="D606" s="635" t="s">
        <v>154</v>
      </c>
    </row>
    <row r="607" spans="1:4" ht="14.25" customHeight="1">
      <c r="A607" s="633" t="s">
        <v>2926</v>
      </c>
      <c r="B607" s="644" t="s">
        <v>2927</v>
      </c>
      <c r="C607" s="635" t="s">
        <v>152</v>
      </c>
      <c r="D607" s="635" t="s">
        <v>154</v>
      </c>
    </row>
    <row r="608" spans="1:4" ht="14.25" customHeight="1">
      <c r="A608" s="633" t="s">
        <v>2928</v>
      </c>
      <c r="B608" s="644" t="s">
        <v>2929</v>
      </c>
      <c r="C608" s="635" t="s">
        <v>152</v>
      </c>
      <c r="D608" s="635" t="s">
        <v>154</v>
      </c>
    </row>
    <row r="609" spans="1:4" ht="14.25" customHeight="1">
      <c r="A609" s="633" t="s">
        <v>2930</v>
      </c>
      <c r="B609" s="644" t="s">
        <v>2931</v>
      </c>
      <c r="C609" s="635" t="s">
        <v>152</v>
      </c>
      <c r="D609" s="635" t="s">
        <v>154</v>
      </c>
    </row>
    <row r="610" spans="1:4" ht="14.25" customHeight="1">
      <c r="A610" s="633" t="s">
        <v>2932</v>
      </c>
      <c r="B610" s="644" t="s">
        <v>2933</v>
      </c>
      <c r="C610" s="635" t="s">
        <v>152</v>
      </c>
      <c r="D610" s="635" t="s">
        <v>154</v>
      </c>
    </row>
    <row r="611" spans="1:4" ht="14.25" customHeight="1">
      <c r="A611" s="633" t="s">
        <v>2934</v>
      </c>
      <c r="B611" s="644" t="s">
        <v>2935</v>
      </c>
      <c r="C611" s="635" t="s">
        <v>152</v>
      </c>
      <c r="D611" s="635" t="s">
        <v>154</v>
      </c>
    </row>
    <row r="612" spans="1:4" ht="14.25" customHeight="1">
      <c r="A612" s="633" t="s">
        <v>2936</v>
      </c>
      <c r="B612" s="644" t="s">
        <v>2937</v>
      </c>
      <c r="C612" s="635" t="s">
        <v>152</v>
      </c>
      <c r="D612" s="635" t="s">
        <v>154</v>
      </c>
    </row>
    <row r="613" spans="1:4" ht="14.25" customHeight="1">
      <c r="A613" s="633" t="s">
        <v>2938</v>
      </c>
      <c r="B613" s="644" t="s">
        <v>2939</v>
      </c>
      <c r="C613" s="635" t="s">
        <v>152</v>
      </c>
      <c r="D613" s="635" t="s">
        <v>154</v>
      </c>
    </row>
    <row r="614" spans="1:4" ht="14.25" customHeight="1">
      <c r="A614" s="633" t="s">
        <v>2940</v>
      </c>
      <c r="B614" s="644" t="s">
        <v>2941</v>
      </c>
      <c r="C614" s="635" t="s">
        <v>152</v>
      </c>
      <c r="D614" s="635" t="s">
        <v>153</v>
      </c>
    </row>
    <row r="615" spans="1:4" ht="14.25" customHeight="1">
      <c r="A615" s="633" t="s">
        <v>2942</v>
      </c>
      <c r="B615" s="644" t="s">
        <v>2943</v>
      </c>
      <c r="C615" s="635" t="s">
        <v>152</v>
      </c>
      <c r="D615" s="635" t="s">
        <v>153</v>
      </c>
    </row>
    <row r="616" spans="1:4" ht="14.25" customHeight="1">
      <c r="A616" s="645" t="s">
        <v>2944</v>
      </c>
      <c r="B616" s="634" t="s">
        <v>2945</v>
      </c>
      <c r="C616" s="635" t="s">
        <v>152</v>
      </c>
      <c r="D616" s="635" t="s">
        <v>154</v>
      </c>
    </row>
    <row r="617" spans="1:4" ht="14.25" customHeight="1">
      <c r="A617" s="633" t="s">
        <v>2946</v>
      </c>
      <c r="B617" s="644" t="s">
        <v>2947</v>
      </c>
      <c r="C617" s="635" t="s">
        <v>180</v>
      </c>
      <c r="D617" s="635" t="s">
        <v>182</v>
      </c>
    </row>
    <row r="618" spans="1:4" ht="14.25" customHeight="1">
      <c r="A618" s="634" t="s">
        <v>2948</v>
      </c>
      <c r="B618" s="634" t="s">
        <v>2949</v>
      </c>
      <c r="C618" s="635"/>
      <c r="D618" s="635"/>
    </row>
    <row r="619" spans="1:4" ht="14.25" customHeight="1">
      <c r="A619" s="644" t="s">
        <v>2950</v>
      </c>
      <c r="B619" s="644" t="s">
        <v>2951</v>
      </c>
      <c r="C619" s="635" t="s">
        <v>180</v>
      </c>
      <c r="D619" s="635" t="s">
        <v>184</v>
      </c>
    </row>
    <row r="620" spans="1:4" ht="14.25" customHeight="1">
      <c r="A620" s="645" t="s">
        <v>2952</v>
      </c>
      <c r="B620" s="634" t="s">
        <v>2949</v>
      </c>
      <c r="C620" s="635"/>
      <c r="D620" s="635"/>
    </row>
    <row r="621" spans="1:4" ht="14.25" customHeight="1">
      <c r="A621" s="644" t="s">
        <v>2953</v>
      </c>
      <c r="B621" s="644" t="s">
        <v>2954</v>
      </c>
      <c r="C621" s="635" t="s">
        <v>180</v>
      </c>
      <c r="D621" s="635" t="s">
        <v>185</v>
      </c>
    </row>
    <row r="622" spans="1:4" ht="14.25" customHeight="1">
      <c r="A622" s="645" t="s">
        <v>2955</v>
      </c>
      <c r="B622" s="634" t="s">
        <v>2949</v>
      </c>
      <c r="C622" s="635"/>
      <c r="D622" s="635"/>
    </row>
    <row r="623" spans="1:4" ht="14.25" customHeight="1">
      <c r="A623" s="644" t="s">
        <v>2956</v>
      </c>
      <c r="B623" s="644" t="s">
        <v>2957</v>
      </c>
      <c r="C623" s="635" t="s">
        <v>180</v>
      </c>
      <c r="D623" s="635" t="s">
        <v>184</v>
      </c>
    </row>
    <row r="624" spans="1:4" ht="14.25" customHeight="1">
      <c r="A624" s="633" t="s">
        <v>2958</v>
      </c>
      <c r="B624" s="644" t="s">
        <v>2959</v>
      </c>
      <c r="C624" s="635" t="s">
        <v>180</v>
      </c>
      <c r="D624" s="635" t="s">
        <v>182</v>
      </c>
    </row>
    <row r="625" spans="1:4" ht="14.25" customHeight="1">
      <c r="A625" s="633" t="s">
        <v>2960</v>
      </c>
      <c r="B625" s="644" t="s">
        <v>2961</v>
      </c>
      <c r="C625" s="635" t="s">
        <v>180</v>
      </c>
      <c r="D625" s="635" t="s">
        <v>194</v>
      </c>
    </row>
    <row r="626" spans="1:4" ht="14.25" customHeight="1">
      <c r="A626" s="633" t="s">
        <v>2962</v>
      </c>
      <c r="B626" s="644" t="s">
        <v>2865</v>
      </c>
      <c r="C626" s="635" t="s">
        <v>161</v>
      </c>
      <c r="D626" s="635" t="s">
        <v>1284</v>
      </c>
    </row>
    <row r="627" spans="1:4" ht="14.25" customHeight="1">
      <c r="A627" s="644" t="s">
        <v>2963</v>
      </c>
      <c r="B627" s="644" t="s">
        <v>2964</v>
      </c>
      <c r="C627" s="635" t="s">
        <v>180</v>
      </c>
      <c r="D627" s="635" t="s">
        <v>183</v>
      </c>
    </row>
    <row r="628" spans="1:4" ht="14.25" customHeight="1">
      <c r="A628" s="644" t="s">
        <v>2965</v>
      </c>
      <c r="B628" s="644" t="s">
        <v>2966</v>
      </c>
      <c r="C628" s="635" t="s">
        <v>180</v>
      </c>
      <c r="D628" s="635" t="s">
        <v>183</v>
      </c>
    </row>
    <row r="629" spans="1:4" ht="14.25" customHeight="1">
      <c r="A629" s="633" t="s">
        <v>2967</v>
      </c>
      <c r="B629" s="644" t="s">
        <v>2968</v>
      </c>
      <c r="C629" s="635" t="s">
        <v>180</v>
      </c>
      <c r="D629" s="635" t="s">
        <v>183</v>
      </c>
    </row>
    <row r="630" spans="1:4" ht="14.25" customHeight="1">
      <c r="A630" s="633" t="s">
        <v>2969</v>
      </c>
      <c r="B630" s="644" t="s">
        <v>2970</v>
      </c>
      <c r="C630" s="635" t="s">
        <v>180</v>
      </c>
      <c r="D630" s="635" t="s">
        <v>186</v>
      </c>
    </row>
    <row r="631" spans="1:4" ht="14.25" customHeight="1">
      <c r="A631" s="633" t="s">
        <v>2971</v>
      </c>
      <c r="B631" s="644" t="s">
        <v>2972</v>
      </c>
      <c r="C631" s="635" t="s">
        <v>180</v>
      </c>
      <c r="D631" s="635" t="s">
        <v>186</v>
      </c>
    </row>
    <row r="632" spans="1:4" ht="14.25" customHeight="1">
      <c r="A632" s="633" t="s">
        <v>2973</v>
      </c>
      <c r="B632" s="644" t="s">
        <v>2974</v>
      </c>
      <c r="C632" s="635" t="s">
        <v>180</v>
      </c>
      <c r="D632" s="635" t="s">
        <v>2628</v>
      </c>
    </row>
    <row r="633" spans="1:4" ht="14.25" customHeight="1">
      <c r="A633" s="633" t="s">
        <v>2975</v>
      </c>
      <c r="B633" s="644" t="s">
        <v>2976</v>
      </c>
      <c r="C633" s="635" t="s">
        <v>180</v>
      </c>
      <c r="D633" s="635" t="s">
        <v>191</v>
      </c>
    </row>
    <row r="634" spans="1:4" ht="14.25" customHeight="1">
      <c r="A634" s="633" t="s">
        <v>2977</v>
      </c>
      <c r="B634" s="644" t="s">
        <v>2978</v>
      </c>
      <c r="C634" s="635" t="s">
        <v>1270</v>
      </c>
      <c r="D634" s="635" t="s">
        <v>183</v>
      </c>
    </row>
    <row r="635" spans="1:4" ht="14.25" customHeight="1">
      <c r="A635" s="633" t="s">
        <v>2979</v>
      </c>
      <c r="B635" s="644" t="s">
        <v>2980</v>
      </c>
      <c r="C635" s="635" t="s">
        <v>180</v>
      </c>
      <c r="D635" s="635" t="s">
        <v>188</v>
      </c>
    </row>
    <row r="636" spans="1:4" ht="14.25" customHeight="1">
      <c r="A636" s="633" t="s">
        <v>2981</v>
      </c>
      <c r="B636" s="644" t="s">
        <v>2883</v>
      </c>
      <c r="C636" s="635" t="s">
        <v>152</v>
      </c>
      <c r="D636" s="635" t="s">
        <v>153</v>
      </c>
    </row>
    <row r="637" spans="1:4" ht="14.25" customHeight="1">
      <c r="A637" s="633" t="s">
        <v>2982</v>
      </c>
      <c r="B637" s="644" t="s">
        <v>2885</v>
      </c>
      <c r="C637" s="635" t="s">
        <v>152</v>
      </c>
      <c r="D637" s="635" t="s">
        <v>153</v>
      </c>
    </row>
    <row r="638" spans="1:4" ht="14.25" customHeight="1">
      <c r="A638" s="633" t="s">
        <v>2983</v>
      </c>
      <c r="B638" s="644" t="s">
        <v>2887</v>
      </c>
      <c r="C638" s="635" t="s">
        <v>152</v>
      </c>
      <c r="D638" s="635" t="s">
        <v>153</v>
      </c>
    </row>
    <row r="639" spans="1:4" ht="14.25" customHeight="1">
      <c r="A639" s="633" t="s">
        <v>2984</v>
      </c>
      <c r="B639" s="644" t="s">
        <v>2889</v>
      </c>
      <c r="C639" s="635" t="s">
        <v>152</v>
      </c>
      <c r="D639" s="635" t="s">
        <v>153</v>
      </c>
    </row>
    <row r="640" spans="1:4" ht="14.25" customHeight="1">
      <c r="A640" s="658" t="s">
        <v>2985</v>
      </c>
      <c r="B640" s="683" t="s">
        <v>2891</v>
      </c>
      <c r="C640" s="635" t="s">
        <v>152</v>
      </c>
      <c r="D640" s="635" t="s">
        <v>153</v>
      </c>
    </row>
    <row r="641" spans="1:4" ht="14.25" customHeight="1">
      <c r="A641" s="633" t="s">
        <v>2986</v>
      </c>
      <c r="B641" s="644" t="s">
        <v>2893</v>
      </c>
      <c r="C641" s="635" t="s">
        <v>152</v>
      </c>
      <c r="D641" s="635" t="s">
        <v>153</v>
      </c>
    </row>
    <row r="642" spans="1:4" ht="14.25" customHeight="1">
      <c r="A642" s="633" t="s">
        <v>2987</v>
      </c>
      <c r="B642" s="644" t="s">
        <v>2895</v>
      </c>
      <c r="C642" s="635" t="s">
        <v>152</v>
      </c>
      <c r="D642" s="635" t="s">
        <v>153</v>
      </c>
    </row>
    <row r="643" spans="1:4" ht="14.25" customHeight="1">
      <c r="A643" s="633" t="s">
        <v>2988</v>
      </c>
      <c r="B643" s="644" t="s">
        <v>2897</v>
      </c>
      <c r="C643" s="635" t="s">
        <v>152</v>
      </c>
      <c r="D643" s="635" t="s">
        <v>153</v>
      </c>
    </row>
    <row r="644" spans="1:4" ht="14.25" customHeight="1">
      <c r="A644" s="633" t="s">
        <v>2989</v>
      </c>
      <c r="B644" s="644" t="s">
        <v>2899</v>
      </c>
      <c r="C644" s="635" t="s">
        <v>152</v>
      </c>
      <c r="D644" s="635" t="s">
        <v>153</v>
      </c>
    </row>
    <row r="645" spans="1:4" ht="14.25" customHeight="1">
      <c r="A645" s="633" t="s">
        <v>2990</v>
      </c>
      <c r="B645" s="644" t="s">
        <v>2901</v>
      </c>
      <c r="C645" s="635" t="s">
        <v>152</v>
      </c>
      <c r="D645" s="635" t="s">
        <v>153</v>
      </c>
    </row>
    <row r="646" spans="1:4" ht="14.25" customHeight="1">
      <c r="A646" s="633" t="s">
        <v>2991</v>
      </c>
      <c r="B646" s="644" t="s">
        <v>2903</v>
      </c>
      <c r="C646" s="635" t="s">
        <v>152</v>
      </c>
      <c r="D646" s="635" t="s">
        <v>153</v>
      </c>
    </row>
    <row r="647" spans="1:4" ht="14.25" customHeight="1">
      <c r="A647" s="633" t="s">
        <v>2992</v>
      </c>
      <c r="B647" s="644" t="s">
        <v>2905</v>
      </c>
      <c r="C647" s="635" t="s">
        <v>152</v>
      </c>
      <c r="D647" s="635" t="s">
        <v>153</v>
      </c>
    </row>
    <row r="648" spans="1:4" ht="14.25" customHeight="1">
      <c r="A648" s="633" t="s">
        <v>2993</v>
      </c>
      <c r="B648" s="644" t="s">
        <v>2907</v>
      </c>
      <c r="C648" s="635" t="s">
        <v>152</v>
      </c>
      <c r="D648" s="635" t="s">
        <v>153</v>
      </c>
    </row>
    <row r="649" spans="1:4" ht="14.25" customHeight="1">
      <c r="A649" s="633" t="s">
        <v>2994</v>
      </c>
      <c r="B649" s="644" t="s">
        <v>2909</v>
      </c>
      <c r="C649" s="635" t="s">
        <v>152</v>
      </c>
      <c r="D649" s="635" t="s">
        <v>153</v>
      </c>
    </row>
    <row r="650" spans="1:4" ht="14.25" customHeight="1">
      <c r="A650" s="658" t="s">
        <v>2995</v>
      </c>
      <c r="B650" s="659" t="s">
        <v>2911</v>
      </c>
      <c r="C650" s="635" t="s">
        <v>152</v>
      </c>
      <c r="D650" s="635" t="s">
        <v>153</v>
      </c>
    </row>
    <row r="651" spans="1:4" ht="14.25" customHeight="1">
      <c r="A651" s="633" t="s">
        <v>2996</v>
      </c>
      <c r="B651" s="641" t="s">
        <v>2929</v>
      </c>
      <c r="C651" s="635" t="s">
        <v>152</v>
      </c>
      <c r="D651" s="635" t="s">
        <v>154</v>
      </c>
    </row>
    <row r="652" spans="1:4" ht="14.25" customHeight="1">
      <c r="A652" s="633" t="s">
        <v>2997</v>
      </c>
      <c r="B652" s="644" t="s">
        <v>2998</v>
      </c>
      <c r="C652" s="635" t="s">
        <v>152</v>
      </c>
      <c r="D652" s="635" t="s">
        <v>154</v>
      </c>
    </row>
    <row r="653" spans="1:4" ht="14.25" customHeight="1">
      <c r="A653" s="633" t="s">
        <v>2999</v>
      </c>
      <c r="B653" s="644" t="s">
        <v>3000</v>
      </c>
      <c r="C653" s="635" t="s">
        <v>152</v>
      </c>
      <c r="D653" s="635" t="s">
        <v>154</v>
      </c>
    </row>
    <row r="654" spans="1:4" ht="14.25" customHeight="1">
      <c r="A654" s="633" t="s">
        <v>3001</v>
      </c>
      <c r="B654" s="644" t="s">
        <v>3002</v>
      </c>
      <c r="C654" s="635" t="s">
        <v>152</v>
      </c>
      <c r="D654" s="635" t="s">
        <v>153</v>
      </c>
    </row>
    <row r="655" spans="1:4" ht="14.25" customHeight="1">
      <c r="A655" s="633" t="s">
        <v>3003</v>
      </c>
      <c r="B655" s="644" t="s">
        <v>2943</v>
      </c>
      <c r="C655" s="635" t="s">
        <v>152</v>
      </c>
      <c r="D655" s="635" t="s">
        <v>153</v>
      </c>
    </row>
    <row r="656" spans="1:4" ht="14.25" customHeight="1">
      <c r="A656" s="633" t="s">
        <v>3004</v>
      </c>
      <c r="B656" s="644" t="s">
        <v>3005</v>
      </c>
      <c r="C656" s="635" t="s">
        <v>152</v>
      </c>
      <c r="D656" s="635" t="s">
        <v>154</v>
      </c>
    </row>
    <row r="657" spans="1:4" ht="14.25" customHeight="1">
      <c r="A657" s="645" t="s">
        <v>3006</v>
      </c>
      <c r="B657" s="634" t="s">
        <v>2945</v>
      </c>
      <c r="C657" s="635" t="s">
        <v>152</v>
      </c>
      <c r="D657" s="635" t="s">
        <v>154</v>
      </c>
    </row>
    <row r="658" spans="1:4" ht="14.25" customHeight="1">
      <c r="A658" s="633" t="s">
        <v>3007</v>
      </c>
      <c r="B658" s="644" t="s">
        <v>1098</v>
      </c>
      <c r="C658" s="635" t="s">
        <v>92</v>
      </c>
      <c r="D658" s="635" t="s">
        <v>111</v>
      </c>
    </row>
    <row r="659" spans="1:4" ht="14.25" customHeight="1">
      <c r="A659" s="633" t="s">
        <v>3008</v>
      </c>
      <c r="B659" s="644" t="s">
        <v>1101</v>
      </c>
      <c r="C659" s="635" t="s">
        <v>92</v>
      </c>
      <c r="D659" s="635" t="s">
        <v>112</v>
      </c>
    </row>
    <row r="660" spans="1:4" ht="14.25" customHeight="1">
      <c r="A660" s="633" t="s">
        <v>3009</v>
      </c>
      <c r="B660" s="644" t="s">
        <v>1103</v>
      </c>
      <c r="C660" s="635" t="s">
        <v>92</v>
      </c>
      <c r="D660" s="635" t="s">
        <v>114</v>
      </c>
    </row>
    <row r="661" spans="1:4" ht="14.25" customHeight="1">
      <c r="A661" s="633" t="s">
        <v>3010</v>
      </c>
      <c r="B661" s="644" t="s">
        <v>3011</v>
      </c>
      <c r="C661" s="635" t="s">
        <v>92</v>
      </c>
      <c r="D661" s="635" t="s">
        <v>115</v>
      </c>
    </row>
    <row r="662" spans="1:4" ht="14.25" customHeight="1">
      <c r="A662" s="633" t="s">
        <v>3012</v>
      </c>
      <c r="B662" s="644" t="s">
        <v>1107</v>
      </c>
      <c r="C662" s="635" t="s">
        <v>92</v>
      </c>
      <c r="D662" s="635" t="s">
        <v>117</v>
      </c>
    </row>
    <row r="663" spans="1:4" ht="14.25" customHeight="1">
      <c r="A663" s="633" t="s">
        <v>3013</v>
      </c>
      <c r="B663" s="644" t="s">
        <v>1109</v>
      </c>
      <c r="C663" s="635" t="s">
        <v>92</v>
      </c>
      <c r="D663" s="635" t="s">
        <v>113</v>
      </c>
    </row>
    <row r="664" spans="1:4" ht="14.25" customHeight="1">
      <c r="A664" s="633" t="s">
        <v>3014</v>
      </c>
      <c r="B664" s="644" t="s">
        <v>1111</v>
      </c>
      <c r="C664" s="635" t="s">
        <v>92</v>
      </c>
      <c r="D664" s="635" t="s">
        <v>116</v>
      </c>
    </row>
    <row r="665" spans="1:4" ht="14.25" customHeight="1">
      <c r="A665" s="633" t="s">
        <v>3015</v>
      </c>
      <c r="B665" s="644" t="s">
        <v>3016</v>
      </c>
      <c r="C665" s="635" t="s">
        <v>92</v>
      </c>
      <c r="D665" s="635" t="s">
        <v>116</v>
      </c>
    </row>
    <row r="666" spans="1:4" ht="14.25" customHeight="1">
      <c r="A666" s="633" t="s">
        <v>3017</v>
      </c>
      <c r="B666" s="683" t="s">
        <v>3018</v>
      </c>
      <c r="C666" s="635" t="s">
        <v>92</v>
      </c>
      <c r="D666" s="635" t="s">
        <v>116</v>
      </c>
    </row>
    <row r="667" spans="1:4" ht="14.25" customHeight="1">
      <c r="A667" s="633" t="s">
        <v>3019</v>
      </c>
      <c r="B667" s="644" t="s">
        <v>1114</v>
      </c>
      <c r="C667" s="635" t="s">
        <v>92</v>
      </c>
      <c r="D667" s="635" t="s">
        <v>204</v>
      </c>
    </row>
    <row r="668" spans="1:4" ht="14.25" customHeight="1">
      <c r="A668" s="633" t="s">
        <v>3020</v>
      </c>
      <c r="B668" s="644" t="s">
        <v>3021</v>
      </c>
      <c r="C668" s="635" t="s">
        <v>92</v>
      </c>
      <c r="D668" s="635" t="s">
        <v>120</v>
      </c>
    </row>
    <row r="669" spans="1:4" ht="14.25" customHeight="1">
      <c r="A669" s="633" t="s">
        <v>3022</v>
      </c>
      <c r="B669" s="644" t="s">
        <v>1118</v>
      </c>
      <c r="C669" s="635" t="s">
        <v>92</v>
      </c>
      <c r="D669" s="635" t="s">
        <v>121</v>
      </c>
    </row>
    <row r="670" spans="1:4" ht="14.25" customHeight="1">
      <c r="A670" s="633" t="s">
        <v>3023</v>
      </c>
      <c r="B670" s="644" t="s">
        <v>1120</v>
      </c>
      <c r="C670" s="635" t="s">
        <v>92</v>
      </c>
      <c r="D670" s="635" t="s">
        <v>122</v>
      </c>
    </row>
    <row r="671" spans="1:4" ht="14.25" customHeight="1">
      <c r="A671" s="633" t="s">
        <v>3024</v>
      </c>
      <c r="B671" s="644" t="s">
        <v>1122</v>
      </c>
      <c r="C671" s="635" t="s">
        <v>92</v>
      </c>
      <c r="D671" s="635" t="s">
        <v>124</v>
      </c>
    </row>
    <row r="672" spans="1:4" ht="14.25" customHeight="1">
      <c r="A672" s="633" t="s">
        <v>3025</v>
      </c>
      <c r="B672" s="644" t="s">
        <v>1124</v>
      </c>
      <c r="C672" s="635" t="s">
        <v>92</v>
      </c>
      <c r="D672" s="635" t="s">
        <v>127</v>
      </c>
    </row>
    <row r="673" spans="1:4" ht="14.25" customHeight="1">
      <c r="A673" s="633" t="s">
        <v>3026</v>
      </c>
      <c r="B673" s="644" t="s">
        <v>1126</v>
      </c>
      <c r="C673" s="635" t="s">
        <v>92</v>
      </c>
      <c r="D673" s="635" t="s">
        <v>125</v>
      </c>
    </row>
    <row r="674" spans="1:4" ht="14.25" customHeight="1">
      <c r="A674" s="644" t="s">
        <v>3027</v>
      </c>
      <c r="B674" s="644" t="s">
        <v>1130</v>
      </c>
      <c r="C674" s="635" t="s">
        <v>92</v>
      </c>
      <c r="D674" s="635" t="s">
        <v>126</v>
      </c>
    </row>
    <row r="675" spans="1:4" ht="14.25" customHeight="1">
      <c r="A675" s="633" t="s">
        <v>3028</v>
      </c>
      <c r="B675" s="644" t="s">
        <v>1132</v>
      </c>
      <c r="C675" s="635" t="s">
        <v>92</v>
      </c>
      <c r="D675" s="635" t="s">
        <v>135</v>
      </c>
    </row>
    <row r="676" spans="1:4" ht="14.25" customHeight="1">
      <c r="A676" s="633" t="s">
        <v>3029</v>
      </c>
      <c r="B676" s="644" t="s">
        <v>1134</v>
      </c>
      <c r="C676" s="635" t="s">
        <v>161</v>
      </c>
      <c r="D676" s="635" t="s">
        <v>136</v>
      </c>
    </row>
    <row r="677" spans="1:4" ht="14.25" customHeight="1">
      <c r="A677" s="633" t="s">
        <v>3030</v>
      </c>
      <c r="B677" s="644" t="s">
        <v>1136</v>
      </c>
      <c r="C677" s="635" t="s">
        <v>92</v>
      </c>
      <c r="D677" s="635" t="s">
        <v>141</v>
      </c>
    </row>
    <row r="678" spans="1:4" ht="14.25" customHeight="1">
      <c r="A678" s="633" t="s">
        <v>3031</v>
      </c>
      <c r="B678" s="644" t="s">
        <v>1138</v>
      </c>
      <c r="C678" s="635" t="s">
        <v>92</v>
      </c>
      <c r="D678" s="635" t="s">
        <v>131</v>
      </c>
    </row>
    <row r="679" spans="1:4" ht="14.25" customHeight="1">
      <c r="A679" s="633" t="s">
        <v>3032</v>
      </c>
      <c r="B679" s="644" t="s">
        <v>1140</v>
      </c>
      <c r="C679" s="635" t="s">
        <v>92</v>
      </c>
      <c r="D679" s="635" t="s">
        <v>139</v>
      </c>
    </row>
    <row r="680" spans="1:4" ht="14.25" customHeight="1">
      <c r="A680" s="633" t="s">
        <v>3033</v>
      </c>
      <c r="B680" s="644" t="s">
        <v>1142</v>
      </c>
      <c r="C680" s="635" t="s">
        <v>92</v>
      </c>
      <c r="D680" s="635" t="s">
        <v>132</v>
      </c>
    </row>
    <row r="681" spans="1:4" ht="14.25" customHeight="1">
      <c r="A681" s="633" t="s">
        <v>3034</v>
      </c>
      <c r="B681" s="644" t="s">
        <v>1144</v>
      </c>
      <c r="C681" s="635" t="s">
        <v>92</v>
      </c>
      <c r="D681" s="635" t="s">
        <v>137</v>
      </c>
    </row>
    <row r="682" spans="1:4" ht="14.25" customHeight="1">
      <c r="A682" s="633" t="s">
        <v>3035</v>
      </c>
      <c r="B682" s="644" t="s">
        <v>1146</v>
      </c>
      <c r="C682" s="635" t="s">
        <v>92</v>
      </c>
      <c r="D682" s="635" t="s">
        <v>138</v>
      </c>
    </row>
    <row r="683" spans="1:4" ht="14.25" customHeight="1">
      <c r="A683" s="633" t="s">
        <v>3036</v>
      </c>
      <c r="B683" s="644" t="s">
        <v>1148</v>
      </c>
      <c r="C683" s="635" t="s">
        <v>92</v>
      </c>
      <c r="D683" s="635" t="s">
        <v>140</v>
      </c>
    </row>
    <row r="684" spans="1:4" ht="14.25" customHeight="1">
      <c r="A684" s="633" t="s">
        <v>3037</v>
      </c>
      <c r="B684" s="644" t="s">
        <v>1150</v>
      </c>
      <c r="C684" s="635" t="s">
        <v>92</v>
      </c>
      <c r="D684" s="635" t="s">
        <v>133</v>
      </c>
    </row>
    <row r="685" spans="1:4" ht="14.25" customHeight="1">
      <c r="A685" s="633" t="s">
        <v>3038</v>
      </c>
      <c r="B685" s="644" t="s">
        <v>1154</v>
      </c>
      <c r="C685" s="635" t="s">
        <v>92</v>
      </c>
      <c r="D685" s="635" t="s">
        <v>134</v>
      </c>
    </row>
    <row r="686" spans="1:4" ht="14.25" customHeight="1">
      <c r="A686" s="633" t="s">
        <v>3039</v>
      </c>
      <c r="B686" s="644" t="s">
        <v>1156</v>
      </c>
      <c r="C686" s="635" t="s">
        <v>1270</v>
      </c>
      <c r="D686" s="635" t="s">
        <v>221</v>
      </c>
    </row>
    <row r="687" spans="1:4" ht="14.25" customHeight="1">
      <c r="A687" s="633" t="s">
        <v>3040</v>
      </c>
      <c r="B687" s="644" t="s">
        <v>1334</v>
      </c>
      <c r="C687" s="635" t="s">
        <v>1270</v>
      </c>
      <c r="D687" s="635" t="s">
        <v>213</v>
      </c>
    </row>
    <row r="688" spans="1:4" ht="14.25" customHeight="1">
      <c r="A688" s="633" t="s">
        <v>3041</v>
      </c>
      <c r="B688" s="644" t="s">
        <v>1158</v>
      </c>
      <c r="C688" s="635" t="s">
        <v>1270</v>
      </c>
      <c r="D688" s="635" t="s">
        <v>210</v>
      </c>
    </row>
    <row r="689" spans="1:4" ht="14.25" customHeight="1">
      <c r="A689" s="633" t="s">
        <v>3042</v>
      </c>
      <c r="B689" s="644" t="s">
        <v>1160</v>
      </c>
      <c r="C689" s="635" t="s">
        <v>92</v>
      </c>
      <c r="D689" s="635" t="s">
        <v>205</v>
      </c>
    </row>
    <row r="690" spans="1:4" ht="14.25" customHeight="1">
      <c r="A690" s="633" t="s">
        <v>3043</v>
      </c>
      <c r="B690" s="644" t="s">
        <v>1162</v>
      </c>
      <c r="C690" s="635" t="s">
        <v>1270</v>
      </c>
      <c r="D690" s="635" t="s">
        <v>209</v>
      </c>
    </row>
    <row r="691" spans="1:4" ht="14.25" customHeight="1">
      <c r="A691" s="633" t="s">
        <v>3044</v>
      </c>
      <c r="B691" s="644" t="s">
        <v>1164</v>
      </c>
      <c r="C691" s="635" t="s">
        <v>1270</v>
      </c>
      <c r="D691" s="635" t="s">
        <v>206</v>
      </c>
    </row>
    <row r="692" spans="1:4" ht="14.25" customHeight="1">
      <c r="A692" s="633" t="s">
        <v>3045</v>
      </c>
      <c r="B692" s="644" t="s">
        <v>3046</v>
      </c>
      <c r="C692" s="635" t="s">
        <v>1270</v>
      </c>
      <c r="D692" s="635" t="s">
        <v>208</v>
      </c>
    </row>
    <row r="693" spans="1:4" ht="14.25" customHeight="1">
      <c r="A693" s="633" t="s">
        <v>3047</v>
      </c>
      <c r="B693" s="644" t="s">
        <v>1166</v>
      </c>
      <c r="C693" s="635" t="s">
        <v>1270</v>
      </c>
      <c r="D693" s="635" t="s">
        <v>207</v>
      </c>
    </row>
    <row r="694" spans="1:4" ht="14.25" customHeight="1">
      <c r="A694" s="633" t="s">
        <v>3048</v>
      </c>
      <c r="B694" s="644" t="s">
        <v>1168</v>
      </c>
      <c r="C694" s="635" t="s">
        <v>1270</v>
      </c>
      <c r="D694" s="635" t="s">
        <v>211</v>
      </c>
    </row>
    <row r="695" spans="1:4" ht="14.25" customHeight="1">
      <c r="A695" s="633" t="s">
        <v>3049</v>
      </c>
      <c r="B695" s="644" t="s">
        <v>1335</v>
      </c>
      <c r="C695" s="635" t="s">
        <v>1270</v>
      </c>
      <c r="D695" s="635" t="s">
        <v>214</v>
      </c>
    </row>
    <row r="696" spans="1:4" ht="14.25" customHeight="1">
      <c r="A696" s="633" t="s">
        <v>3050</v>
      </c>
      <c r="B696" s="644" t="s">
        <v>1170</v>
      </c>
      <c r="C696" s="635" t="s">
        <v>152</v>
      </c>
      <c r="D696" s="635" t="s">
        <v>111</v>
      </c>
    </row>
    <row r="697" spans="1:4" ht="14.25" customHeight="1">
      <c r="A697" s="633" t="s">
        <v>3051</v>
      </c>
      <c r="B697" s="644" t="s">
        <v>1101</v>
      </c>
      <c r="C697" s="635" t="s">
        <v>152</v>
      </c>
      <c r="D697" s="635" t="s">
        <v>112</v>
      </c>
    </row>
    <row r="698" spans="1:4" ht="14.25" customHeight="1">
      <c r="A698" s="633" t="s">
        <v>3052</v>
      </c>
      <c r="B698" s="644" t="s">
        <v>1171</v>
      </c>
      <c r="C698" s="635" t="s">
        <v>152</v>
      </c>
      <c r="D698" s="635" t="s">
        <v>114</v>
      </c>
    </row>
    <row r="699" spans="1:4" ht="14.25" customHeight="1">
      <c r="A699" s="633" t="s">
        <v>3053</v>
      </c>
      <c r="B699" s="644" t="s">
        <v>3011</v>
      </c>
      <c r="C699" s="635" t="s">
        <v>152</v>
      </c>
      <c r="D699" s="635" t="s">
        <v>115</v>
      </c>
    </row>
    <row r="700" spans="1:4" ht="14.25" customHeight="1">
      <c r="A700" s="633" t="s">
        <v>3054</v>
      </c>
      <c r="B700" s="644" t="s">
        <v>1107</v>
      </c>
      <c r="C700" s="635" t="s">
        <v>1270</v>
      </c>
      <c r="D700" s="635" t="s">
        <v>223</v>
      </c>
    </row>
    <row r="701" spans="1:4" ht="14.25" customHeight="1">
      <c r="A701" s="633" t="s">
        <v>3055</v>
      </c>
      <c r="B701" s="644" t="s">
        <v>1109</v>
      </c>
      <c r="C701" s="635" t="s">
        <v>152</v>
      </c>
      <c r="D701" s="635" t="s">
        <v>113</v>
      </c>
    </row>
    <row r="702" spans="1:4" ht="14.25" customHeight="1">
      <c r="A702" s="633" t="s">
        <v>3056</v>
      </c>
      <c r="B702" s="644" t="s">
        <v>1111</v>
      </c>
      <c r="C702" s="635" t="s">
        <v>152</v>
      </c>
      <c r="D702" s="635" t="s">
        <v>116</v>
      </c>
    </row>
    <row r="703" spans="1:4" ht="14.25" customHeight="1">
      <c r="A703" s="633" t="s">
        <v>3057</v>
      </c>
      <c r="B703" s="644" t="s">
        <v>3058</v>
      </c>
      <c r="C703" s="635" t="s">
        <v>152</v>
      </c>
      <c r="D703" s="635" t="s">
        <v>116</v>
      </c>
    </row>
    <row r="704" spans="1:4" ht="14.25" customHeight="1">
      <c r="A704" s="633" t="s">
        <v>3059</v>
      </c>
      <c r="B704" s="644" t="s">
        <v>1114</v>
      </c>
      <c r="C704" s="635" t="s">
        <v>152</v>
      </c>
      <c r="D704" s="635" t="s">
        <v>204</v>
      </c>
    </row>
    <row r="705" spans="1:4" ht="14.25" customHeight="1">
      <c r="A705" s="633" t="s">
        <v>3060</v>
      </c>
      <c r="B705" s="644" t="s">
        <v>3021</v>
      </c>
      <c r="C705" s="635" t="s">
        <v>152</v>
      </c>
      <c r="D705" s="635" t="s">
        <v>120</v>
      </c>
    </row>
    <row r="706" spans="1:4" ht="14.25" customHeight="1">
      <c r="A706" s="633" t="s">
        <v>3061</v>
      </c>
      <c r="B706" s="644" t="s">
        <v>1118</v>
      </c>
      <c r="C706" s="635" t="s">
        <v>152</v>
      </c>
      <c r="D706" s="635" t="s">
        <v>121</v>
      </c>
    </row>
    <row r="707" spans="1:4" ht="14.25" customHeight="1">
      <c r="A707" s="633" t="s">
        <v>3062</v>
      </c>
      <c r="B707" s="644" t="s">
        <v>1173</v>
      </c>
      <c r="C707" s="635" t="s">
        <v>152</v>
      </c>
      <c r="D707" s="635" t="s">
        <v>122</v>
      </c>
    </row>
    <row r="708" spans="1:4" ht="14.25" customHeight="1">
      <c r="A708" s="633" t="s">
        <v>3063</v>
      </c>
      <c r="B708" s="644" t="s">
        <v>1174</v>
      </c>
      <c r="C708" s="635" t="s">
        <v>152</v>
      </c>
      <c r="D708" s="635" t="s">
        <v>124</v>
      </c>
    </row>
    <row r="709" spans="1:4" ht="14.25" customHeight="1">
      <c r="A709" s="633" t="s">
        <v>3064</v>
      </c>
      <c r="B709" s="644" t="s">
        <v>1124</v>
      </c>
      <c r="C709" s="635" t="s">
        <v>152</v>
      </c>
      <c r="D709" s="635" t="s">
        <v>127</v>
      </c>
    </row>
    <row r="710" spans="1:4" ht="14.25" customHeight="1">
      <c r="A710" s="633" t="s">
        <v>3065</v>
      </c>
      <c r="B710" s="644" t="s">
        <v>1126</v>
      </c>
      <c r="C710" s="635" t="s">
        <v>152</v>
      </c>
      <c r="D710" s="635" t="s">
        <v>125</v>
      </c>
    </row>
    <row r="711" spans="1:4" ht="14.25" customHeight="1">
      <c r="A711" s="644" t="s">
        <v>3066</v>
      </c>
      <c r="B711" s="644" t="s">
        <v>1176</v>
      </c>
      <c r="C711" s="635" t="s">
        <v>152</v>
      </c>
      <c r="D711" s="635" t="s">
        <v>126</v>
      </c>
    </row>
    <row r="712" spans="1:4" ht="14.25" customHeight="1">
      <c r="A712" s="633" t="s">
        <v>3067</v>
      </c>
      <c r="B712" s="644" t="s">
        <v>1132</v>
      </c>
      <c r="C712" s="635" t="s">
        <v>152</v>
      </c>
      <c r="D712" s="635" t="s">
        <v>135</v>
      </c>
    </row>
    <row r="713" spans="1:4" ht="14.25" customHeight="1">
      <c r="A713" s="633" t="s">
        <v>3068</v>
      </c>
      <c r="B713" s="644" t="s">
        <v>1134</v>
      </c>
      <c r="C713" s="635" t="s">
        <v>161</v>
      </c>
      <c r="D713" s="635" t="s">
        <v>136</v>
      </c>
    </row>
    <row r="714" spans="1:4" ht="14.25" customHeight="1">
      <c r="A714" s="633" t="s">
        <v>3069</v>
      </c>
      <c r="B714" s="644" t="s">
        <v>1136</v>
      </c>
      <c r="C714" s="635" t="s">
        <v>152</v>
      </c>
      <c r="D714" s="635" t="s">
        <v>141</v>
      </c>
    </row>
    <row r="715" spans="1:4" ht="14.25" customHeight="1">
      <c r="A715" s="633" t="s">
        <v>3070</v>
      </c>
      <c r="B715" s="644" t="s">
        <v>1138</v>
      </c>
      <c r="C715" s="635" t="s">
        <v>152</v>
      </c>
      <c r="D715" s="635" t="s">
        <v>131</v>
      </c>
    </row>
    <row r="716" spans="1:4" ht="14.25" customHeight="1">
      <c r="A716" s="633" t="s">
        <v>3071</v>
      </c>
      <c r="B716" s="644" t="s">
        <v>1140</v>
      </c>
      <c r="C716" s="635" t="s">
        <v>152</v>
      </c>
      <c r="D716" s="635" t="s">
        <v>139</v>
      </c>
    </row>
    <row r="717" spans="1:4" ht="14.25" customHeight="1">
      <c r="A717" s="633" t="s">
        <v>3072</v>
      </c>
      <c r="B717" s="644" t="s">
        <v>1142</v>
      </c>
      <c r="C717" s="635" t="s">
        <v>152</v>
      </c>
      <c r="D717" s="635" t="s">
        <v>132</v>
      </c>
    </row>
    <row r="718" spans="1:4" ht="14.25" customHeight="1">
      <c r="A718" s="633" t="s">
        <v>3073</v>
      </c>
      <c r="B718" s="644" t="s">
        <v>1144</v>
      </c>
      <c r="C718" s="635" t="s">
        <v>152</v>
      </c>
      <c r="D718" s="635" t="s">
        <v>137</v>
      </c>
    </row>
    <row r="719" spans="1:4" ht="14.25" customHeight="1">
      <c r="A719" s="633" t="s">
        <v>3074</v>
      </c>
      <c r="B719" s="644" t="s">
        <v>1146</v>
      </c>
      <c r="C719" s="635" t="s">
        <v>152</v>
      </c>
      <c r="D719" s="635" t="s">
        <v>138</v>
      </c>
    </row>
    <row r="720" spans="1:4" ht="14.25" customHeight="1">
      <c r="A720" s="633" t="s">
        <v>3075</v>
      </c>
      <c r="B720" s="644" t="s">
        <v>1148</v>
      </c>
      <c r="C720" s="635" t="s">
        <v>3076</v>
      </c>
      <c r="D720" s="635" t="s">
        <v>140</v>
      </c>
    </row>
    <row r="721" spans="1:4" ht="14.25" customHeight="1">
      <c r="A721" s="633" t="s">
        <v>3077</v>
      </c>
      <c r="B721" s="644" t="s">
        <v>1177</v>
      </c>
      <c r="C721" s="635" t="s">
        <v>152</v>
      </c>
      <c r="D721" s="635" t="s">
        <v>133</v>
      </c>
    </row>
    <row r="722" spans="1:4" ht="14.25" customHeight="1">
      <c r="A722" s="633" t="s">
        <v>3078</v>
      </c>
      <c r="B722" s="644" t="s">
        <v>1154</v>
      </c>
      <c r="C722" s="635" t="s">
        <v>152</v>
      </c>
      <c r="D722" s="635" t="s">
        <v>134</v>
      </c>
    </row>
    <row r="723" spans="1:4" ht="14.25" customHeight="1">
      <c r="A723" s="633" t="s">
        <v>3079</v>
      </c>
      <c r="B723" s="644" t="s">
        <v>1156</v>
      </c>
      <c r="C723" s="635" t="s">
        <v>1270</v>
      </c>
      <c r="D723" s="635" t="s">
        <v>221</v>
      </c>
    </row>
    <row r="724" spans="1:4" ht="14.25" customHeight="1">
      <c r="A724" s="633" t="s">
        <v>3080</v>
      </c>
      <c r="B724" s="644" t="s">
        <v>1334</v>
      </c>
      <c r="C724" s="635" t="s">
        <v>1270</v>
      </c>
      <c r="D724" s="635" t="s">
        <v>213</v>
      </c>
    </row>
    <row r="725" spans="1:4" ht="14.25" customHeight="1">
      <c r="A725" s="633" t="s">
        <v>3081</v>
      </c>
      <c r="B725" s="644" t="s">
        <v>1180</v>
      </c>
      <c r="C725" s="635" t="s">
        <v>152</v>
      </c>
      <c r="D725" s="635" t="s">
        <v>210</v>
      </c>
    </row>
    <row r="726" spans="1:4" ht="14.25" customHeight="1">
      <c r="A726" s="633" t="s">
        <v>3082</v>
      </c>
      <c r="B726" s="644" t="s">
        <v>1181</v>
      </c>
      <c r="C726" s="635" t="s">
        <v>152</v>
      </c>
      <c r="D726" s="635" t="s">
        <v>205</v>
      </c>
    </row>
    <row r="727" spans="1:4" ht="14.25" customHeight="1">
      <c r="A727" s="633" t="s">
        <v>3083</v>
      </c>
      <c r="B727" s="644" t="s">
        <v>1182</v>
      </c>
      <c r="C727" s="635" t="s">
        <v>152</v>
      </c>
      <c r="D727" s="635" t="s">
        <v>209</v>
      </c>
    </row>
    <row r="728" spans="1:4" ht="14.25" customHeight="1">
      <c r="A728" s="633" t="s">
        <v>3084</v>
      </c>
      <c r="B728" s="644" t="s">
        <v>1183</v>
      </c>
      <c r="C728" s="635" t="s">
        <v>152</v>
      </c>
      <c r="D728" s="635" t="s">
        <v>206</v>
      </c>
    </row>
    <row r="729" spans="1:4" ht="14.25" customHeight="1">
      <c r="A729" s="633" t="s">
        <v>3085</v>
      </c>
      <c r="B729" s="644" t="s">
        <v>3086</v>
      </c>
      <c r="C729" s="635" t="s">
        <v>152</v>
      </c>
      <c r="D729" s="635" t="s">
        <v>208</v>
      </c>
    </row>
    <row r="730" spans="1:4" ht="14.25" customHeight="1">
      <c r="A730" s="633" t="s">
        <v>3087</v>
      </c>
      <c r="B730" s="644" t="s">
        <v>1184</v>
      </c>
      <c r="C730" s="635" t="s">
        <v>152</v>
      </c>
      <c r="D730" s="635" t="s">
        <v>207</v>
      </c>
    </row>
    <row r="731" spans="1:4" ht="14.25" customHeight="1">
      <c r="A731" s="633" t="s">
        <v>3088</v>
      </c>
      <c r="B731" s="644" t="s">
        <v>1185</v>
      </c>
      <c r="C731" s="635" t="s">
        <v>152</v>
      </c>
      <c r="D731" s="635" t="s">
        <v>211</v>
      </c>
    </row>
    <row r="732" spans="1:4" ht="14.25" customHeight="1">
      <c r="A732" s="633" t="s">
        <v>3089</v>
      </c>
      <c r="B732" s="644" t="s">
        <v>1337</v>
      </c>
      <c r="C732" s="635" t="s">
        <v>152</v>
      </c>
      <c r="D732" s="635" t="s">
        <v>1276</v>
      </c>
    </row>
    <row r="733" spans="1:4" ht="14.25" customHeight="1">
      <c r="A733" s="633" t="s">
        <v>3090</v>
      </c>
      <c r="B733" s="659" t="s">
        <v>1186</v>
      </c>
      <c r="C733" s="635" t="s">
        <v>161</v>
      </c>
      <c r="D733" s="635" t="s">
        <v>130</v>
      </c>
    </row>
    <row r="734" spans="1:4" ht="14.25" customHeight="1">
      <c r="A734" s="633" t="s">
        <v>3091</v>
      </c>
      <c r="B734" s="644" t="s">
        <v>1188</v>
      </c>
      <c r="C734" s="635" t="s">
        <v>161</v>
      </c>
      <c r="D734" s="635" t="s">
        <v>130</v>
      </c>
    </row>
    <row r="735" spans="1:4" ht="14.25" customHeight="1">
      <c r="A735" s="633" t="s">
        <v>3092</v>
      </c>
      <c r="B735" s="644" t="s">
        <v>1111</v>
      </c>
      <c r="C735" s="635" t="s">
        <v>161</v>
      </c>
      <c r="D735" s="635" t="s">
        <v>129</v>
      </c>
    </row>
    <row r="736" spans="1:4" ht="14.25" customHeight="1">
      <c r="A736" s="633" t="s">
        <v>3093</v>
      </c>
      <c r="B736" s="644" t="s">
        <v>1114</v>
      </c>
      <c r="C736" s="635" t="s">
        <v>161</v>
      </c>
      <c r="D736" s="635" t="s">
        <v>204</v>
      </c>
    </row>
    <row r="737" spans="1:4" ht="14.25" customHeight="1">
      <c r="A737" s="633" t="s">
        <v>3094</v>
      </c>
      <c r="B737" s="644" t="s">
        <v>3021</v>
      </c>
      <c r="C737" s="635" t="s">
        <v>161</v>
      </c>
      <c r="D737" s="635" t="s">
        <v>120</v>
      </c>
    </row>
    <row r="738" spans="1:4" ht="14.25" customHeight="1">
      <c r="A738" s="633" t="s">
        <v>3095</v>
      </c>
      <c r="B738" s="644" t="s">
        <v>1189</v>
      </c>
      <c r="C738" s="635" t="s">
        <v>161</v>
      </c>
      <c r="D738" s="635" t="s">
        <v>121</v>
      </c>
    </row>
    <row r="739" spans="1:4" ht="14.25" customHeight="1">
      <c r="A739" s="633" t="s">
        <v>3096</v>
      </c>
      <c r="B739" s="644" t="s">
        <v>1120</v>
      </c>
      <c r="C739" s="635" t="s">
        <v>161</v>
      </c>
      <c r="D739" s="635" t="s">
        <v>122</v>
      </c>
    </row>
    <row r="740" spans="1:4" ht="14.25" customHeight="1">
      <c r="A740" s="633" t="s">
        <v>3097</v>
      </c>
      <c r="B740" s="644" t="s">
        <v>1190</v>
      </c>
      <c r="C740" s="635" t="s">
        <v>161</v>
      </c>
      <c r="D740" s="635" t="s">
        <v>123</v>
      </c>
    </row>
    <row r="741" spans="1:4" ht="14.25" customHeight="1">
      <c r="A741" s="633" t="s">
        <v>3098</v>
      </c>
      <c r="B741" s="644" t="s">
        <v>1192</v>
      </c>
      <c r="C741" s="635" t="s">
        <v>161</v>
      </c>
      <c r="D741" s="635" t="s">
        <v>124</v>
      </c>
    </row>
    <row r="742" spans="1:4" ht="14.25" customHeight="1">
      <c r="A742" s="633" t="s">
        <v>3099</v>
      </c>
      <c r="B742" s="644" t="s">
        <v>1124</v>
      </c>
      <c r="C742" s="635" t="s">
        <v>161</v>
      </c>
      <c r="D742" s="635" t="s">
        <v>127</v>
      </c>
    </row>
    <row r="743" spans="1:4" ht="14.25" customHeight="1">
      <c r="A743" s="633" t="s">
        <v>3100</v>
      </c>
      <c r="B743" s="644" t="s">
        <v>1126</v>
      </c>
      <c r="C743" s="635" t="s">
        <v>161</v>
      </c>
      <c r="D743" s="635" t="s">
        <v>125</v>
      </c>
    </row>
    <row r="744" spans="1:4" ht="14.25" customHeight="1">
      <c r="A744" s="644" t="s">
        <v>3101</v>
      </c>
      <c r="B744" s="644" t="s">
        <v>1193</v>
      </c>
      <c r="C744" s="635" t="s">
        <v>161</v>
      </c>
      <c r="D744" s="635" t="s">
        <v>126</v>
      </c>
    </row>
    <row r="745" spans="1:4" ht="14.25" customHeight="1">
      <c r="A745" s="644" t="s">
        <v>3102</v>
      </c>
      <c r="B745" s="644" t="s">
        <v>1176</v>
      </c>
      <c r="C745" s="635" t="s">
        <v>161</v>
      </c>
      <c r="D745" s="635" t="s">
        <v>126</v>
      </c>
    </row>
    <row r="746" spans="1:4" ht="14.25" customHeight="1">
      <c r="A746" s="633" t="s">
        <v>3103</v>
      </c>
      <c r="B746" s="644" t="s">
        <v>1194</v>
      </c>
      <c r="C746" s="635" t="s">
        <v>161</v>
      </c>
      <c r="D746" s="635" t="s">
        <v>130</v>
      </c>
    </row>
    <row r="747" spans="1:4" ht="14.25" customHeight="1">
      <c r="A747" s="633" t="s">
        <v>3104</v>
      </c>
      <c r="B747" s="644" t="s">
        <v>1132</v>
      </c>
      <c r="C747" s="635" t="s">
        <v>161</v>
      </c>
      <c r="D747" s="635" t="s">
        <v>135</v>
      </c>
    </row>
    <row r="748" spans="1:4" ht="14.25" customHeight="1">
      <c r="A748" s="633" t="s">
        <v>3105</v>
      </c>
      <c r="B748" s="644" t="s">
        <v>1134</v>
      </c>
      <c r="C748" s="635" t="s">
        <v>161</v>
      </c>
      <c r="D748" s="635" t="s">
        <v>136</v>
      </c>
    </row>
    <row r="749" spans="1:4" ht="14.25" customHeight="1">
      <c r="A749" s="633" t="s">
        <v>3106</v>
      </c>
      <c r="B749" s="644" t="s">
        <v>1136</v>
      </c>
      <c r="C749" s="635" t="s">
        <v>161</v>
      </c>
      <c r="D749" s="635" t="s">
        <v>141</v>
      </c>
    </row>
    <row r="750" spans="1:4" ht="14.25" customHeight="1">
      <c r="A750" s="633" t="s">
        <v>3107</v>
      </c>
      <c r="B750" s="644" t="s">
        <v>1195</v>
      </c>
      <c r="C750" s="635" t="s">
        <v>161</v>
      </c>
      <c r="D750" s="635" t="s">
        <v>131</v>
      </c>
    </row>
    <row r="751" spans="1:4" ht="14.25" customHeight="1">
      <c r="A751" s="633" t="s">
        <v>3108</v>
      </c>
      <c r="B751" s="644" t="s">
        <v>1140</v>
      </c>
      <c r="C751" s="635" t="s">
        <v>161</v>
      </c>
      <c r="D751" s="635" t="s">
        <v>139</v>
      </c>
    </row>
    <row r="752" spans="1:4" ht="14.25" customHeight="1">
      <c r="A752" s="633" t="s">
        <v>3109</v>
      </c>
      <c r="B752" s="683" t="s">
        <v>1142</v>
      </c>
      <c r="C752" s="635" t="s">
        <v>161</v>
      </c>
      <c r="D752" s="635" t="s">
        <v>132</v>
      </c>
    </row>
    <row r="753" spans="1:4" ht="14.25" customHeight="1">
      <c r="A753" s="633" t="s">
        <v>3110</v>
      </c>
      <c r="B753" s="644" t="s">
        <v>1144</v>
      </c>
      <c r="C753" s="635" t="s">
        <v>161</v>
      </c>
      <c r="D753" s="635" t="s">
        <v>137</v>
      </c>
    </row>
    <row r="754" spans="1:4" ht="14.25" customHeight="1">
      <c r="A754" s="633" t="s">
        <v>3111</v>
      </c>
      <c r="B754" s="644" t="s">
        <v>1146</v>
      </c>
      <c r="C754" s="635" t="s">
        <v>161</v>
      </c>
      <c r="D754" s="635" t="s">
        <v>138</v>
      </c>
    </row>
    <row r="755" spans="1:4" ht="14.25" customHeight="1">
      <c r="A755" s="633" t="s">
        <v>3112</v>
      </c>
      <c r="B755" s="644" t="s">
        <v>1148</v>
      </c>
      <c r="C755" s="635" t="s">
        <v>161</v>
      </c>
      <c r="D755" s="635" t="s">
        <v>140</v>
      </c>
    </row>
    <row r="756" spans="1:4" ht="14.25" customHeight="1">
      <c r="A756" s="633" t="s">
        <v>3113</v>
      </c>
      <c r="B756" s="644" t="s">
        <v>1196</v>
      </c>
      <c r="C756" s="635" t="s">
        <v>161</v>
      </c>
      <c r="D756" s="635" t="s">
        <v>133</v>
      </c>
    </row>
    <row r="757" spans="1:4" ht="14.25" customHeight="1">
      <c r="A757" s="633" t="s">
        <v>3114</v>
      </c>
      <c r="B757" s="644" t="s">
        <v>1154</v>
      </c>
      <c r="C757" s="635" t="s">
        <v>161</v>
      </c>
      <c r="D757" s="635" t="s">
        <v>134</v>
      </c>
    </row>
    <row r="758" spans="1:4" ht="14.25" customHeight="1">
      <c r="A758" s="633" t="s">
        <v>3115</v>
      </c>
      <c r="B758" s="644" t="s">
        <v>1156</v>
      </c>
      <c r="C758" s="635" t="s">
        <v>1270</v>
      </c>
      <c r="D758" s="635" t="s">
        <v>221</v>
      </c>
    </row>
    <row r="759" spans="1:4" ht="14.25" customHeight="1">
      <c r="A759" s="633" t="s">
        <v>3116</v>
      </c>
      <c r="B759" s="644" t="s">
        <v>1334</v>
      </c>
      <c r="C759" s="635" t="s">
        <v>1270</v>
      </c>
      <c r="D759" s="635" t="s">
        <v>213</v>
      </c>
    </row>
    <row r="760" spans="1:4" ht="14.25" customHeight="1">
      <c r="A760" s="633" t="s">
        <v>3117</v>
      </c>
      <c r="B760" s="644" t="s">
        <v>1199</v>
      </c>
      <c r="C760" s="635" t="s">
        <v>1270</v>
      </c>
      <c r="D760" s="635" t="s">
        <v>212</v>
      </c>
    </row>
    <row r="761" spans="1:4" ht="14.25" customHeight="1">
      <c r="A761" s="633" t="s">
        <v>3118</v>
      </c>
      <c r="B761" s="644" t="s">
        <v>1201</v>
      </c>
      <c r="C761" s="635" t="s">
        <v>161</v>
      </c>
      <c r="D761" s="635" t="s">
        <v>210</v>
      </c>
    </row>
    <row r="762" spans="1:4" ht="14.25" customHeight="1">
      <c r="A762" s="633" t="s">
        <v>3119</v>
      </c>
      <c r="B762" s="644" t="s">
        <v>1202</v>
      </c>
      <c r="C762" s="635" t="s">
        <v>161</v>
      </c>
      <c r="D762" s="635" t="s">
        <v>205</v>
      </c>
    </row>
    <row r="763" spans="1:4" ht="14.25" customHeight="1">
      <c r="A763" s="633" t="s">
        <v>3120</v>
      </c>
      <c r="B763" s="644" t="s">
        <v>1203</v>
      </c>
      <c r="C763" s="635" t="s">
        <v>161</v>
      </c>
      <c r="D763" s="635" t="s">
        <v>209</v>
      </c>
    </row>
    <row r="764" spans="1:4" ht="14.25" customHeight="1">
      <c r="A764" s="633" t="s">
        <v>3121</v>
      </c>
      <c r="B764" s="644" t="s">
        <v>1204</v>
      </c>
      <c r="C764" s="635" t="s">
        <v>161</v>
      </c>
      <c r="D764" s="635" t="s">
        <v>206</v>
      </c>
    </row>
    <row r="765" spans="1:4" ht="14.25" customHeight="1">
      <c r="A765" s="633" t="s">
        <v>3122</v>
      </c>
      <c r="B765" s="644" t="s">
        <v>3123</v>
      </c>
      <c r="C765" s="635" t="s">
        <v>161</v>
      </c>
      <c r="D765" s="635" t="s">
        <v>208</v>
      </c>
    </row>
    <row r="766" spans="1:4" ht="14.25" customHeight="1">
      <c r="A766" s="633" t="s">
        <v>3124</v>
      </c>
      <c r="B766" s="644" t="s">
        <v>1205</v>
      </c>
      <c r="C766" s="635" t="s">
        <v>161</v>
      </c>
      <c r="D766" s="635" t="s">
        <v>207</v>
      </c>
    </row>
    <row r="767" spans="1:4" ht="14.25" customHeight="1">
      <c r="A767" s="633" t="s">
        <v>3125</v>
      </c>
      <c r="B767" s="644" t="s">
        <v>1206</v>
      </c>
      <c r="C767" s="635" t="s">
        <v>161</v>
      </c>
      <c r="D767" s="635" t="s">
        <v>211</v>
      </c>
    </row>
    <row r="768" spans="1:4" ht="14.25" customHeight="1">
      <c r="A768" s="633" t="s">
        <v>3126</v>
      </c>
      <c r="B768" s="644" t="s">
        <v>1338</v>
      </c>
      <c r="C768" s="635" t="s">
        <v>161</v>
      </c>
      <c r="D768" s="635" t="s">
        <v>1276</v>
      </c>
    </row>
    <row r="769" spans="1:4" ht="14.25" customHeight="1">
      <c r="A769" s="633" t="s">
        <v>3127</v>
      </c>
      <c r="B769" s="644" t="s">
        <v>1103</v>
      </c>
      <c r="C769" s="635" t="s">
        <v>176</v>
      </c>
      <c r="D769" s="635" t="s">
        <v>130</v>
      </c>
    </row>
    <row r="770" spans="1:4" ht="14.25" customHeight="1">
      <c r="A770" s="633" t="s">
        <v>3128</v>
      </c>
      <c r="B770" s="644" t="s">
        <v>1342</v>
      </c>
      <c r="C770" s="635" t="s">
        <v>176</v>
      </c>
      <c r="D770" s="635" t="s">
        <v>130</v>
      </c>
    </row>
    <row r="771" spans="1:4" ht="14.25" customHeight="1">
      <c r="A771" s="633" t="s">
        <v>3129</v>
      </c>
      <c r="B771" s="644" t="s">
        <v>1114</v>
      </c>
      <c r="C771" s="635" t="s">
        <v>176</v>
      </c>
      <c r="D771" s="635" t="s">
        <v>204</v>
      </c>
    </row>
    <row r="772" spans="1:4" ht="14.25" customHeight="1">
      <c r="A772" s="633" t="s">
        <v>3130</v>
      </c>
      <c r="B772" s="644" t="s">
        <v>3021</v>
      </c>
      <c r="C772" s="635" t="s">
        <v>176</v>
      </c>
      <c r="D772" s="635" t="s">
        <v>120</v>
      </c>
    </row>
    <row r="773" spans="1:4" ht="14.25" customHeight="1">
      <c r="A773" s="633" t="s">
        <v>3131</v>
      </c>
      <c r="B773" s="644" t="s">
        <v>1189</v>
      </c>
      <c r="C773" s="635" t="s">
        <v>176</v>
      </c>
      <c r="D773" s="635" t="s">
        <v>121</v>
      </c>
    </row>
    <row r="774" spans="1:4" ht="14.25" customHeight="1">
      <c r="A774" s="658" t="s">
        <v>3132</v>
      </c>
      <c r="B774" s="682" t="s">
        <v>1120</v>
      </c>
      <c r="C774" s="635" t="s">
        <v>176</v>
      </c>
      <c r="D774" s="635" t="s">
        <v>122</v>
      </c>
    </row>
    <row r="775" spans="1:4" ht="14.25" customHeight="1">
      <c r="A775" s="633" t="s">
        <v>3133</v>
      </c>
      <c r="B775" s="644" t="s">
        <v>1190</v>
      </c>
      <c r="C775" s="635" t="s">
        <v>176</v>
      </c>
      <c r="D775" s="635" t="s">
        <v>123</v>
      </c>
    </row>
    <row r="776" spans="1:4" ht="14.25" customHeight="1">
      <c r="A776" s="633" t="s">
        <v>3134</v>
      </c>
      <c r="B776" s="644" t="s">
        <v>1174</v>
      </c>
      <c r="C776" s="635" t="s">
        <v>176</v>
      </c>
      <c r="D776" s="635" t="s">
        <v>124</v>
      </c>
    </row>
    <row r="777" spans="1:4" ht="14.25" customHeight="1">
      <c r="A777" s="633" t="s">
        <v>3135</v>
      </c>
      <c r="B777" s="644" t="s">
        <v>1124</v>
      </c>
      <c r="C777" s="635" t="s">
        <v>176</v>
      </c>
      <c r="D777" s="635" t="s">
        <v>127</v>
      </c>
    </row>
    <row r="778" spans="1:4" ht="14.25" customHeight="1">
      <c r="A778" s="633" t="s">
        <v>3136</v>
      </c>
      <c r="B778" s="644" t="s">
        <v>1126</v>
      </c>
      <c r="C778" s="635" t="s">
        <v>176</v>
      </c>
      <c r="D778" s="635" t="s">
        <v>125</v>
      </c>
    </row>
    <row r="779" spans="1:4" ht="14.25" customHeight="1">
      <c r="A779" s="644" t="s">
        <v>3137</v>
      </c>
      <c r="B779" s="644" t="s">
        <v>1176</v>
      </c>
      <c r="C779" s="635" t="s">
        <v>176</v>
      </c>
      <c r="D779" s="635" t="s">
        <v>126</v>
      </c>
    </row>
    <row r="780" spans="1:4" ht="14.25" customHeight="1">
      <c r="A780" s="633" t="s">
        <v>3138</v>
      </c>
      <c r="B780" s="644" t="s">
        <v>1194</v>
      </c>
      <c r="C780" s="635" t="s">
        <v>176</v>
      </c>
      <c r="D780" s="635" t="s">
        <v>130</v>
      </c>
    </row>
    <row r="781" spans="1:4" ht="14.25" customHeight="1">
      <c r="A781" s="633" t="s">
        <v>3139</v>
      </c>
      <c r="B781" s="644" t="s">
        <v>1132</v>
      </c>
      <c r="C781" s="635" t="s">
        <v>176</v>
      </c>
      <c r="D781" s="635" t="s">
        <v>135</v>
      </c>
    </row>
    <row r="782" spans="1:4" ht="14.25" customHeight="1">
      <c r="A782" s="633" t="s">
        <v>3140</v>
      </c>
      <c r="B782" s="644" t="s">
        <v>1340</v>
      </c>
      <c r="C782" s="635" t="s">
        <v>176</v>
      </c>
      <c r="D782" s="635" t="s">
        <v>136</v>
      </c>
    </row>
    <row r="783" spans="1:4" ht="14.25" customHeight="1">
      <c r="A783" s="633" t="s">
        <v>3141</v>
      </c>
      <c r="B783" s="644" t="s">
        <v>1136</v>
      </c>
      <c r="C783" s="635" t="s">
        <v>176</v>
      </c>
      <c r="D783" s="635" t="s">
        <v>141</v>
      </c>
    </row>
    <row r="784" spans="1:4" ht="14.25" customHeight="1">
      <c r="A784" s="633" t="s">
        <v>3142</v>
      </c>
      <c r="B784" s="644" t="s">
        <v>1138</v>
      </c>
      <c r="C784" s="635" t="s">
        <v>176</v>
      </c>
      <c r="D784" s="635" t="s">
        <v>131</v>
      </c>
    </row>
    <row r="785" spans="1:4" ht="14.25" customHeight="1">
      <c r="A785" s="633" t="s">
        <v>3143</v>
      </c>
      <c r="B785" s="644" t="s">
        <v>1140</v>
      </c>
      <c r="C785" s="635" t="s">
        <v>176</v>
      </c>
      <c r="D785" s="635" t="s">
        <v>139</v>
      </c>
    </row>
    <row r="786" spans="1:4" ht="14.25" customHeight="1">
      <c r="A786" s="633" t="s">
        <v>3144</v>
      </c>
      <c r="B786" s="644" t="s">
        <v>1142</v>
      </c>
      <c r="C786" s="635" t="s">
        <v>176</v>
      </c>
      <c r="D786" s="635" t="s">
        <v>132</v>
      </c>
    </row>
    <row r="787" spans="1:4" ht="14.25" customHeight="1">
      <c r="A787" s="633" t="s">
        <v>3145</v>
      </c>
      <c r="B787" s="644" t="s">
        <v>1144</v>
      </c>
      <c r="C787" s="635" t="s">
        <v>176</v>
      </c>
      <c r="D787" s="635" t="s">
        <v>137</v>
      </c>
    </row>
    <row r="788" spans="1:4" ht="14.25" customHeight="1">
      <c r="A788" s="633" t="s">
        <v>3146</v>
      </c>
      <c r="B788" s="644" t="s">
        <v>1146</v>
      </c>
      <c r="C788" s="635" t="s">
        <v>176</v>
      </c>
      <c r="D788" s="635" t="s">
        <v>138</v>
      </c>
    </row>
    <row r="789" spans="1:4" ht="14.25" customHeight="1">
      <c r="A789" s="633" t="s">
        <v>3147</v>
      </c>
      <c r="B789" s="644" t="s">
        <v>1148</v>
      </c>
      <c r="C789" s="635" t="s">
        <v>176</v>
      </c>
      <c r="D789" s="635" t="s">
        <v>140</v>
      </c>
    </row>
    <row r="790" spans="1:4" ht="14.25" customHeight="1">
      <c r="A790" s="633" t="s">
        <v>3148</v>
      </c>
      <c r="B790" s="644" t="s">
        <v>1210</v>
      </c>
      <c r="C790" s="635" t="s">
        <v>176</v>
      </c>
      <c r="D790" s="635" t="s">
        <v>133</v>
      </c>
    </row>
    <row r="791" spans="1:4" ht="14.25" customHeight="1">
      <c r="A791" s="633" t="s">
        <v>3149</v>
      </c>
      <c r="B791" s="644" t="s">
        <v>1154</v>
      </c>
      <c r="C791" s="635" t="s">
        <v>176</v>
      </c>
      <c r="D791" s="635" t="s">
        <v>134</v>
      </c>
    </row>
    <row r="792" spans="1:4" ht="14.25" customHeight="1">
      <c r="A792" s="633" t="s">
        <v>3150</v>
      </c>
      <c r="B792" s="644" t="s">
        <v>1156</v>
      </c>
      <c r="C792" s="635" t="s">
        <v>1270</v>
      </c>
      <c r="D792" s="635" t="s">
        <v>221</v>
      </c>
    </row>
    <row r="793" spans="1:4" ht="14.25" customHeight="1">
      <c r="A793" s="633" t="s">
        <v>3151</v>
      </c>
      <c r="B793" s="644" t="s">
        <v>1334</v>
      </c>
      <c r="C793" s="635" t="s">
        <v>1270</v>
      </c>
      <c r="D793" s="635" t="s">
        <v>213</v>
      </c>
    </row>
    <row r="794" spans="1:4" ht="14.25" customHeight="1">
      <c r="A794" s="633" t="s">
        <v>3152</v>
      </c>
      <c r="B794" s="644" t="s">
        <v>1213</v>
      </c>
      <c r="C794" s="635" t="s">
        <v>176</v>
      </c>
      <c r="D794" s="635" t="s">
        <v>210</v>
      </c>
    </row>
    <row r="795" spans="1:4" ht="14.25" customHeight="1">
      <c r="A795" s="633" t="s">
        <v>3153</v>
      </c>
      <c r="B795" s="644" t="s">
        <v>1214</v>
      </c>
      <c r="C795" s="635" t="s">
        <v>176</v>
      </c>
      <c r="D795" s="635" t="s">
        <v>205</v>
      </c>
    </row>
    <row r="796" spans="1:4" ht="14.25" customHeight="1">
      <c r="A796" s="633" t="s">
        <v>3154</v>
      </c>
      <c r="B796" s="644" t="s">
        <v>1215</v>
      </c>
      <c r="C796" s="635" t="s">
        <v>1270</v>
      </c>
      <c r="D796" s="635" t="s">
        <v>209</v>
      </c>
    </row>
    <row r="797" spans="1:4" ht="14.25" customHeight="1">
      <c r="A797" s="633" t="s">
        <v>3155</v>
      </c>
      <c r="B797" s="644" t="s">
        <v>1216</v>
      </c>
      <c r="C797" s="635" t="s">
        <v>176</v>
      </c>
      <c r="D797" s="635" t="s">
        <v>206</v>
      </c>
    </row>
    <row r="798" spans="1:4" ht="14.25" customHeight="1">
      <c r="A798" s="633" t="s">
        <v>3156</v>
      </c>
      <c r="B798" s="644" t="s">
        <v>3157</v>
      </c>
      <c r="C798" s="635" t="s">
        <v>176</v>
      </c>
      <c r="D798" s="635" t="s">
        <v>208</v>
      </c>
    </row>
    <row r="799" spans="1:4" ht="14.25" customHeight="1">
      <c r="A799" s="633" t="s">
        <v>3158</v>
      </c>
      <c r="B799" s="644" t="s">
        <v>1217</v>
      </c>
      <c r="C799" s="635" t="s">
        <v>176</v>
      </c>
      <c r="D799" s="635" t="s">
        <v>207</v>
      </c>
    </row>
    <row r="800" spans="1:4" ht="14.25" customHeight="1">
      <c r="A800" s="644" t="s">
        <v>3159</v>
      </c>
      <c r="B800" s="644" t="s">
        <v>1218</v>
      </c>
      <c r="C800" s="635" t="s">
        <v>176</v>
      </c>
      <c r="D800" s="635" t="s">
        <v>211</v>
      </c>
    </row>
    <row r="801" spans="1:4" ht="14.25" customHeight="1">
      <c r="A801" s="633" t="s">
        <v>3160</v>
      </c>
      <c r="B801" s="644" t="s">
        <v>1341</v>
      </c>
      <c r="C801" s="635" t="s">
        <v>176</v>
      </c>
      <c r="D801" s="635" t="s">
        <v>1276</v>
      </c>
    </row>
    <row r="802" spans="1:4" ht="14.25" customHeight="1">
      <c r="A802" s="633" t="s">
        <v>3161</v>
      </c>
      <c r="B802" s="644" t="s">
        <v>1103</v>
      </c>
      <c r="C802" s="635" t="s">
        <v>180</v>
      </c>
      <c r="D802" s="635" t="s">
        <v>130</v>
      </c>
    </row>
    <row r="803" spans="1:4" ht="14.25" customHeight="1">
      <c r="A803" s="633" t="s">
        <v>3162</v>
      </c>
      <c r="B803" s="644" t="s">
        <v>1342</v>
      </c>
      <c r="C803" s="635" t="s">
        <v>180</v>
      </c>
      <c r="D803" s="635" t="s">
        <v>130</v>
      </c>
    </row>
    <row r="804" spans="1:4" ht="14.25" customHeight="1">
      <c r="A804" s="633" t="s">
        <v>3163</v>
      </c>
      <c r="B804" s="644" t="s">
        <v>1111</v>
      </c>
      <c r="C804" s="635" t="s">
        <v>180</v>
      </c>
      <c r="D804" s="635" t="s">
        <v>129</v>
      </c>
    </row>
    <row r="805" spans="1:4" ht="14.25" customHeight="1">
      <c r="A805" s="633" t="s">
        <v>3164</v>
      </c>
      <c r="B805" s="644" t="s">
        <v>1219</v>
      </c>
      <c r="C805" s="635" t="s">
        <v>180</v>
      </c>
      <c r="D805" s="635" t="s">
        <v>204</v>
      </c>
    </row>
    <row r="806" spans="1:4" ht="14.25" customHeight="1">
      <c r="A806" s="633" t="s">
        <v>3165</v>
      </c>
      <c r="B806" s="644" t="s">
        <v>3021</v>
      </c>
      <c r="C806" s="635" t="s">
        <v>180</v>
      </c>
      <c r="D806" s="635" t="s">
        <v>120</v>
      </c>
    </row>
    <row r="807" spans="1:4" ht="14.25" customHeight="1">
      <c r="A807" s="633" t="s">
        <v>3166</v>
      </c>
      <c r="B807" s="644" t="s">
        <v>1118</v>
      </c>
      <c r="C807" s="635" t="s">
        <v>180</v>
      </c>
      <c r="D807" s="635" t="s">
        <v>121</v>
      </c>
    </row>
    <row r="808" spans="1:4" ht="14.25" customHeight="1">
      <c r="A808" s="633" t="s">
        <v>3167</v>
      </c>
      <c r="B808" s="644" t="s">
        <v>1120</v>
      </c>
      <c r="C808" s="635" t="s">
        <v>180</v>
      </c>
      <c r="D808" s="635" t="s">
        <v>122</v>
      </c>
    </row>
    <row r="809" spans="1:4" ht="14.25" customHeight="1">
      <c r="A809" s="633" t="s">
        <v>3168</v>
      </c>
      <c r="B809" s="644" t="s">
        <v>1220</v>
      </c>
      <c r="C809" s="635" t="s">
        <v>180</v>
      </c>
      <c r="D809" s="635" t="s">
        <v>124</v>
      </c>
    </row>
    <row r="810" spans="1:4" ht="14.25" customHeight="1">
      <c r="A810" s="633" t="s">
        <v>3169</v>
      </c>
      <c r="B810" s="644" t="s">
        <v>1124</v>
      </c>
      <c r="C810" s="635" t="s">
        <v>180</v>
      </c>
      <c r="D810" s="635" t="s">
        <v>127</v>
      </c>
    </row>
    <row r="811" spans="1:4" ht="14.25" customHeight="1">
      <c r="A811" s="644" t="s">
        <v>3170</v>
      </c>
      <c r="B811" s="644" t="s">
        <v>1126</v>
      </c>
      <c r="C811" s="635" t="s">
        <v>180</v>
      </c>
      <c r="D811" s="635" t="s">
        <v>125</v>
      </c>
    </row>
    <row r="812" spans="1:4" ht="14.25" customHeight="1">
      <c r="A812" s="644" t="s">
        <v>3171</v>
      </c>
      <c r="B812" s="644" t="s">
        <v>1221</v>
      </c>
      <c r="C812" s="635" t="s">
        <v>180</v>
      </c>
      <c r="D812" s="635" t="s">
        <v>126</v>
      </c>
    </row>
    <row r="813" spans="1:4" ht="14.25" customHeight="1">
      <c r="A813" s="633" t="s">
        <v>3172</v>
      </c>
      <c r="B813" s="644" t="s">
        <v>1176</v>
      </c>
      <c r="C813" s="635" t="s">
        <v>180</v>
      </c>
      <c r="D813" s="635" t="s">
        <v>126</v>
      </c>
    </row>
    <row r="814" spans="1:4" ht="14.25" customHeight="1">
      <c r="A814" s="633" t="s">
        <v>3173</v>
      </c>
      <c r="B814" s="644" t="s">
        <v>1132</v>
      </c>
      <c r="C814" s="635" t="s">
        <v>180</v>
      </c>
      <c r="D814" s="635" t="s">
        <v>135</v>
      </c>
    </row>
    <row r="815" spans="1:4" ht="14.25" customHeight="1">
      <c r="A815" s="633" t="s">
        <v>3174</v>
      </c>
      <c r="B815" s="644" t="s">
        <v>1134</v>
      </c>
      <c r="C815" s="635" t="s">
        <v>161</v>
      </c>
      <c r="D815" s="635" t="s">
        <v>136</v>
      </c>
    </row>
    <row r="816" spans="1:4" ht="14.25" customHeight="1">
      <c r="A816" s="633" t="s">
        <v>3175</v>
      </c>
      <c r="B816" s="644" t="s">
        <v>1136</v>
      </c>
      <c r="C816" s="635" t="s">
        <v>180</v>
      </c>
      <c r="D816" s="635" t="s">
        <v>141</v>
      </c>
    </row>
    <row r="817" spans="1:4" ht="14.25" customHeight="1">
      <c r="A817" s="633" t="s">
        <v>3176</v>
      </c>
      <c r="B817" s="644" t="s">
        <v>1138</v>
      </c>
      <c r="C817" s="635" t="s">
        <v>180</v>
      </c>
      <c r="D817" s="635" t="s">
        <v>131</v>
      </c>
    </row>
    <row r="818" spans="1:4" ht="14.25" customHeight="1">
      <c r="A818" s="633" t="s">
        <v>3177</v>
      </c>
      <c r="B818" s="644" t="s">
        <v>1140</v>
      </c>
      <c r="C818" s="635" t="s">
        <v>180</v>
      </c>
      <c r="D818" s="635" t="s">
        <v>139</v>
      </c>
    </row>
    <row r="819" spans="1:4" ht="14.25" customHeight="1">
      <c r="A819" s="633" t="s">
        <v>3178</v>
      </c>
      <c r="B819" s="644" t="s">
        <v>1142</v>
      </c>
      <c r="C819" s="635" t="s">
        <v>180</v>
      </c>
      <c r="D819" s="635" t="s">
        <v>132</v>
      </c>
    </row>
    <row r="820" spans="1:4" ht="14.25" customHeight="1">
      <c r="A820" s="633" t="s">
        <v>3179</v>
      </c>
      <c r="B820" s="644" t="s">
        <v>1144</v>
      </c>
      <c r="C820" s="635" t="s">
        <v>180</v>
      </c>
      <c r="D820" s="635" t="s">
        <v>137</v>
      </c>
    </row>
    <row r="821" spans="1:4" ht="14.25" customHeight="1">
      <c r="A821" s="633" t="s">
        <v>3180</v>
      </c>
      <c r="B821" s="644" t="s">
        <v>1146</v>
      </c>
      <c r="C821" s="635" t="s">
        <v>180</v>
      </c>
      <c r="D821" s="635" t="s">
        <v>138</v>
      </c>
    </row>
    <row r="822" spans="1:4" ht="14.25" customHeight="1">
      <c r="A822" s="633" t="s">
        <v>3181</v>
      </c>
      <c r="B822" s="644" t="s">
        <v>1148</v>
      </c>
      <c r="C822" s="635" t="s">
        <v>180</v>
      </c>
      <c r="D822" s="635" t="s">
        <v>140</v>
      </c>
    </row>
    <row r="823" spans="1:4" ht="14.25" customHeight="1">
      <c r="A823" s="633" t="s">
        <v>3182</v>
      </c>
      <c r="B823" s="644" t="s">
        <v>1222</v>
      </c>
      <c r="C823" s="635" t="s">
        <v>180</v>
      </c>
      <c r="D823" s="635" t="s">
        <v>133</v>
      </c>
    </row>
    <row r="824" spans="1:4" ht="14.25" customHeight="1">
      <c r="A824" s="633" t="s">
        <v>3183</v>
      </c>
      <c r="B824" s="644" t="s">
        <v>1154</v>
      </c>
      <c r="C824" s="635" t="s">
        <v>180</v>
      </c>
      <c r="D824" s="635" t="s">
        <v>134</v>
      </c>
    </row>
    <row r="825" spans="1:4" ht="14.25" customHeight="1">
      <c r="A825" s="633" t="s">
        <v>3184</v>
      </c>
      <c r="B825" s="644" t="s">
        <v>1156</v>
      </c>
      <c r="C825" s="635" t="s">
        <v>1270</v>
      </c>
      <c r="D825" s="635" t="s">
        <v>221</v>
      </c>
    </row>
    <row r="826" spans="1:4" ht="14.25" customHeight="1">
      <c r="A826" s="633" t="s">
        <v>3185</v>
      </c>
      <c r="B826" s="644" t="s">
        <v>1334</v>
      </c>
      <c r="C826" s="635" t="s">
        <v>1270</v>
      </c>
      <c r="D826" s="635" t="s">
        <v>213</v>
      </c>
    </row>
    <row r="827" spans="1:4" ht="14.25" customHeight="1">
      <c r="A827" s="633" t="s">
        <v>3186</v>
      </c>
      <c r="B827" s="644" t="s">
        <v>1224</v>
      </c>
      <c r="C827" s="635" t="s">
        <v>180</v>
      </c>
      <c r="D827" s="635" t="s">
        <v>210</v>
      </c>
    </row>
    <row r="828" spans="1:4" ht="14.25" customHeight="1">
      <c r="A828" s="633" t="s">
        <v>3187</v>
      </c>
      <c r="B828" s="644" t="s">
        <v>1225</v>
      </c>
      <c r="C828" s="635" t="s">
        <v>180</v>
      </c>
      <c r="D828" s="635" t="s">
        <v>205</v>
      </c>
    </row>
    <row r="829" spans="1:4" ht="14.25" customHeight="1">
      <c r="A829" s="633" t="s">
        <v>3188</v>
      </c>
      <c r="B829" s="644" t="s">
        <v>1226</v>
      </c>
      <c r="C829" s="635" t="s">
        <v>180</v>
      </c>
      <c r="D829" s="635" t="s">
        <v>209</v>
      </c>
    </row>
    <row r="830" spans="1:4" ht="14.25" customHeight="1">
      <c r="A830" s="633" t="s">
        <v>3189</v>
      </c>
      <c r="B830" s="644" t="s">
        <v>1227</v>
      </c>
      <c r="C830" s="635" t="s">
        <v>180</v>
      </c>
      <c r="D830" s="635" t="s">
        <v>206</v>
      </c>
    </row>
    <row r="831" spans="1:4" ht="14.25" customHeight="1">
      <c r="A831" s="633" t="s">
        <v>3190</v>
      </c>
      <c r="B831" s="644" t="s">
        <v>3191</v>
      </c>
      <c r="C831" s="635" t="s">
        <v>180</v>
      </c>
      <c r="D831" s="635" t="s">
        <v>208</v>
      </c>
    </row>
    <row r="832" spans="1:4" ht="14.25" customHeight="1">
      <c r="A832" s="633" t="s">
        <v>3192</v>
      </c>
      <c r="B832" s="644" t="s">
        <v>1228</v>
      </c>
      <c r="C832" s="635" t="s">
        <v>180</v>
      </c>
      <c r="D832" s="635" t="s">
        <v>207</v>
      </c>
    </row>
    <row r="833" spans="1:4" ht="14.25" customHeight="1">
      <c r="A833" s="633" t="s">
        <v>3193</v>
      </c>
      <c r="B833" s="644" t="s">
        <v>1229</v>
      </c>
      <c r="C833" s="635" t="s">
        <v>180</v>
      </c>
      <c r="D833" s="635" t="s">
        <v>211</v>
      </c>
    </row>
    <row r="834" spans="1:4" ht="14.25" customHeight="1">
      <c r="A834" s="633" t="s">
        <v>3194</v>
      </c>
      <c r="B834" s="644" t="s">
        <v>1343</v>
      </c>
      <c r="C834" s="635" t="s">
        <v>180</v>
      </c>
      <c r="D834" s="635" t="s">
        <v>1276</v>
      </c>
    </row>
    <row r="835" spans="1:4" ht="14.25" customHeight="1">
      <c r="A835" s="645" t="s">
        <v>3195</v>
      </c>
      <c r="B835" s="634" t="s">
        <v>3196</v>
      </c>
      <c r="C835" s="635" t="s">
        <v>1270</v>
      </c>
      <c r="D835" s="635"/>
    </row>
    <row r="836" spans="1:4" ht="14.25" customHeight="1">
      <c r="A836" s="644" t="s">
        <v>3197</v>
      </c>
      <c r="B836" s="644" t="s">
        <v>3198</v>
      </c>
      <c r="C836" s="635" t="s">
        <v>180</v>
      </c>
      <c r="D836" s="635" t="s">
        <v>188</v>
      </c>
    </row>
    <row r="837" spans="1:4" ht="14.25" customHeight="1">
      <c r="A837" s="644" t="s">
        <v>3199</v>
      </c>
      <c r="B837" s="644" t="s">
        <v>3200</v>
      </c>
      <c r="C837" s="635" t="s">
        <v>1270</v>
      </c>
      <c r="D837" s="635" t="s">
        <v>3201</v>
      </c>
    </row>
    <row r="838" spans="1:4" ht="14.25" customHeight="1">
      <c r="A838" s="633" t="s">
        <v>3202</v>
      </c>
      <c r="B838" s="644" t="s">
        <v>3203</v>
      </c>
      <c r="C838" s="635" t="s">
        <v>92</v>
      </c>
      <c r="D838" s="635" t="s">
        <v>145</v>
      </c>
    </row>
    <row r="839" spans="1:4" ht="14.25" customHeight="1">
      <c r="A839" s="633" t="s">
        <v>3204</v>
      </c>
      <c r="B839" s="644" t="s">
        <v>3205</v>
      </c>
      <c r="C839" s="635" t="s">
        <v>92</v>
      </c>
      <c r="D839" s="635" t="s">
        <v>148</v>
      </c>
    </row>
    <row r="840" spans="1:4" ht="14.25" customHeight="1">
      <c r="A840" s="633" t="s">
        <v>3206</v>
      </c>
      <c r="B840" s="644" t="s">
        <v>3207</v>
      </c>
      <c r="C840" s="635" t="s">
        <v>1270</v>
      </c>
      <c r="D840" s="635"/>
    </row>
    <row r="841" spans="1:4" ht="14.25" customHeight="1">
      <c r="A841" s="633" t="s">
        <v>3208</v>
      </c>
      <c r="B841" s="644" t="s">
        <v>3209</v>
      </c>
      <c r="C841" s="635" t="s">
        <v>92</v>
      </c>
      <c r="D841" s="635" t="s">
        <v>105</v>
      </c>
    </row>
    <row r="842" spans="1:4" ht="14.25" customHeight="1">
      <c r="A842" s="633" t="s">
        <v>3210</v>
      </c>
      <c r="B842" s="644" t="s">
        <v>3211</v>
      </c>
      <c r="C842" s="635" t="s">
        <v>92</v>
      </c>
      <c r="D842" s="635" t="s">
        <v>105</v>
      </c>
    </row>
    <row r="843" spans="1:4" ht="14.25" customHeight="1">
      <c r="A843" s="645" t="s">
        <v>3212</v>
      </c>
      <c r="B843" s="634" t="s">
        <v>3213</v>
      </c>
      <c r="C843" s="635" t="s">
        <v>1270</v>
      </c>
      <c r="D843" s="635" t="s">
        <v>97</v>
      </c>
    </row>
    <row r="844" spans="1:4" ht="14.25" customHeight="1">
      <c r="A844" s="633" t="s">
        <v>3214</v>
      </c>
      <c r="B844" s="644" t="s">
        <v>3215</v>
      </c>
      <c r="C844" s="635" t="s">
        <v>152</v>
      </c>
      <c r="D844" s="635" t="s">
        <v>105</v>
      </c>
    </row>
    <row r="845" spans="1:4" ht="14.25" customHeight="1">
      <c r="A845" s="645" t="s">
        <v>3216</v>
      </c>
      <c r="B845" s="634" t="s">
        <v>3217</v>
      </c>
      <c r="C845" s="635" t="s">
        <v>152</v>
      </c>
      <c r="D845" s="635" t="s">
        <v>105</v>
      </c>
    </row>
    <row r="846" spans="1:4" ht="14.25" customHeight="1">
      <c r="A846" s="633" t="s">
        <v>3218</v>
      </c>
      <c r="B846" s="644" t="s">
        <v>3219</v>
      </c>
      <c r="C846" s="635" t="s">
        <v>152</v>
      </c>
      <c r="D846" s="635"/>
    </row>
    <row r="847" spans="1:4" ht="14.25" customHeight="1">
      <c r="A847" s="633" t="s">
        <v>3220</v>
      </c>
      <c r="B847" s="644" t="s">
        <v>3221</v>
      </c>
      <c r="C847" s="635" t="s">
        <v>92</v>
      </c>
      <c r="D847" s="635" t="s">
        <v>105</v>
      </c>
    </row>
    <row r="848" spans="1:4" ht="14.25" customHeight="1">
      <c r="A848" s="645" t="s">
        <v>3222</v>
      </c>
      <c r="B848" s="634" t="s">
        <v>3223</v>
      </c>
      <c r="C848" s="635" t="s">
        <v>92</v>
      </c>
      <c r="D848" s="635">
        <v>0</v>
      </c>
    </row>
    <row r="849" spans="1:4" ht="14.25" customHeight="1">
      <c r="A849" s="644" t="s">
        <v>3224</v>
      </c>
      <c r="B849" s="644" t="s">
        <v>3225</v>
      </c>
      <c r="C849" s="635" t="s">
        <v>152</v>
      </c>
      <c r="D849" s="635"/>
    </row>
    <row r="850" spans="1:4" ht="14.25" customHeight="1">
      <c r="A850" s="645" t="s">
        <v>3226</v>
      </c>
      <c r="B850" s="634" t="s">
        <v>3227</v>
      </c>
      <c r="C850" s="635" t="s">
        <v>152</v>
      </c>
      <c r="D850" s="635" t="s">
        <v>153</v>
      </c>
    </row>
    <row r="851" spans="1:4" ht="14.25" customHeight="1">
      <c r="A851" s="633" t="s">
        <v>3228</v>
      </c>
      <c r="B851" s="644" t="s">
        <v>3229</v>
      </c>
      <c r="C851" s="635" t="s">
        <v>92</v>
      </c>
      <c r="D851" s="635" t="s">
        <v>106</v>
      </c>
    </row>
    <row r="852" spans="1:4" ht="14.25" customHeight="1">
      <c r="A852" s="645" t="s">
        <v>3230</v>
      </c>
      <c r="B852" s="634" t="s">
        <v>3231</v>
      </c>
      <c r="C852" s="635" t="s">
        <v>92</v>
      </c>
      <c r="D852" s="635">
        <v>0</v>
      </c>
    </row>
    <row r="853" spans="1:4" ht="14.25" customHeight="1">
      <c r="A853" s="633" t="s">
        <v>3232</v>
      </c>
      <c r="B853" s="644" t="s">
        <v>3233</v>
      </c>
      <c r="C853" s="635" t="s">
        <v>92</v>
      </c>
      <c r="D853" s="635" t="s">
        <v>106</v>
      </c>
    </row>
    <row r="854" spans="1:4" ht="14.25" customHeight="1">
      <c r="A854" s="645" t="s">
        <v>3234</v>
      </c>
      <c r="B854" s="634" t="s">
        <v>3235</v>
      </c>
      <c r="C854" s="635" t="s">
        <v>92</v>
      </c>
      <c r="D854" s="635">
        <v>0</v>
      </c>
    </row>
    <row r="855" spans="1:4" ht="14.25" customHeight="1">
      <c r="A855" s="633" t="s">
        <v>3236</v>
      </c>
      <c r="B855" s="644" t="s">
        <v>3237</v>
      </c>
      <c r="C855" s="635" t="s">
        <v>152</v>
      </c>
      <c r="D855" s="635" t="s">
        <v>106</v>
      </c>
    </row>
    <row r="856" spans="1:4" ht="14.25" customHeight="1">
      <c r="A856" s="645" t="s">
        <v>3238</v>
      </c>
      <c r="B856" s="634" t="s">
        <v>3239</v>
      </c>
      <c r="C856" s="635" t="s">
        <v>152</v>
      </c>
      <c r="D856" s="635" t="s">
        <v>106</v>
      </c>
    </row>
    <row r="857" spans="1:4" ht="14.25" customHeight="1">
      <c r="A857" s="633" t="s">
        <v>3240</v>
      </c>
      <c r="B857" s="644" t="s">
        <v>3241</v>
      </c>
      <c r="C857" s="635" t="s">
        <v>152</v>
      </c>
      <c r="D857" s="635" t="s">
        <v>106</v>
      </c>
    </row>
    <row r="858" spans="1:4" ht="14.25" customHeight="1">
      <c r="A858" s="645" t="s">
        <v>3242</v>
      </c>
      <c r="B858" s="634" t="s">
        <v>3243</v>
      </c>
      <c r="C858" s="635" t="s">
        <v>152</v>
      </c>
      <c r="D858" s="635" t="s">
        <v>106</v>
      </c>
    </row>
    <row r="859" spans="1:4" ht="14.25" customHeight="1">
      <c r="A859" s="644" t="s">
        <v>3244</v>
      </c>
      <c r="B859" s="644" t="s">
        <v>3245</v>
      </c>
      <c r="C859" s="635" t="s">
        <v>1270</v>
      </c>
      <c r="D859" s="635" t="s">
        <v>149</v>
      </c>
    </row>
    <row r="860" spans="1:4" ht="14.25" customHeight="1">
      <c r="A860" s="644" t="s">
        <v>3246</v>
      </c>
      <c r="B860" s="644" t="s">
        <v>3247</v>
      </c>
      <c r="C860" s="635" t="s">
        <v>1270</v>
      </c>
      <c r="D860" s="635" t="s">
        <v>3201</v>
      </c>
    </row>
    <row r="861" spans="1:4" ht="14.25" customHeight="1">
      <c r="A861" s="644" t="s">
        <v>3248</v>
      </c>
      <c r="B861" s="644" t="s">
        <v>3249</v>
      </c>
      <c r="C861" s="635" t="s">
        <v>1270</v>
      </c>
      <c r="D861" s="635" t="s">
        <v>223</v>
      </c>
    </row>
    <row r="862" spans="1:4" ht="14.25" customHeight="1">
      <c r="A862" s="644" t="s">
        <v>3250</v>
      </c>
      <c r="B862" s="644" t="s">
        <v>3251</v>
      </c>
      <c r="C862" s="635" t="s">
        <v>1270</v>
      </c>
      <c r="D862" s="635" t="s">
        <v>222</v>
      </c>
    </row>
    <row r="863" spans="1:4" ht="14.25" customHeight="1">
      <c r="A863" s="644" t="s">
        <v>3252</v>
      </c>
      <c r="B863" s="644" t="s">
        <v>1261</v>
      </c>
      <c r="C863" s="635" t="s">
        <v>1270</v>
      </c>
      <c r="D863" s="635" t="s">
        <v>223</v>
      </c>
    </row>
    <row r="864" spans="1:4" ht="14.25" customHeight="1">
      <c r="A864" s="644" t="s">
        <v>3253</v>
      </c>
      <c r="B864" s="644" t="s">
        <v>1350</v>
      </c>
      <c r="C864" s="635" t="s">
        <v>1270</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2026-08-14T13:40:30Z</cp:lastPrinted>
  <dcterms:created xsi:type="dcterms:W3CDTF">2023-01-24T17:19:21Z</dcterms:created>
  <dcterms:modified xsi:type="dcterms:W3CDTF">2026-08-14T14:07:30Z</dcterms:modified>
</cp:coreProperties>
</file>